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 NGAN\Downloads\"/>
    </mc:Choice>
  </mc:AlternateContent>
  <xr:revisionPtr revIDLastSave="0" documentId="13_ncr:1_{B15F1EDB-026D-4AF3-9217-E9A2E31CDE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d" sheetId="9" r:id="rId1"/>
    <sheet name="Trang tính1" sheetId="5" r:id="rId2"/>
    <sheet name="Sheet3" sheetId="8" r:id="rId3"/>
    <sheet name="FD&lt;0" sheetId="6" r:id="rId4"/>
    <sheet name="FD&gt;0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009" i="9"/>
  <c r="R1010" i="9"/>
  <c r="R1011" i="9"/>
  <c r="R1012" i="9"/>
  <c r="R1013" i="9"/>
  <c r="R1014" i="9"/>
  <c r="R1015" i="9"/>
  <c r="R1016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19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4" i="9"/>
  <c r="Q835" i="9"/>
  <c r="Q836" i="9"/>
  <c r="Q837" i="9"/>
  <c r="Q838" i="9"/>
  <c r="Q839" i="9"/>
  <c r="Q840" i="9"/>
  <c r="Q841" i="9"/>
  <c r="Q842" i="9"/>
  <c r="Q843" i="9"/>
  <c r="Q844" i="9"/>
  <c r="Q845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78" i="9"/>
  <c r="Q879" i="9"/>
  <c r="Q880" i="9"/>
  <c r="Q881" i="9"/>
  <c r="Q882" i="9"/>
  <c r="Q883" i="9"/>
  <c r="Q884" i="9"/>
  <c r="Q885" i="9"/>
  <c r="Q886" i="9"/>
  <c r="Q887" i="9"/>
  <c r="Q888" i="9"/>
  <c r="Q889" i="9"/>
  <c r="Q890" i="9"/>
  <c r="Q891" i="9"/>
  <c r="Q892" i="9"/>
  <c r="Q893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5" i="9"/>
  <c r="Q946" i="9"/>
  <c r="Q947" i="9"/>
  <c r="Q948" i="9"/>
  <c r="Q949" i="9"/>
  <c r="Q950" i="9"/>
  <c r="Q951" i="9"/>
  <c r="Q952" i="9"/>
  <c r="Q953" i="9"/>
  <c r="Q954" i="9"/>
  <c r="Q955" i="9"/>
  <c r="Q956" i="9"/>
  <c r="Q957" i="9"/>
  <c r="Q958" i="9"/>
  <c r="Q959" i="9"/>
  <c r="Q960" i="9"/>
  <c r="Q961" i="9"/>
  <c r="Q962" i="9"/>
  <c r="Q963" i="9"/>
  <c r="Q964" i="9"/>
  <c r="Q965" i="9"/>
  <c r="Q966" i="9"/>
  <c r="Q967" i="9"/>
  <c r="Q968" i="9"/>
  <c r="Q969" i="9"/>
  <c r="Q970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6" i="9"/>
  <c r="Q997" i="9"/>
  <c r="Q998" i="9"/>
  <c r="Q999" i="9"/>
  <c r="Q1000" i="9"/>
  <c r="Q1001" i="9"/>
  <c r="Q1002" i="9"/>
  <c r="Q1003" i="9"/>
  <c r="Q1004" i="9"/>
  <c r="Q1005" i="9"/>
  <c r="Q1006" i="9"/>
  <c r="Q1007" i="9"/>
  <c r="Q1008" i="9"/>
  <c r="Q1009" i="9"/>
  <c r="Q1010" i="9"/>
  <c r="Q1011" i="9"/>
  <c r="Q1012" i="9"/>
  <c r="Q1013" i="9"/>
  <c r="Q1014" i="9"/>
  <c r="Q1015" i="9"/>
  <c r="Q1016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2" i="9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C267" i="5"/>
  <c r="H267" i="5"/>
  <c r="I267" i="5"/>
  <c r="J267" i="5"/>
  <c r="C268" i="5"/>
  <c r="H268" i="5" s="1"/>
  <c r="I268" i="5"/>
  <c r="J268" i="5"/>
  <c r="C269" i="5"/>
  <c r="H269" i="5"/>
  <c r="I269" i="5"/>
  <c r="J269" i="5"/>
  <c r="C270" i="5"/>
  <c r="H270" i="5" s="1"/>
  <c r="I270" i="5"/>
  <c r="J270" i="5"/>
  <c r="C271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C672" i="5"/>
  <c r="H672" i="5" s="1"/>
  <c r="D672" i="5"/>
  <c r="I672" i="5" s="1"/>
  <c r="E672" i="5"/>
  <c r="F672" i="5"/>
  <c r="J672" i="5" s="1"/>
  <c r="G672" i="5"/>
  <c r="D673" i="5"/>
  <c r="E673" i="5"/>
  <c r="F673" i="5"/>
  <c r="G673" i="5"/>
  <c r="I673" i="5"/>
  <c r="J673" i="5"/>
  <c r="D674" i="5"/>
  <c r="E674" i="5"/>
  <c r="F674" i="5"/>
  <c r="G674" i="5"/>
  <c r="I674" i="5"/>
  <c r="J674" i="5"/>
  <c r="D675" i="5"/>
  <c r="E675" i="5"/>
  <c r="F675" i="5"/>
  <c r="G675" i="5"/>
  <c r="I675" i="5"/>
  <c r="J675" i="5"/>
  <c r="D676" i="5"/>
  <c r="E676" i="5"/>
  <c r="F676" i="5"/>
  <c r="G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H902" i="5"/>
  <c r="I902" i="5"/>
  <c r="J902" i="5"/>
  <c r="H903" i="5"/>
  <c r="I903" i="5"/>
  <c r="J903" i="5"/>
  <c r="H904" i="5"/>
  <c r="I904" i="5"/>
  <c r="J904" i="5"/>
  <c r="H905" i="5"/>
  <c r="I905" i="5"/>
  <c r="J905" i="5"/>
  <c r="H906" i="5"/>
  <c r="I906" i="5"/>
  <c r="J906" i="5"/>
  <c r="H907" i="5"/>
  <c r="I907" i="5"/>
  <c r="J907" i="5"/>
  <c r="H908" i="5"/>
  <c r="I908" i="5"/>
  <c r="J908" i="5"/>
  <c r="H909" i="5"/>
  <c r="I909" i="5"/>
  <c r="J909" i="5"/>
  <c r="H910" i="5"/>
  <c r="I910" i="5"/>
  <c r="J910" i="5"/>
  <c r="H911" i="5"/>
  <c r="I911" i="5"/>
  <c r="J911" i="5"/>
  <c r="H912" i="5"/>
  <c r="I912" i="5"/>
  <c r="J912" i="5"/>
  <c r="H913" i="5"/>
  <c r="I913" i="5"/>
  <c r="J913" i="5"/>
  <c r="H914" i="5"/>
  <c r="I914" i="5"/>
  <c r="J914" i="5"/>
  <c r="H915" i="5"/>
  <c r="I915" i="5"/>
  <c r="J915" i="5"/>
  <c r="H916" i="5"/>
  <c r="I916" i="5"/>
  <c r="J916" i="5"/>
  <c r="H917" i="5"/>
  <c r="I917" i="5"/>
  <c r="J917" i="5"/>
  <c r="H918" i="5"/>
  <c r="I918" i="5"/>
  <c r="J918" i="5"/>
  <c r="H919" i="5"/>
  <c r="I919" i="5"/>
  <c r="J919" i="5"/>
  <c r="H920" i="5"/>
  <c r="I920" i="5"/>
  <c r="J920" i="5"/>
  <c r="H921" i="5"/>
  <c r="I921" i="5"/>
  <c r="J921" i="5"/>
  <c r="H922" i="5"/>
  <c r="I922" i="5"/>
  <c r="J922" i="5"/>
  <c r="H923" i="5"/>
  <c r="I923" i="5"/>
  <c r="J923" i="5"/>
  <c r="H924" i="5"/>
  <c r="I924" i="5"/>
  <c r="J924" i="5"/>
  <c r="H925" i="5"/>
  <c r="I925" i="5"/>
  <c r="J925" i="5"/>
  <c r="H926" i="5"/>
  <c r="I926" i="5"/>
  <c r="J926" i="5"/>
  <c r="H927" i="5"/>
  <c r="I927" i="5"/>
  <c r="J927" i="5"/>
  <c r="H928" i="5"/>
  <c r="I928" i="5"/>
  <c r="J928" i="5"/>
  <c r="H929" i="5"/>
  <c r="I929" i="5"/>
  <c r="J929" i="5"/>
  <c r="H930" i="5"/>
  <c r="I930" i="5"/>
  <c r="J930" i="5"/>
  <c r="H931" i="5"/>
  <c r="I931" i="5"/>
  <c r="J931" i="5"/>
  <c r="H932" i="5"/>
  <c r="I932" i="5"/>
  <c r="J932" i="5"/>
  <c r="H933" i="5"/>
  <c r="I933" i="5"/>
  <c r="J933" i="5"/>
  <c r="H934" i="5"/>
  <c r="I934" i="5"/>
  <c r="J934" i="5"/>
  <c r="H935" i="5"/>
  <c r="I935" i="5"/>
  <c r="J935" i="5"/>
  <c r="H936" i="5"/>
  <c r="I936" i="5"/>
  <c r="J936" i="5"/>
  <c r="H937" i="5"/>
  <c r="I937" i="5"/>
  <c r="J937" i="5"/>
  <c r="H938" i="5"/>
  <c r="I938" i="5"/>
  <c r="J938" i="5"/>
  <c r="H939" i="5"/>
  <c r="I939" i="5"/>
  <c r="J939" i="5"/>
  <c r="H940" i="5"/>
  <c r="I940" i="5"/>
  <c r="J940" i="5"/>
  <c r="H941" i="5"/>
  <c r="I941" i="5"/>
  <c r="J941" i="5"/>
  <c r="H942" i="5"/>
  <c r="I942" i="5"/>
  <c r="J942" i="5"/>
  <c r="H943" i="5"/>
  <c r="I943" i="5"/>
  <c r="J943" i="5"/>
  <c r="H944" i="5"/>
  <c r="I944" i="5"/>
  <c r="J944" i="5"/>
  <c r="H945" i="5"/>
  <c r="I945" i="5"/>
  <c r="J945" i="5"/>
  <c r="H946" i="5"/>
  <c r="I946" i="5"/>
  <c r="J946" i="5"/>
  <c r="H947" i="5"/>
  <c r="I947" i="5"/>
  <c r="J947" i="5"/>
  <c r="H948" i="5"/>
  <c r="I948" i="5"/>
  <c r="J948" i="5"/>
  <c r="H949" i="5"/>
  <c r="I949" i="5"/>
  <c r="J949" i="5"/>
  <c r="H950" i="5"/>
  <c r="I950" i="5"/>
  <c r="J950" i="5"/>
  <c r="H951" i="5"/>
  <c r="I951" i="5"/>
  <c r="J951" i="5"/>
  <c r="H952" i="5"/>
  <c r="I952" i="5"/>
  <c r="J952" i="5"/>
  <c r="H953" i="5"/>
  <c r="I953" i="5"/>
  <c r="J953" i="5"/>
  <c r="H954" i="5"/>
  <c r="I954" i="5"/>
  <c r="J954" i="5"/>
  <c r="H955" i="5"/>
  <c r="I955" i="5"/>
  <c r="J955" i="5"/>
  <c r="H956" i="5"/>
  <c r="I956" i="5"/>
  <c r="J956" i="5"/>
  <c r="H957" i="5"/>
  <c r="I957" i="5"/>
  <c r="J957" i="5"/>
  <c r="H958" i="5"/>
  <c r="I958" i="5"/>
  <c r="J958" i="5"/>
  <c r="H959" i="5"/>
  <c r="I959" i="5"/>
  <c r="J959" i="5"/>
  <c r="H960" i="5"/>
  <c r="I960" i="5"/>
  <c r="J960" i="5"/>
  <c r="H961" i="5"/>
  <c r="I961" i="5"/>
  <c r="J961" i="5"/>
  <c r="H962" i="5"/>
  <c r="I962" i="5"/>
  <c r="J962" i="5"/>
  <c r="H963" i="5"/>
  <c r="I963" i="5"/>
  <c r="J963" i="5"/>
  <c r="H964" i="5"/>
  <c r="I964" i="5"/>
  <c r="J964" i="5"/>
  <c r="H965" i="5"/>
  <c r="I965" i="5"/>
  <c r="J965" i="5"/>
  <c r="H966" i="5"/>
  <c r="I966" i="5"/>
  <c r="J966" i="5"/>
  <c r="H967" i="5"/>
  <c r="I967" i="5"/>
  <c r="J967" i="5"/>
  <c r="H968" i="5"/>
  <c r="I968" i="5"/>
  <c r="J968" i="5"/>
  <c r="H969" i="5"/>
  <c r="I969" i="5"/>
  <c r="J969" i="5"/>
  <c r="H970" i="5"/>
  <c r="I970" i="5"/>
  <c r="J970" i="5"/>
  <c r="H971" i="5"/>
  <c r="I971" i="5"/>
  <c r="J971" i="5"/>
  <c r="H972" i="5"/>
  <c r="I972" i="5"/>
  <c r="J972" i="5"/>
  <c r="H973" i="5"/>
  <c r="I973" i="5"/>
  <c r="J973" i="5"/>
  <c r="H974" i="5"/>
  <c r="I974" i="5"/>
  <c r="J974" i="5"/>
  <c r="H975" i="5"/>
  <c r="I975" i="5"/>
  <c r="J975" i="5"/>
  <c r="H976" i="5"/>
  <c r="I976" i="5"/>
  <c r="J976" i="5"/>
  <c r="H977" i="5"/>
  <c r="I977" i="5"/>
  <c r="J977" i="5"/>
  <c r="H978" i="5"/>
  <c r="I978" i="5"/>
  <c r="J978" i="5"/>
  <c r="H979" i="5"/>
  <c r="I979" i="5"/>
  <c r="J979" i="5"/>
  <c r="H980" i="5"/>
  <c r="I980" i="5"/>
  <c r="J980" i="5"/>
  <c r="H981" i="5"/>
  <c r="I981" i="5"/>
  <c r="J981" i="5"/>
  <c r="H982" i="5"/>
  <c r="I982" i="5"/>
  <c r="J982" i="5"/>
  <c r="H983" i="5"/>
  <c r="I983" i="5"/>
  <c r="J983" i="5"/>
  <c r="H984" i="5"/>
  <c r="I984" i="5"/>
  <c r="J984" i="5"/>
  <c r="H985" i="5"/>
  <c r="I985" i="5"/>
  <c r="J985" i="5"/>
  <c r="H986" i="5"/>
  <c r="I986" i="5"/>
  <c r="J986" i="5"/>
  <c r="H987" i="5"/>
  <c r="I987" i="5"/>
  <c r="J987" i="5"/>
  <c r="H988" i="5"/>
  <c r="I988" i="5"/>
  <c r="J988" i="5"/>
  <c r="H989" i="5"/>
  <c r="I989" i="5"/>
  <c r="J989" i="5"/>
  <c r="H990" i="5"/>
  <c r="I990" i="5"/>
  <c r="J990" i="5"/>
  <c r="H991" i="5"/>
  <c r="I991" i="5"/>
  <c r="J991" i="5"/>
  <c r="H992" i="5"/>
  <c r="I992" i="5"/>
  <c r="J992" i="5"/>
  <c r="H993" i="5"/>
  <c r="I993" i="5"/>
  <c r="J993" i="5"/>
  <c r="H994" i="5"/>
  <c r="I994" i="5"/>
  <c r="J994" i="5"/>
  <c r="H995" i="5"/>
  <c r="I995" i="5"/>
  <c r="J995" i="5"/>
  <c r="H996" i="5"/>
  <c r="I996" i="5"/>
  <c r="J996" i="5"/>
  <c r="H997" i="5"/>
  <c r="I997" i="5"/>
  <c r="J997" i="5"/>
  <c r="H998" i="5"/>
  <c r="I998" i="5"/>
  <c r="J998" i="5"/>
  <c r="H999" i="5"/>
  <c r="I999" i="5"/>
  <c r="J999" i="5"/>
  <c r="H1000" i="5"/>
  <c r="I1000" i="5"/>
  <c r="J1000" i="5"/>
  <c r="H1001" i="5"/>
  <c r="I1001" i="5"/>
  <c r="J1001" i="5"/>
  <c r="H1002" i="5"/>
  <c r="I1002" i="5"/>
  <c r="J1002" i="5"/>
  <c r="H1003" i="5"/>
  <c r="I1003" i="5"/>
  <c r="J1003" i="5"/>
  <c r="H1004" i="5"/>
  <c r="I1004" i="5"/>
  <c r="J1004" i="5"/>
  <c r="H1005" i="5"/>
  <c r="I1005" i="5"/>
  <c r="J1005" i="5"/>
  <c r="H1006" i="5"/>
  <c r="I1006" i="5"/>
  <c r="J1006" i="5"/>
  <c r="H1007" i="5"/>
  <c r="I1007" i="5"/>
  <c r="J1007" i="5"/>
  <c r="H1008" i="5"/>
  <c r="I1008" i="5"/>
  <c r="J1008" i="5"/>
  <c r="H1009" i="5"/>
  <c r="I1009" i="5"/>
  <c r="J1009" i="5"/>
  <c r="H1010" i="5"/>
  <c r="I1010" i="5"/>
  <c r="J1010" i="5"/>
  <c r="H1011" i="5"/>
  <c r="I1011" i="5"/>
  <c r="J1011" i="5"/>
  <c r="H1012" i="5"/>
  <c r="I1012" i="5"/>
  <c r="J1012" i="5"/>
  <c r="H1013" i="5"/>
  <c r="I1013" i="5"/>
  <c r="J1013" i="5"/>
  <c r="H1014" i="5"/>
  <c r="I1014" i="5"/>
  <c r="J1014" i="5"/>
  <c r="H1015" i="5"/>
  <c r="I1015" i="5"/>
  <c r="J1015" i="5"/>
  <c r="H1016" i="5"/>
  <c r="I1016" i="5"/>
  <c r="J1016" i="5"/>
  <c r="A323" i="5"/>
  <c r="A324" i="5" s="1"/>
  <c r="A325" i="5" s="1"/>
  <c r="A326" i="5" s="1"/>
  <c r="A328" i="5"/>
  <c r="A329" i="5" s="1"/>
  <c r="A330" i="5" s="1"/>
  <c r="A331" i="5" s="1"/>
  <c r="A333" i="5"/>
  <c r="A334" i="5" s="1"/>
  <c r="A335" i="5" s="1"/>
  <c r="A336" i="5" s="1"/>
  <c r="A338" i="5"/>
  <c r="A339" i="5" s="1"/>
  <c r="A340" i="5" s="1"/>
  <c r="A341" i="5" s="1"/>
  <c r="A343" i="5"/>
  <c r="A344" i="5" s="1"/>
  <c r="A345" i="5" s="1"/>
  <c r="A346" i="5" s="1"/>
  <c r="A348" i="5"/>
  <c r="A349" i="5" s="1"/>
  <c r="A350" i="5" s="1"/>
  <c r="A351" i="5" s="1"/>
  <c r="A353" i="5"/>
  <c r="A354" i="5" s="1"/>
  <c r="A355" i="5" s="1"/>
  <c r="A356" i="5" s="1"/>
  <c r="A358" i="5"/>
  <c r="A359" i="5" s="1"/>
  <c r="A360" i="5" s="1"/>
  <c r="A361" i="5" s="1"/>
  <c r="A363" i="5"/>
  <c r="A364" i="5" s="1"/>
  <c r="A365" i="5" s="1"/>
  <c r="A366" i="5" s="1"/>
  <c r="A368" i="5"/>
  <c r="A369" i="5" s="1"/>
  <c r="A370" i="5" s="1"/>
  <c r="A371" i="5" s="1"/>
  <c r="A373" i="5"/>
  <c r="A374" i="5" s="1"/>
  <c r="A375" i="5" s="1"/>
  <c r="A376" i="5" s="1"/>
  <c r="A378" i="5"/>
  <c r="A379" i="5" s="1"/>
  <c r="A380" i="5" s="1"/>
  <c r="A381" i="5" s="1"/>
  <c r="A383" i="5"/>
  <c r="A384" i="5" s="1"/>
  <c r="A385" i="5" s="1"/>
  <c r="A386" i="5" s="1"/>
  <c r="A388" i="5"/>
  <c r="A389" i="5" s="1"/>
  <c r="A390" i="5" s="1"/>
  <c r="A391" i="5" s="1"/>
  <c r="A393" i="5"/>
  <c r="A394" i="5" s="1"/>
  <c r="A395" i="5" s="1"/>
  <c r="A396" i="5" s="1"/>
  <c r="A398" i="5"/>
  <c r="A399" i="5" s="1"/>
  <c r="A400" i="5" s="1"/>
  <c r="A401" i="5" s="1"/>
  <c r="A403" i="5"/>
  <c r="A404" i="5" s="1"/>
  <c r="A405" i="5" s="1"/>
  <c r="A406" i="5" s="1"/>
  <c r="A408" i="5"/>
  <c r="A409" i="5" s="1"/>
  <c r="A410" i="5" s="1"/>
  <c r="A411" i="5" s="1"/>
  <c r="A413" i="5"/>
  <c r="A414" i="5" s="1"/>
  <c r="A415" i="5" s="1"/>
  <c r="A416" i="5" s="1"/>
  <c r="A418" i="5"/>
  <c r="A419" i="5" s="1"/>
  <c r="A420" i="5" s="1"/>
  <c r="A421" i="5" s="1"/>
  <c r="A423" i="5"/>
  <c r="A424" i="5" s="1"/>
  <c r="A425" i="5" s="1"/>
  <c r="A426" i="5" s="1"/>
  <c r="A428" i="5"/>
  <c r="A429" i="5" s="1"/>
  <c r="A430" i="5" s="1"/>
  <c r="A431" i="5" s="1"/>
  <c r="A433" i="5"/>
  <c r="A434" i="5" s="1"/>
  <c r="A435" i="5" s="1"/>
  <c r="A436" i="5" s="1"/>
  <c r="A438" i="5"/>
  <c r="A439" i="5" s="1"/>
  <c r="A440" i="5" s="1"/>
  <c r="A441" i="5" s="1"/>
  <c r="A443" i="5"/>
  <c r="A444" i="5" s="1"/>
  <c r="A445" i="5" s="1"/>
  <c r="A446" i="5" s="1"/>
  <c r="A448" i="5"/>
  <c r="A449" i="5" s="1"/>
  <c r="A450" i="5" s="1"/>
  <c r="A451" i="5" s="1"/>
  <c r="A453" i="5"/>
  <c r="A454" i="5" s="1"/>
  <c r="A455" i="5" s="1"/>
  <c r="A456" i="5" s="1"/>
  <c r="A458" i="5"/>
  <c r="A459" i="5" s="1"/>
  <c r="A460" i="5" s="1"/>
  <c r="A461" i="5" s="1"/>
  <c r="A463" i="5"/>
  <c r="A464" i="5" s="1"/>
  <c r="A465" i="5" s="1"/>
  <c r="A466" i="5" s="1"/>
  <c r="A468" i="5"/>
  <c r="A469" i="5" s="1"/>
  <c r="A470" i="5" s="1"/>
  <c r="A471" i="5" s="1"/>
  <c r="A473" i="5"/>
  <c r="A474" i="5" s="1"/>
  <c r="A475" i="5" s="1"/>
  <c r="A476" i="5" s="1"/>
  <c r="A478" i="5"/>
  <c r="A479" i="5" s="1"/>
  <c r="A480" i="5" s="1"/>
  <c r="A481" i="5" s="1"/>
  <c r="A483" i="5"/>
  <c r="A484" i="5" s="1"/>
  <c r="A485" i="5" s="1"/>
  <c r="A486" i="5" s="1"/>
  <c r="A488" i="5"/>
  <c r="A489" i="5" s="1"/>
  <c r="A490" i="5" s="1"/>
  <c r="A491" i="5" s="1"/>
  <c r="A493" i="5"/>
  <c r="A494" i="5" s="1"/>
  <c r="A495" i="5" s="1"/>
  <c r="A496" i="5" s="1"/>
  <c r="A498" i="5"/>
  <c r="A499" i="5" s="1"/>
  <c r="A500" i="5" s="1"/>
  <c r="A501" i="5" s="1"/>
  <c r="A503" i="5"/>
  <c r="A504" i="5" s="1"/>
  <c r="A505" i="5" s="1"/>
  <c r="A506" i="5" s="1"/>
  <c r="A508" i="5"/>
  <c r="A509" i="5" s="1"/>
  <c r="A510" i="5" s="1"/>
  <c r="A511" i="5" s="1"/>
  <c r="A513" i="5"/>
  <c r="A514" i="5" s="1"/>
  <c r="A515" i="5" s="1"/>
  <c r="A516" i="5" s="1"/>
  <c r="A518" i="5"/>
  <c r="A519" i="5" s="1"/>
  <c r="A520" i="5" s="1"/>
  <c r="A521" i="5" s="1"/>
  <c r="A523" i="5"/>
  <c r="A524" i="5" s="1"/>
  <c r="A525" i="5" s="1"/>
  <c r="A526" i="5" s="1"/>
  <c r="A528" i="5"/>
  <c r="A529" i="5" s="1"/>
  <c r="A530" i="5" s="1"/>
  <c r="A531" i="5" s="1"/>
  <c r="A533" i="5"/>
  <c r="A534" i="5" s="1"/>
  <c r="A535" i="5" s="1"/>
  <c r="A536" i="5" s="1"/>
  <c r="A538" i="5"/>
  <c r="A539" i="5" s="1"/>
  <c r="A540" i="5" s="1"/>
  <c r="A541" i="5" s="1"/>
  <c r="A543" i="5"/>
  <c r="A544" i="5" s="1"/>
  <c r="A545" i="5" s="1"/>
  <c r="A546" i="5" s="1"/>
  <c r="A548" i="5"/>
  <c r="A549" i="5" s="1"/>
  <c r="A550" i="5" s="1"/>
  <c r="A551" i="5" s="1"/>
  <c r="A553" i="5"/>
  <c r="A554" i="5" s="1"/>
  <c r="A555" i="5" s="1"/>
  <c r="A556" i="5" s="1"/>
  <c r="A558" i="5"/>
  <c r="A559" i="5" s="1"/>
  <c r="A560" i="5" s="1"/>
  <c r="A561" i="5" s="1"/>
  <c r="A563" i="5"/>
  <c r="A564" i="5" s="1"/>
  <c r="A565" i="5" s="1"/>
  <c r="A566" i="5" s="1"/>
  <c r="A568" i="5"/>
  <c r="A569" i="5" s="1"/>
  <c r="A570" i="5" s="1"/>
  <c r="A571" i="5" s="1"/>
  <c r="A573" i="5"/>
  <c r="A574" i="5" s="1"/>
  <c r="A575" i="5" s="1"/>
  <c r="A576" i="5" s="1"/>
  <c r="A578" i="5"/>
  <c r="A579" i="5" s="1"/>
  <c r="A580" i="5" s="1"/>
  <c r="A581" i="5" s="1"/>
  <c r="A583" i="5"/>
  <c r="A584" i="5" s="1"/>
  <c r="A585" i="5" s="1"/>
  <c r="A586" i="5" s="1"/>
  <c r="A588" i="5"/>
  <c r="A589" i="5" s="1"/>
  <c r="A590" i="5" s="1"/>
  <c r="A591" i="5" s="1"/>
  <c r="A593" i="5"/>
  <c r="A594" i="5" s="1"/>
  <c r="A595" i="5" s="1"/>
  <c r="A596" i="5" s="1"/>
  <c r="A598" i="5"/>
  <c r="A599" i="5" s="1"/>
  <c r="A600" i="5" s="1"/>
  <c r="A601" i="5" s="1"/>
  <c r="A603" i="5"/>
  <c r="A604" i="5" s="1"/>
  <c r="A605" i="5" s="1"/>
  <c r="A606" i="5" s="1"/>
  <c r="A608" i="5"/>
  <c r="A609" i="5" s="1"/>
  <c r="A610" i="5" s="1"/>
  <c r="A611" i="5" s="1"/>
  <c r="A613" i="5"/>
  <c r="A614" i="5" s="1"/>
  <c r="A615" i="5" s="1"/>
  <c r="A616" i="5" s="1"/>
  <c r="A618" i="5"/>
  <c r="A619" i="5" s="1"/>
  <c r="A620" i="5" s="1"/>
  <c r="A621" i="5" s="1"/>
  <c r="A623" i="5"/>
  <c r="A624" i="5" s="1"/>
  <c r="A625" i="5" s="1"/>
  <c r="A626" i="5" s="1"/>
  <c r="A628" i="5"/>
  <c r="A629" i="5" s="1"/>
  <c r="A630" i="5" s="1"/>
  <c r="A631" i="5" s="1"/>
  <c r="A633" i="5"/>
  <c r="A634" i="5" s="1"/>
  <c r="A635" i="5" s="1"/>
  <c r="A636" i="5" s="1"/>
  <c r="A638" i="5"/>
  <c r="A639" i="5" s="1"/>
  <c r="A640" i="5" s="1"/>
  <c r="A641" i="5" s="1"/>
  <c r="A643" i="5"/>
  <c r="A644" i="5" s="1"/>
  <c r="A645" i="5" s="1"/>
  <c r="A646" i="5" s="1"/>
  <c r="A648" i="5"/>
  <c r="A649" i="5" s="1"/>
  <c r="A650" i="5" s="1"/>
  <c r="A651" i="5" s="1"/>
  <c r="A653" i="5"/>
  <c r="A654" i="5" s="1"/>
  <c r="A655" i="5" s="1"/>
  <c r="A656" i="5" s="1"/>
  <c r="A658" i="5"/>
  <c r="A659" i="5" s="1"/>
  <c r="A660" i="5" s="1"/>
  <c r="A661" i="5" s="1"/>
  <c r="A663" i="5"/>
  <c r="A664" i="5" s="1"/>
  <c r="A665" i="5" s="1"/>
  <c r="A666" i="5" s="1"/>
  <c r="A668" i="5"/>
  <c r="A669" i="5" s="1"/>
  <c r="A670" i="5" s="1"/>
  <c r="A671" i="5" s="1"/>
  <c r="A672" i="5"/>
  <c r="A673" i="5" s="1"/>
  <c r="A674" i="5" s="1"/>
  <c r="A675" i="5" s="1"/>
  <c r="A676" i="5" s="1"/>
  <c r="B672" i="5"/>
  <c r="B673" i="5" s="1"/>
  <c r="B674" i="5" s="1"/>
  <c r="B675" i="5" s="1"/>
  <c r="B676" i="5" s="1"/>
  <c r="M672" i="5"/>
  <c r="M673" i="5" s="1"/>
  <c r="M674" i="5" s="1"/>
  <c r="M675" i="5" s="1"/>
  <c r="M676" i="5" s="1"/>
  <c r="N672" i="5"/>
  <c r="O672" i="5"/>
  <c r="O673" i="5" s="1"/>
  <c r="P672" i="5"/>
  <c r="P673" i="5" s="1"/>
  <c r="P674" i="5" s="1"/>
  <c r="P675" i="5" s="1"/>
  <c r="P676" i="5" s="1"/>
  <c r="Q672" i="5"/>
  <c r="Q673" i="5" s="1"/>
  <c r="Q674" i="5" s="1"/>
  <c r="Q675" i="5" s="1"/>
  <c r="Q676" i="5" s="1"/>
  <c r="A678" i="5"/>
  <c r="A679" i="5" s="1"/>
  <c r="A680" i="5" s="1"/>
  <c r="A681" i="5" s="1"/>
  <c r="A683" i="5"/>
  <c r="A684" i="5" s="1"/>
  <c r="A685" i="5" s="1"/>
  <c r="A686" i="5" s="1"/>
  <c r="A688" i="5"/>
  <c r="A689" i="5" s="1"/>
  <c r="A690" i="5" s="1"/>
  <c r="A691" i="5" s="1"/>
  <c r="A693" i="5"/>
  <c r="A694" i="5" s="1"/>
  <c r="A695" i="5" s="1"/>
  <c r="A696" i="5" s="1"/>
  <c r="A698" i="5"/>
  <c r="A699" i="5" s="1"/>
  <c r="A700" i="5" s="1"/>
  <c r="A701" i="5" s="1"/>
  <c r="A703" i="5"/>
  <c r="A704" i="5" s="1"/>
  <c r="A705" i="5" s="1"/>
  <c r="A706" i="5" s="1"/>
  <c r="A708" i="5"/>
  <c r="A709" i="5" s="1"/>
  <c r="A710" i="5" s="1"/>
  <c r="A711" i="5" s="1"/>
  <c r="A713" i="5"/>
  <c r="A714" i="5" s="1"/>
  <c r="A715" i="5" s="1"/>
  <c r="A716" i="5" s="1"/>
  <c r="A718" i="5"/>
  <c r="A719" i="5" s="1"/>
  <c r="A720" i="5" s="1"/>
  <c r="A721" i="5" s="1"/>
  <c r="A723" i="5"/>
  <c r="A724" i="5" s="1"/>
  <c r="A725" i="5" s="1"/>
  <c r="A726" i="5" s="1"/>
  <c r="A728" i="5"/>
  <c r="A729" i="5" s="1"/>
  <c r="A730" i="5" s="1"/>
  <c r="A731" i="5" s="1"/>
  <c r="A733" i="5"/>
  <c r="A734" i="5" s="1"/>
  <c r="A735" i="5" s="1"/>
  <c r="A736" i="5" s="1"/>
  <c r="A738" i="5"/>
  <c r="A739" i="5" s="1"/>
  <c r="A740" i="5" s="1"/>
  <c r="A741" i="5" s="1"/>
  <c r="A743" i="5"/>
  <c r="A744" i="5" s="1"/>
  <c r="A745" i="5" s="1"/>
  <c r="A746" i="5" s="1"/>
  <c r="A748" i="5"/>
  <c r="A749" i="5" s="1"/>
  <c r="A750" i="5" s="1"/>
  <c r="A751" i="5" s="1"/>
  <c r="A753" i="5"/>
  <c r="A754" i="5" s="1"/>
  <c r="A755" i="5" s="1"/>
  <c r="A756" i="5" s="1"/>
  <c r="A758" i="5"/>
  <c r="A759" i="5" s="1"/>
  <c r="A760" i="5" s="1"/>
  <c r="A761" i="5" s="1"/>
  <c r="A763" i="5"/>
  <c r="A764" i="5" s="1"/>
  <c r="A765" i="5" s="1"/>
  <c r="A766" i="5" s="1"/>
  <c r="A768" i="5"/>
  <c r="A769" i="5" s="1"/>
  <c r="A770" i="5" s="1"/>
  <c r="A771" i="5" s="1"/>
  <c r="A773" i="5"/>
  <c r="A774" i="5" s="1"/>
  <c r="A775" i="5" s="1"/>
  <c r="A776" i="5" s="1"/>
  <c r="A778" i="5"/>
  <c r="A779" i="5" s="1"/>
  <c r="A780" i="5" s="1"/>
  <c r="A781" i="5" s="1"/>
  <c r="A783" i="5"/>
  <c r="A784" i="5" s="1"/>
  <c r="A785" i="5" s="1"/>
  <c r="A786" i="5" s="1"/>
  <c r="A788" i="5"/>
  <c r="A789" i="5" s="1"/>
  <c r="A790" i="5" s="1"/>
  <c r="A791" i="5" s="1"/>
  <c r="A793" i="5"/>
  <c r="A794" i="5" s="1"/>
  <c r="A795" i="5" s="1"/>
  <c r="A796" i="5" s="1"/>
  <c r="A798" i="5"/>
  <c r="A799" i="5" s="1"/>
  <c r="A800" i="5" s="1"/>
  <c r="A801" i="5" s="1"/>
  <c r="A803" i="5"/>
  <c r="A804" i="5" s="1"/>
  <c r="A805" i="5" s="1"/>
  <c r="A806" i="5" s="1"/>
  <c r="A808" i="5"/>
  <c r="A809" i="5" s="1"/>
  <c r="A810" i="5" s="1"/>
  <c r="A811" i="5" s="1"/>
  <c r="A813" i="5"/>
  <c r="A814" i="5" s="1"/>
  <c r="A815" i="5" s="1"/>
  <c r="A816" i="5" s="1"/>
  <c r="A818" i="5"/>
  <c r="A819" i="5" s="1"/>
  <c r="A820" i="5" s="1"/>
  <c r="A821" i="5" s="1"/>
  <c r="A823" i="5"/>
  <c r="A824" i="5" s="1"/>
  <c r="A825" i="5" s="1"/>
  <c r="A826" i="5" s="1"/>
  <c r="A828" i="5"/>
  <c r="A829" i="5" s="1"/>
  <c r="A830" i="5" s="1"/>
  <c r="A831" i="5" s="1"/>
  <c r="A833" i="5"/>
  <c r="A834" i="5" s="1"/>
  <c r="A835" i="5" s="1"/>
  <c r="A836" i="5" s="1"/>
  <c r="A838" i="5"/>
  <c r="A839" i="5" s="1"/>
  <c r="A840" i="5" s="1"/>
  <c r="A841" i="5" s="1"/>
  <c r="A843" i="5"/>
  <c r="A844" i="5" s="1"/>
  <c r="A845" i="5" s="1"/>
  <c r="A846" i="5" s="1"/>
  <c r="A848" i="5"/>
  <c r="A849" i="5" s="1"/>
  <c r="A850" i="5" s="1"/>
  <c r="A851" i="5" s="1"/>
  <c r="A853" i="5"/>
  <c r="A854" i="5" s="1"/>
  <c r="A855" i="5" s="1"/>
  <c r="A856" i="5" s="1"/>
  <c r="A858" i="5"/>
  <c r="A859" i="5" s="1"/>
  <c r="A860" i="5" s="1"/>
  <c r="A861" i="5" s="1"/>
  <c r="A863" i="5"/>
  <c r="A864" i="5" s="1"/>
  <c r="A865" i="5" s="1"/>
  <c r="A866" i="5" s="1"/>
  <c r="A868" i="5"/>
  <c r="A869" i="5" s="1"/>
  <c r="A870" i="5" s="1"/>
  <c r="A871" i="5" s="1"/>
  <c r="A873" i="5"/>
  <c r="A874" i="5" s="1"/>
  <c r="A875" i="5" s="1"/>
  <c r="A876" i="5" s="1"/>
  <c r="A878" i="5"/>
  <c r="A879" i="5" s="1"/>
  <c r="A880" i="5" s="1"/>
  <c r="A881" i="5" s="1"/>
  <c r="A883" i="5"/>
  <c r="A884" i="5" s="1"/>
  <c r="A885" i="5" s="1"/>
  <c r="A886" i="5" s="1"/>
  <c r="A888" i="5"/>
  <c r="A889" i="5" s="1"/>
  <c r="A890" i="5" s="1"/>
  <c r="A891" i="5" s="1"/>
  <c r="A893" i="5"/>
  <c r="A894" i="5" s="1"/>
  <c r="A895" i="5" s="1"/>
  <c r="A896" i="5" s="1"/>
  <c r="A898" i="5"/>
  <c r="A899" i="5" s="1"/>
  <c r="A900" i="5" s="1"/>
  <c r="A901" i="5" s="1"/>
  <c r="A903" i="5"/>
  <c r="A904" i="5" s="1"/>
  <c r="A905" i="5" s="1"/>
  <c r="A906" i="5" s="1"/>
  <c r="A908" i="5"/>
  <c r="A909" i="5" s="1"/>
  <c r="A910" i="5" s="1"/>
  <c r="A911" i="5" s="1"/>
  <c r="A913" i="5"/>
  <c r="A914" i="5" s="1"/>
  <c r="A915" i="5" s="1"/>
  <c r="A916" i="5" s="1"/>
  <c r="A918" i="5"/>
  <c r="A919" i="5" s="1"/>
  <c r="A920" i="5" s="1"/>
  <c r="A921" i="5" s="1"/>
  <c r="A923" i="5"/>
  <c r="A924" i="5" s="1"/>
  <c r="A925" i="5" s="1"/>
  <c r="A926" i="5" s="1"/>
  <c r="A928" i="5"/>
  <c r="A929" i="5" s="1"/>
  <c r="A930" i="5" s="1"/>
  <c r="A931" i="5" s="1"/>
  <c r="A933" i="5"/>
  <c r="A934" i="5" s="1"/>
  <c r="A935" i="5" s="1"/>
  <c r="A936" i="5" s="1"/>
  <c r="A938" i="5"/>
  <c r="A939" i="5" s="1"/>
  <c r="A940" i="5" s="1"/>
  <c r="A941" i="5" s="1"/>
  <c r="A943" i="5"/>
  <c r="A944" i="5" s="1"/>
  <c r="A945" i="5" s="1"/>
  <c r="A946" i="5" s="1"/>
  <c r="A948" i="5"/>
  <c r="A949" i="5" s="1"/>
  <c r="A950" i="5" s="1"/>
  <c r="A951" i="5" s="1"/>
  <c r="A953" i="5"/>
  <c r="A954" i="5" s="1"/>
  <c r="A955" i="5" s="1"/>
  <c r="A956" i="5" s="1"/>
  <c r="A958" i="5"/>
  <c r="A959" i="5" s="1"/>
  <c r="A960" i="5" s="1"/>
  <c r="A961" i="5" s="1"/>
  <c r="A963" i="5"/>
  <c r="A964" i="5" s="1"/>
  <c r="A965" i="5" s="1"/>
  <c r="A966" i="5" s="1"/>
  <c r="A968" i="5"/>
  <c r="A969" i="5" s="1"/>
  <c r="A970" i="5" s="1"/>
  <c r="A971" i="5" s="1"/>
  <c r="A973" i="5"/>
  <c r="A974" i="5" s="1"/>
  <c r="A975" i="5" s="1"/>
  <c r="A976" i="5" s="1"/>
  <c r="A978" i="5"/>
  <c r="A979" i="5" s="1"/>
  <c r="A980" i="5" s="1"/>
  <c r="A981" i="5" s="1"/>
  <c r="A983" i="5"/>
  <c r="A984" i="5" s="1"/>
  <c r="A985" i="5" s="1"/>
  <c r="A986" i="5" s="1"/>
  <c r="A988" i="5"/>
  <c r="A989" i="5" s="1"/>
  <c r="A990" i="5" s="1"/>
  <c r="A991" i="5" s="1"/>
  <c r="A993" i="5"/>
  <c r="A994" i="5" s="1"/>
  <c r="A995" i="5" s="1"/>
  <c r="A996" i="5" s="1"/>
  <c r="A998" i="5"/>
  <c r="A999" i="5" s="1"/>
  <c r="A1000" i="5" s="1"/>
  <c r="A1001" i="5" s="1"/>
  <c r="A1003" i="5"/>
  <c r="A1004" i="5" s="1"/>
  <c r="A1005" i="5" s="1"/>
  <c r="A1006" i="5" s="1"/>
  <c r="A1008" i="5"/>
  <c r="A1009" i="5" s="1"/>
  <c r="A1010" i="5" s="1"/>
  <c r="A1011" i="5" s="1"/>
  <c r="A1013" i="5"/>
  <c r="A1014" i="5" s="1"/>
  <c r="A1015" i="5" s="1"/>
  <c r="A1016" i="5" s="1"/>
  <c r="Q791" i="5"/>
  <c r="P791" i="5"/>
  <c r="T1016" i="5"/>
  <c r="W1016" i="5" s="1"/>
  <c r="S1016" i="5"/>
  <c r="Y1016" i="5" s="1"/>
  <c r="R1016" i="5"/>
  <c r="X1016" i="5" s="1"/>
  <c r="L1016" i="5"/>
  <c r="K1016" i="5"/>
  <c r="T1015" i="5"/>
  <c r="Z1015" i="5" s="1"/>
  <c r="S1015" i="5"/>
  <c r="Y1015" i="5" s="1"/>
  <c r="R1015" i="5"/>
  <c r="U1015" i="5" s="1"/>
  <c r="L1015" i="5"/>
  <c r="K1015" i="5"/>
  <c r="T1014" i="5"/>
  <c r="W1014" i="5" s="1"/>
  <c r="S1014" i="5"/>
  <c r="Y1014" i="5" s="1"/>
  <c r="R1014" i="5"/>
  <c r="L1014" i="5"/>
  <c r="K1014" i="5"/>
  <c r="T1013" i="5"/>
  <c r="W1013" i="5" s="1"/>
  <c r="S1013" i="5"/>
  <c r="V1013" i="5" s="1"/>
  <c r="R1013" i="5"/>
  <c r="X1013" i="5" s="1"/>
  <c r="L1013" i="5"/>
  <c r="K1013" i="5"/>
  <c r="T1012" i="5"/>
  <c r="Z1012" i="5" s="1"/>
  <c r="S1012" i="5"/>
  <c r="V1012" i="5" s="1"/>
  <c r="R1012" i="5"/>
  <c r="L1012" i="5"/>
  <c r="K1012" i="5"/>
  <c r="T1011" i="5"/>
  <c r="Z1011" i="5" s="1"/>
  <c r="S1011" i="5"/>
  <c r="R1011" i="5"/>
  <c r="U1011" i="5" s="1"/>
  <c r="L1011" i="5"/>
  <c r="K1011" i="5"/>
  <c r="T1010" i="5"/>
  <c r="W1010" i="5" s="1"/>
  <c r="S1010" i="5"/>
  <c r="Y1010" i="5" s="1"/>
  <c r="R1010" i="5"/>
  <c r="X1010" i="5" s="1"/>
  <c r="L1010" i="5"/>
  <c r="K1010" i="5"/>
  <c r="T1009" i="5"/>
  <c r="W1009" i="5" s="1"/>
  <c r="S1009" i="5"/>
  <c r="V1009" i="5" s="1"/>
  <c r="R1009" i="5"/>
  <c r="L1009" i="5"/>
  <c r="K1009" i="5"/>
  <c r="T1008" i="5"/>
  <c r="S1008" i="5"/>
  <c r="V1008" i="5" s="1"/>
  <c r="R1008" i="5"/>
  <c r="X1008" i="5" s="1"/>
  <c r="L1008" i="5"/>
  <c r="K1008" i="5"/>
  <c r="T1007" i="5"/>
  <c r="Z1007" i="5" s="1"/>
  <c r="S1007" i="5"/>
  <c r="Y1007" i="5" s="1"/>
  <c r="R1007" i="5"/>
  <c r="U1007" i="5" s="1"/>
  <c r="L1007" i="5"/>
  <c r="K1007" i="5"/>
  <c r="T1006" i="5"/>
  <c r="W1006" i="5" s="1"/>
  <c r="S1006" i="5"/>
  <c r="Y1006" i="5" s="1"/>
  <c r="R1006" i="5"/>
  <c r="L1006" i="5"/>
  <c r="K1006" i="5"/>
  <c r="T1005" i="5"/>
  <c r="Z1005" i="5" s="1"/>
  <c r="S1005" i="5"/>
  <c r="V1005" i="5" s="1"/>
  <c r="R1005" i="5"/>
  <c r="L1005" i="5"/>
  <c r="K1005" i="5"/>
  <c r="T1004" i="5"/>
  <c r="Z1004" i="5" s="1"/>
  <c r="S1004" i="5"/>
  <c r="V1004" i="5" s="1"/>
  <c r="R1004" i="5"/>
  <c r="U1004" i="5" s="1"/>
  <c r="L1004" i="5"/>
  <c r="K1004" i="5"/>
  <c r="T1003" i="5"/>
  <c r="Z1003" i="5" s="1"/>
  <c r="S1003" i="5"/>
  <c r="R1003" i="5"/>
  <c r="U1003" i="5" s="1"/>
  <c r="L1003" i="5"/>
  <c r="K1003" i="5"/>
  <c r="T1002" i="5"/>
  <c r="Z1002" i="5" s="1"/>
  <c r="S1002" i="5"/>
  <c r="Y1002" i="5" s="1"/>
  <c r="R1002" i="5"/>
  <c r="X1002" i="5" s="1"/>
  <c r="L1002" i="5"/>
  <c r="K1002" i="5"/>
  <c r="T1001" i="5"/>
  <c r="W1001" i="5" s="1"/>
  <c r="S1001" i="5"/>
  <c r="Y1001" i="5" s="1"/>
  <c r="R1001" i="5"/>
  <c r="X1001" i="5" s="1"/>
  <c r="L1001" i="5"/>
  <c r="K1001" i="5"/>
  <c r="T1000" i="5"/>
  <c r="S1000" i="5"/>
  <c r="V1000" i="5" s="1"/>
  <c r="R1000" i="5"/>
  <c r="U1000" i="5" s="1"/>
  <c r="L1000" i="5"/>
  <c r="K1000" i="5"/>
  <c r="T999" i="5"/>
  <c r="Z999" i="5" s="1"/>
  <c r="S999" i="5"/>
  <c r="Y999" i="5" s="1"/>
  <c r="R999" i="5"/>
  <c r="U999" i="5" s="1"/>
  <c r="L999" i="5"/>
  <c r="K999" i="5"/>
  <c r="T998" i="5"/>
  <c r="W998" i="5" s="1"/>
  <c r="S998" i="5"/>
  <c r="Y998" i="5" s="1"/>
  <c r="R998" i="5"/>
  <c r="L998" i="5"/>
  <c r="K998" i="5"/>
  <c r="T997" i="5"/>
  <c r="W997" i="5" s="1"/>
  <c r="S997" i="5"/>
  <c r="Y997" i="5" s="1"/>
  <c r="R997" i="5"/>
  <c r="X997" i="5" s="1"/>
  <c r="L997" i="5"/>
  <c r="K997" i="5"/>
  <c r="T996" i="5"/>
  <c r="S996" i="5"/>
  <c r="V996" i="5" s="1"/>
  <c r="R996" i="5"/>
  <c r="U996" i="5" s="1"/>
  <c r="Q996" i="5"/>
  <c r="L996" i="5"/>
  <c r="K996" i="5"/>
  <c r="T995" i="5"/>
  <c r="S995" i="5"/>
  <c r="V995" i="5" s="1"/>
  <c r="R995" i="5"/>
  <c r="U995" i="5" s="1"/>
  <c r="Q995" i="5"/>
  <c r="L995" i="5"/>
  <c r="K995" i="5"/>
  <c r="U994" i="5"/>
  <c r="T994" i="5"/>
  <c r="S994" i="5"/>
  <c r="V994" i="5" s="1"/>
  <c r="R994" i="5"/>
  <c r="Q994" i="5"/>
  <c r="X994" i="5" s="1"/>
  <c r="L994" i="5"/>
  <c r="K994" i="5"/>
  <c r="T993" i="5"/>
  <c r="S993" i="5"/>
  <c r="V993" i="5" s="1"/>
  <c r="R993" i="5"/>
  <c r="U993" i="5" s="1"/>
  <c r="Q993" i="5"/>
  <c r="L993" i="5"/>
  <c r="K993" i="5"/>
  <c r="T992" i="5"/>
  <c r="S992" i="5"/>
  <c r="V992" i="5" s="1"/>
  <c r="R992" i="5"/>
  <c r="U992" i="5" s="1"/>
  <c r="Q992" i="5"/>
  <c r="L992" i="5"/>
  <c r="K992" i="5"/>
  <c r="T991" i="5"/>
  <c r="S991" i="5"/>
  <c r="V991" i="5" s="1"/>
  <c r="R991" i="5"/>
  <c r="U991" i="5" s="1"/>
  <c r="L991" i="5"/>
  <c r="K991" i="5"/>
  <c r="T990" i="5"/>
  <c r="Z990" i="5" s="1"/>
  <c r="S990" i="5"/>
  <c r="Y990" i="5" s="1"/>
  <c r="R990" i="5"/>
  <c r="U990" i="5" s="1"/>
  <c r="L990" i="5"/>
  <c r="K990" i="5"/>
  <c r="T989" i="5"/>
  <c r="W989" i="5" s="1"/>
  <c r="S989" i="5"/>
  <c r="V989" i="5" s="1"/>
  <c r="R989" i="5"/>
  <c r="L989" i="5"/>
  <c r="K989" i="5"/>
  <c r="T988" i="5"/>
  <c r="W988" i="5" s="1"/>
  <c r="S988" i="5"/>
  <c r="R988" i="5"/>
  <c r="Q988" i="5"/>
  <c r="L988" i="5"/>
  <c r="K988" i="5"/>
  <c r="T987" i="5"/>
  <c r="S987" i="5"/>
  <c r="Y987" i="5" s="1"/>
  <c r="R987" i="5"/>
  <c r="L987" i="5"/>
  <c r="K987" i="5"/>
  <c r="T986" i="5"/>
  <c r="S986" i="5"/>
  <c r="V986" i="5" s="1"/>
  <c r="R986" i="5"/>
  <c r="U986" i="5" s="1"/>
  <c r="L986" i="5"/>
  <c r="K986" i="5"/>
  <c r="T985" i="5"/>
  <c r="W985" i="5" s="1"/>
  <c r="S985" i="5"/>
  <c r="V985" i="5" s="1"/>
  <c r="R985" i="5"/>
  <c r="U985" i="5" s="1"/>
  <c r="L985" i="5"/>
  <c r="K985" i="5"/>
  <c r="T984" i="5"/>
  <c r="S984" i="5"/>
  <c r="V984" i="5" s="1"/>
  <c r="R984" i="5"/>
  <c r="Q984" i="5"/>
  <c r="Q985" i="5" s="1"/>
  <c r="L984" i="5"/>
  <c r="K984" i="5"/>
  <c r="T983" i="5"/>
  <c r="W983" i="5" s="1"/>
  <c r="S983" i="5"/>
  <c r="R983" i="5"/>
  <c r="X983" i="5" s="1"/>
  <c r="L983" i="5"/>
  <c r="K983" i="5"/>
  <c r="T982" i="5"/>
  <c r="S982" i="5"/>
  <c r="Y982" i="5" s="1"/>
  <c r="R982" i="5"/>
  <c r="U982" i="5" s="1"/>
  <c r="L982" i="5"/>
  <c r="K982" i="5"/>
  <c r="T981" i="5"/>
  <c r="Z981" i="5" s="1"/>
  <c r="S981" i="5"/>
  <c r="Y981" i="5" s="1"/>
  <c r="R981" i="5"/>
  <c r="L981" i="5"/>
  <c r="K981" i="5"/>
  <c r="T980" i="5"/>
  <c r="Z980" i="5" s="1"/>
  <c r="S980" i="5"/>
  <c r="R980" i="5"/>
  <c r="X980" i="5" s="1"/>
  <c r="P980" i="5"/>
  <c r="L980" i="5"/>
  <c r="K980" i="5"/>
  <c r="T979" i="5"/>
  <c r="W979" i="5" s="1"/>
  <c r="S979" i="5"/>
  <c r="Y979" i="5" s="1"/>
  <c r="R979" i="5"/>
  <c r="X979" i="5" s="1"/>
  <c r="L979" i="5"/>
  <c r="K979" i="5"/>
  <c r="T978" i="5"/>
  <c r="S978" i="5"/>
  <c r="V978" i="5" s="1"/>
  <c r="R978" i="5"/>
  <c r="X978" i="5" s="1"/>
  <c r="L978" i="5"/>
  <c r="K978" i="5"/>
  <c r="T977" i="5"/>
  <c r="Z977" i="5" s="1"/>
  <c r="S977" i="5"/>
  <c r="Y977" i="5" s="1"/>
  <c r="R977" i="5"/>
  <c r="U977" i="5" s="1"/>
  <c r="L977" i="5"/>
  <c r="K977" i="5"/>
  <c r="T976" i="5"/>
  <c r="S976" i="5"/>
  <c r="R976" i="5"/>
  <c r="Q976" i="5"/>
  <c r="L976" i="5"/>
  <c r="K976" i="5"/>
  <c r="T975" i="5"/>
  <c r="Z975" i="5" s="1"/>
  <c r="S975" i="5"/>
  <c r="Y975" i="5" s="1"/>
  <c r="R975" i="5"/>
  <c r="U975" i="5" s="1"/>
  <c r="L975" i="5"/>
  <c r="K975" i="5"/>
  <c r="T974" i="5"/>
  <c r="W974" i="5" s="1"/>
  <c r="S974" i="5"/>
  <c r="V974" i="5" s="1"/>
  <c r="R974" i="5"/>
  <c r="X974" i="5" s="1"/>
  <c r="L974" i="5"/>
  <c r="K974" i="5"/>
  <c r="T973" i="5"/>
  <c r="S973" i="5"/>
  <c r="Y973" i="5" s="1"/>
  <c r="R973" i="5"/>
  <c r="X973" i="5" s="1"/>
  <c r="L973" i="5"/>
  <c r="K973" i="5"/>
  <c r="T972" i="5"/>
  <c r="Z972" i="5" s="1"/>
  <c r="S972" i="5"/>
  <c r="Y972" i="5" s="1"/>
  <c r="R972" i="5"/>
  <c r="U972" i="5" s="1"/>
  <c r="L972" i="5"/>
  <c r="K972" i="5"/>
  <c r="T971" i="5"/>
  <c r="W971" i="5" s="1"/>
  <c r="S971" i="5"/>
  <c r="R971" i="5"/>
  <c r="L971" i="5"/>
  <c r="K971" i="5"/>
  <c r="T970" i="5"/>
  <c r="W970" i="5" s="1"/>
  <c r="S970" i="5"/>
  <c r="V970" i="5" s="1"/>
  <c r="R970" i="5"/>
  <c r="U970" i="5" s="1"/>
  <c r="L970" i="5"/>
  <c r="K970" i="5"/>
  <c r="T969" i="5"/>
  <c r="W969" i="5" s="1"/>
  <c r="S969" i="5"/>
  <c r="R969" i="5"/>
  <c r="L969" i="5"/>
  <c r="K969" i="5"/>
  <c r="T968" i="5"/>
  <c r="W968" i="5" s="1"/>
  <c r="S968" i="5"/>
  <c r="V968" i="5" s="1"/>
  <c r="R968" i="5"/>
  <c r="Q968" i="5"/>
  <c r="Q969" i="5" s="1"/>
  <c r="L968" i="5"/>
  <c r="K968" i="5"/>
  <c r="T967" i="5"/>
  <c r="S967" i="5"/>
  <c r="Y967" i="5" s="1"/>
  <c r="R967" i="5"/>
  <c r="L967" i="5"/>
  <c r="K967" i="5"/>
  <c r="T966" i="5"/>
  <c r="W966" i="5" s="1"/>
  <c r="S966" i="5"/>
  <c r="Y966" i="5" s="1"/>
  <c r="R966" i="5"/>
  <c r="L966" i="5"/>
  <c r="K966" i="5"/>
  <c r="T965" i="5"/>
  <c r="W965" i="5" s="1"/>
  <c r="S965" i="5"/>
  <c r="V965" i="5" s="1"/>
  <c r="R965" i="5"/>
  <c r="X965" i="5" s="1"/>
  <c r="L965" i="5"/>
  <c r="K965" i="5"/>
  <c r="T964" i="5"/>
  <c r="S964" i="5"/>
  <c r="R964" i="5"/>
  <c r="U964" i="5" s="1"/>
  <c r="Q964" i="5"/>
  <c r="L964" i="5"/>
  <c r="K964" i="5"/>
  <c r="T963" i="5"/>
  <c r="Z963" i="5" s="1"/>
  <c r="S963" i="5"/>
  <c r="V963" i="5" s="1"/>
  <c r="R963" i="5"/>
  <c r="U963" i="5" s="1"/>
  <c r="L963" i="5"/>
  <c r="K963" i="5"/>
  <c r="T962" i="5"/>
  <c r="S962" i="5"/>
  <c r="Y962" i="5" s="1"/>
  <c r="R962" i="5"/>
  <c r="L962" i="5"/>
  <c r="K962" i="5"/>
  <c r="T961" i="5"/>
  <c r="Z961" i="5" s="1"/>
  <c r="S961" i="5"/>
  <c r="Y961" i="5" s="1"/>
  <c r="R961" i="5"/>
  <c r="L961" i="5"/>
  <c r="K961" i="5"/>
  <c r="T960" i="5"/>
  <c r="W960" i="5" s="1"/>
  <c r="S960" i="5"/>
  <c r="Y960" i="5" s="1"/>
  <c r="R960" i="5"/>
  <c r="X960" i="5" s="1"/>
  <c r="L960" i="5"/>
  <c r="K960" i="5"/>
  <c r="T959" i="5"/>
  <c r="S959" i="5"/>
  <c r="R959" i="5"/>
  <c r="Q959" i="5"/>
  <c r="L959" i="5"/>
  <c r="K959" i="5"/>
  <c r="T958" i="5"/>
  <c r="S958" i="5"/>
  <c r="V958" i="5" s="1"/>
  <c r="R958" i="5"/>
  <c r="U958" i="5" s="1"/>
  <c r="L958" i="5"/>
  <c r="K958" i="5"/>
  <c r="T957" i="5"/>
  <c r="W957" i="5" s="1"/>
  <c r="S957" i="5"/>
  <c r="Y957" i="5" s="1"/>
  <c r="R957" i="5"/>
  <c r="L957" i="5"/>
  <c r="K957" i="5"/>
  <c r="T956" i="5"/>
  <c r="W956" i="5" s="1"/>
  <c r="S956" i="5"/>
  <c r="V956" i="5" s="1"/>
  <c r="R956" i="5"/>
  <c r="U956" i="5" s="1"/>
  <c r="L956" i="5"/>
  <c r="K956" i="5"/>
  <c r="T955" i="5"/>
  <c r="S955" i="5"/>
  <c r="R955" i="5"/>
  <c r="P955" i="5"/>
  <c r="L955" i="5"/>
  <c r="K955" i="5"/>
  <c r="T954" i="5"/>
  <c r="W954" i="5" s="1"/>
  <c r="S954" i="5"/>
  <c r="R954" i="5"/>
  <c r="U954" i="5" s="1"/>
  <c r="Q954" i="5"/>
  <c r="L954" i="5"/>
  <c r="K954" i="5"/>
  <c r="T953" i="5"/>
  <c r="W953" i="5" s="1"/>
  <c r="S953" i="5"/>
  <c r="Y953" i="5" s="1"/>
  <c r="R953" i="5"/>
  <c r="L953" i="5"/>
  <c r="K953" i="5"/>
  <c r="T952" i="5"/>
  <c r="W952" i="5" s="1"/>
  <c r="S952" i="5"/>
  <c r="Y952" i="5" s="1"/>
  <c r="R952" i="5"/>
  <c r="L952" i="5"/>
  <c r="K952" i="5"/>
  <c r="T951" i="5"/>
  <c r="Z951" i="5" s="1"/>
  <c r="S951" i="5"/>
  <c r="V951" i="5" s="1"/>
  <c r="R951" i="5"/>
  <c r="X951" i="5" s="1"/>
  <c r="L951" i="5"/>
  <c r="K951" i="5"/>
  <c r="T950" i="5"/>
  <c r="Z950" i="5" s="1"/>
  <c r="S950" i="5"/>
  <c r="R950" i="5"/>
  <c r="U950" i="5" s="1"/>
  <c r="L950" i="5"/>
  <c r="K950" i="5"/>
  <c r="T949" i="5"/>
  <c r="Z949" i="5" s="1"/>
  <c r="S949" i="5"/>
  <c r="Y949" i="5" s="1"/>
  <c r="R949" i="5"/>
  <c r="U949" i="5" s="1"/>
  <c r="L949" i="5"/>
  <c r="K949" i="5"/>
  <c r="T948" i="5"/>
  <c r="W948" i="5" s="1"/>
  <c r="S948" i="5"/>
  <c r="Y948" i="5" s="1"/>
  <c r="R948" i="5"/>
  <c r="X948" i="5" s="1"/>
  <c r="L948" i="5"/>
  <c r="K948" i="5"/>
  <c r="T947" i="5"/>
  <c r="S947" i="5"/>
  <c r="Y947" i="5" s="1"/>
  <c r="R947" i="5"/>
  <c r="X947" i="5" s="1"/>
  <c r="L947" i="5"/>
  <c r="K947" i="5"/>
  <c r="T946" i="5"/>
  <c r="Z946" i="5" s="1"/>
  <c r="S946" i="5"/>
  <c r="R946" i="5"/>
  <c r="X946" i="5" s="1"/>
  <c r="L946" i="5"/>
  <c r="K946" i="5"/>
  <c r="T945" i="5"/>
  <c r="W945" i="5" s="1"/>
  <c r="S945" i="5"/>
  <c r="Y945" i="5" s="1"/>
  <c r="R945" i="5"/>
  <c r="L945" i="5"/>
  <c r="K945" i="5"/>
  <c r="T944" i="5"/>
  <c r="S944" i="5"/>
  <c r="Y944" i="5" s="1"/>
  <c r="R944" i="5"/>
  <c r="X944" i="5" s="1"/>
  <c r="L944" i="5"/>
  <c r="K944" i="5"/>
  <c r="W943" i="5"/>
  <c r="T943" i="5"/>
  <c r="Z943" i="5" s="1"/>
  <c r="S943" i="5"/>
  <c r="R943" i="5"/>
  <c r="U943" i="5" s="1"/>
  <c r="L943" i="5"/>
  <c r="K943" i="5"/>
  <c r="T942" i="5"/>
  <c r="Z942" i="5" s="1"/>
  <c r="S942" i="5"/>
  <c r="R942" i="5"/>
  <c r="L942" i="5"/>
  <c r="K942" i="5"/>
  <c r="T941" i="5"/>
  <c r="Z941" i="5" s="1"/>
  <c r="S941" i="5"/>
  <c r="R941" i="5"/>
  <c r="X941" i="5" s="1"/>
  <c r="L941" i="5"/>
  <c r="K941" i="5"/>
  <c r="W940" i="5"/>
  <c r="T940" i="5"/>
  <c r="S940" i="5"/>
  <c r="R940" i="5"/>
  <c r="L940" i="5"/>
  <c r="K940" i="5"/>
  <c r="T939" i="5"/>
  <c r="W939" i="5" s="1"/>
  <c r="S939" i="5"/>
  <c r="V939" i="5" s="1"/>
  <c r="R939" i="5"/>
  <c r="U939" i="5" s="1"/>
  <c r="L939" i="5"/>
  <c r="K939" i="5"/>
  <c r="T938" i="5"/>
  <c r="W938" i="5" s="1"/>
  <c r="S938" i="5"/>
  <c r="V938" i="5" s="1"/>
  <c r="R938" i="5"/>
  <c r="Q938" i="5"/>
  <c r="L938" i="5"/>
  <c r="K938" i="5"/>
  <c r="T937" i="5"/>
  <c r="S937" i="5"/>
  <c r="Y937" i="5" s="1"/>
  <c r="R937" i="5"/>
  <c r="X937" i="5" s="1"/>
  <c r="L937" i="5"/>
  <c r="K937" i="5"/>
  <c r="T936" i="5"/>
  <c r="Z936" i="5" s="1"/>
  <c r="S936" i="5"/>
  <c r="Y936" i="5" s="1"/>
  <c r="R936" i="5"/>
  <c r="L936" i="5"/>
  <c r="K936" i="5"/>
  <c r="T935" i="5"/>
  <c r="Z935" i="5" s="1"/>
  <c r="S935" i="5"/>
  <c r="R935" i="5"/>
  <c r="X935" i="5" s="1"/>
  <c r="L935" i="5"/>
  <c r="K935" i="5"/>
  <c r="T934" i="5"/>
  <c r="Z934" i="5" s="1"/>
  <c r="S934" i="5"/>
  <c r="Y934" i="5" s="1"/>
  <c r="R934" i="5"/>
  <c r="X934" i="5" s="1"/>
  <c r="L934" i="5"/>
  <c r="K934" i="5"/>
  <c r="T933" i="5"/>
  <c r="S933" i="5"/>
  <c r="R933" i="5"/>
  <c r="X933" i="5" s="1"/>
  <c r="L933" i="5"/>
  <c r="K933" i="5"/>
  <c r="T932" i="5"/>
  <c r="S932" i="5"/>
  <c r="V932" i="5" s="1"/>
  <c r="R932" i="5"/>
  <c r="X932" i="5" s="1"/>
  <c r="L932" i="5"/>
  <c r="K932" i="5"/>
  <c r="T931" i="5"/>
  <c r="Z931" i="5" s="1"/>
  <c r="S931" i="5"/>
  <c r="Y931" i="5" s="1"/>
  <c r="R931" i="5"/>
  <c r="L931" i="5"/>
  <c r="K931" i="5"/>
  <c r="T930" i="5"/>
  <c r="S930" i="5"/>
  <c r="Y930" i="5" s="1"/>
  <c r="R930" i="5"/>
  <c r="L930" i="5"/>
  <c r="K930" i="5"/>
  <c r="T929" i="5"/>
  <c r="Z929" i="5" s="1"/>
  <c r="S929" i="5"/>
  <c r="R929" i="5"/>
  <c r="X929" i="5" s="1"/>
  <c r="L929" i="5"/>
  <c r="K929" i="5"/>
  <c r="T928" i="5"/>
  <c r="Z928" i="5" s="1"/>
  <c r="S928" i="5"/>
  <c r="R928" i="5"/>
  <c r="X928" i="5" s="1"/>
  <c r="L928" i="5"/>
  <c r="K928" i="5"/>
  <c r="T927" i="5"/>
  <c r="Z927" i="5" s="1"/>
  <c r="S927" i="5"/>
  <c r="R927" i="5"/>
  <c r="L927" i="5"/>
  <c r="K927" i="5"/>
  <c r="T926" i="5"/>
  <c r="Z926" i="5" s="1"/>
  <c r="S926" i="5"/>
  <c r="Y926" i="5" s="1"/>
  <c r="R926" i="5"/>
  <c r="X926" i="5" s="1"/>
  <c r="L926" i="5"/>
  <c r="K926" i="5"/>
  <c r="T925" i="5"/>
  <c r="Z925" i="5" s="1"/>
  <c r="S925" i="5"/>
  <c r="V925" i="5" s="1"/>
  <c r="R925" i="5"/>
  <c r="X925" i="5" s="1"/>
  <c r="L925" i="5"/>
  <c r="K925" i="5"/>
  <c r="T924" i="5"/>
  <c r="S924" i="5"/>
  <c r="R924" i="5"/>
  <c r="X924" i="5" s="1"/>
  <c r="L924" i="5"/>
  <c r="K924" i="5"/>
  <c r="T923" i="5"/>
  <c r="Z923" i="5" s="1"/>
  <c r="S923" i="5"/>
  <c r="Y923" i="5" s="1"/>
  <c r="R923" i="5"/>
  <c r="U923" i="5" s="1"/>
  <c r="L923" i="5"/>
  <c r="K923" i="5"/>
  <c r="T922" i="5"/>
  <c r="Z922" i="5" s="1"/>
  <c r="S922" i="5"/>
  <c r="Y922" i="5" s="1"/>
  <c r="R922" i="5"/>
  <c r="L922" i="5"/>
  <c r="K922" i="5"/>
  <c r="T921" i="5"/>
  <c r="Z921" i="5" s="1"/>
  <c r="S921" i="5"/>
  <c r="Y921" i="5" s="1"/>
  <c r="R921" i="5"/>
  <c r="X921" i="5" s="1"/>
  <c r="L921" i="5"/>
  <c r="K921" i="5"/>
  <c r="T920" i="5"/>
  <c r="W920" i="5" s="1"/>
  <c r="S920" i="5"/>
  <c r="V920" i="5" s="1"/>
  <c r="R920" i="5"/>
  <c r="U920" i="5" s="1"/>
  <c r="L920" i="5"/>
  <c r="K920" i="5"/>
  <c r="T919" i="5"/>
  <c r="S919" i="5"/>
  <c r="V919" i="5" s="1"/>
  <c r="R919" i="5"/>
  <c r="Q919" i="5"/>
  <c r="Q920" i="5" s="1"/>
  <c r="L919" i="5"/>
  <c r="K919" i="5"/>
  <c r="T918" i="5"/>
  <c r="Z918" i="5" s="1"/>
  <c r="S918" i="5"/>
  <c r="V918" i="5" s="1"/>
  <c r="R918" i="5"/>
  <c r="X918" i="5" s="1"/>
  <c r="L918" i="5"/>
  <c r="K918" i="5"/>
  <c r="T917" i="5"/>
  <c r="Z917" i="5" s="1"/>
  <c r="S917" i="5"/>
  <c r="R917" i="5"/>
  <c r="X917" i="5" s="1"/>
  <c r="L917" i="5"/>
  <c r="K917" i="5"/>
  <c r="T916" i="5"/>
  <c r="Z916" i="5" s="1"/>
  <c r="S916" i="5"/>
  <c r="Y916" i="5" s="1"/>
  <c r="R916" i="5"/>
  <c r="U916" i="5" s="1"/>
  <c r="L916" i="5"/>
  <c r="K916" i="5"/>
  <c r="T915" i="5"/>
  <c r="Z915" i="5" s="1"/>
  <c r="S915" i="5"/>
  <c r="V915" i="5" s="1"/>
  <c r="R915" i="5"/>
  <c r="X915" i="5" s="1"/>
  <c r="L915" i="5"/>
  <c r="K915" i="5"/>
  <c r="T914" i="5"/>
  <c r="S914" i="5"/>
  <c r="Y914" i="5" s="1"/>
  <c r="R914" i="5"/>
  <c r="X914" i="5" s="1"/>
  <c r="L914" i="5"/>
  <c r="K914" i="5"/>
  <c r="T913" i="5"/>
  <c r="W913" i="5" s="1"/>
  <c r="S913" i="5"/>
  <c r="V913" i="5" s="1"/>
  <c r="R913" i="5"/>
  <c r="U913" i="5" s="1"/>
  <c r="Q913" i="5"/>
  <c r="L913" i="5"/>
  <c r="K913" i="5"/>
  <c r="T912" i="5"/>
  <c r="Z912" i="5" s="1"/>
  <c r="S912" i="5"/>
  <c r="R912" i="5"/>
  <c r="X912" i="5" s="1"/>
  <c r="L912" i="5"/>
  <c r="K912" i="5"/>
  <c r="T911" i="5"/>
  <c r="Z911" i="5" s="1"/>
  <c r="S911" i="5"/>
  <c r="Y911" i="5" s="1"/>
  <c r="R911" i="5"/>
  <c r="U911" i="5" s="1"/>
  <c r="L911" i="5"/>
  <c r="K911" i="5"/>
  <c r="W910" i="5"/>
  <c r="T910" i="5"/>
  <c r="Z910" i="5" s="1"/>
  <c r="S910" i="5"/>
  <c r="Y910" i="5" s="1"/>
  <c r="R910" i="5"/>
  <c r="L910" i="5"/>
  <c r="K910" i="5"/>
  <c r="T909" i="5"/>
  <c r="S909" i="5"/>
  <c r="Y909" i="5" s="1"/>
  <c r="R909" i="5"/>
  <c r="X909" i="5" s="1"/>
  <c r="L909" i="5"/>
  <c r="K909" i="5"/>
  <c r="T908" i="5"/>
  <c r="W908" i="5" s="1"/>
  <c r="S908" i="5"/>
  <c r="V908" i="5" s="1"/>
  <c r="R908" i="5"/>
  <c r="U908" i="5" s="1"/>
  <c r="Q908" i="5"/>
  <c r="L908" i="5"/>
  <c r="K908" i="5"/>
  <c r="T907" i="5"/>
  <c r="Z907" i="5" s="1"/>
  <c r="S907" i="5"/>
  <c r="R907" i="5"/>
  <c r="X907" i="5" s="1"/>
  <c r="L907" i="5"/>
  <c r="K907" i="5"/>
  <c r="T906" i="5"/>
  <c r="Z906" i="5" s="1"/>
  <c r="S906" i="5"/>
  <c r="R906" i="5"/>
  <c r="U906" i="5" s="1"/>
  <c r="L906" i="5"/>
  <c r="K906" i="5"/>
  <c r="T905" i="5"/>
  <c r="S905" i="5"/>
  <c r="R905" i="5"/>
  <c r="Q905" i="5"/>
  <c r="L905" i="5"/>
  <c r="K905" i="5"/>
  <c r="T904" i="5"/>
  <c r="Z904" i="5" s="1"/>
  <c r="S904" i="5"/>
  <c r="R904" i="5"/>
  <c r="L904" i="5"/>
  <c r="K904" i="5"/>
  <c r="T903" i="5"/>
  <c r="W903" i="5" s="1"/>
  <c r="S903" i="5"/>
  <c r="Y903" i="5" s="1"/>
  <c r="R903" i="5"/>
  <c r="L903" i="5"/>
  <c r="K903" i="5"/>
  <c r="T902" i="5"/>
  <c r="Z902" i="5" s="1"/>
  <c r="S902" i="5"/>
  <c r="Y902" i="5" s="1"/>
  <c r="R902" i="5"/>
  <c r="U902" i="5" s="1"/>
  <c r="L902" i="5"/>
  <c r="K902" i="5"/>
  <c r="T901" i="5"/>
  <c r="S901" i="5"/>
  <c r="R901" i="5"/>
  <c r="P901" i="5"/>
  <c r="L901" i="5"/>
  <c r="K901" i="5"/>
  <c r="T900" i="5"/>
  <c r="Z900" i="5" s="1"/>
  <c r="S900" i="5"/>
  <c r="Y900" i="5" s="1"/>
  <c r="R900" i="5"/>
  <c r="U900" i="5" s="1"/>
  <c r="L900" i="5"/>
  <c r="K900" i="5"/>
  <c r="T899" i="5"/>
  <c r="Z899" i="5" s="1"/>
  <c r="S899" i="5"/>
  <c r="V899" i="5" s="1"/>
  <c r="R899" i="5"/>
  <c r="L899" i="5"/>
  <c r="K899" i="5"/>
  <c r="T898" i="5"/>
  <c r="S898" i="5"/>
  <c r="Y898" i="5" s="1"/>
  <c r="R898" i="5"/>
  <c r="X898" i="5" s="1"/>
  <c r="L898" i="5"/>
  <c r="K898" i="5"/>
  <c r="T897" i="5"/>
  <c r="Z897" i="5" s="1"/>
  <c r="S897" i="5"/>
  <c r="Y897" i="5" s="1"/>
  <c r="R897" i="5"/>
  <c r="U897" i="5" s="1"/>
  <c r="L897" i="5"/>
  <c r="K897" i="5"/>
  <c r="T896" i="5"/>
  <c r="W896" i="5" s="1"/>
  <c r="S896" i="5"/>
  <c r="R896" i="5"/>
  <c r="U896" i="5" s="1"/>
  <c r="L896" i="5"/>
  <c r="K896" i="5"/>
  <c r="T895" i="5"/>
  <c r="W895" i="5" s="1"/>
  <c r="S895" i="5"/>
  <c r="R895" i="5"/>
  <c r="U895" i="5" s="1"/>
  <c r="L895" i="5"/>
  <c r="K895" i="5"/>
  <c r="T894" i="5"/>
  <c r="S894" i="5"/>
  <c r="R894" i="5"/>
  <c r="Q894" i="5"/>
  <c r="Q895" i="5" s="1"/>
  <c r="Q896" i="5" s="1"/>
  <c r="X896" i="5" s="1"/>
  <c r="L894" i="5"/>
  <c r="K894" i="5"/>
  <c r="T893" i="5"/>
  <c r="Z893" i="5" s="1"/>
  <c r="S893" i="5"/>
  <c r="Y893" i="5" s="1"/>
  <c r="R893" i="5"/>
  <c r="P893" i="5"/>
  <c r="L893" i="5"/>
  <c r="K893" i="5"/>
  <c r="T892" i="5"/>
  <c r="Z892" i="5" s="1"/>
  <c r="S892" i="5"/>
  <c r="R892" i="5"/>
  <c r="L892" i="5"/>
  <c r="K892" i="5"/>
  <c r="T891" i="5"/>
  <c r="S891" i="5"/>
  <c r="V891" i="5" s="1"/>
  <c r="R891" i="5"/>
  <c r="Q891" i="5"/>
  <c r="L891" i="5"/>
  <c r="K891" i="5"/>
  <c r="T890" i="5"/>
  <c r="Z890" i="5" s="1"/>
  <c r="S890" i="5"/>
  <c r="V890" i="5" s="1"/>
  <c r="R890" i="5"/>
  <c r="L890" i="5"/>
  <c r="K890" i="5"/>
  <c r="T889" i="5"/>
  <c r="W889" i="5" s="1"/>
  <c r="S889" i="5"/>
  <c r="R889" i="5"/>
  <c r="U889" i="5" s="1"/>
  <c r="L889" i="5"/>
  <c r="K889" i="5"/>
  <c r="T888" i="5"/>
  <c r="W888" i="5" s="1"/>
  <c r="S888" i="5"/>
  <c r="R888" i="5"/>
  <c r="U888" i="5" s="1"/>
  <c r="Q888" i="5"/>
  <c r="Q889" i="5" s="1"/>
  <c r="Z889" i="5" s="1"/>
  <c r="L888" i="5"/>
  <c r="K888" i="5"/>
  <c r="T887" i="5"/>
  <c r="W887" i="5" s="1"/>
  <c r="S887" i="5"/>
  <c r="Y887" i="5" s="1"/>
  <c r="R887" i="5"/>
  <c r="X887" i="5" s="1"/>
  <c r="L887" i="5"/>
  <c r="K887" i="5"/>
  <c r="T886" i="5"/>
  <c r="S886" i="5"/>
  <c r="R886" i="5"/>
  <c r="Q886" i="5"/>
  <c r="P886" i="5"/>
  <c r="L886" i="5"/>
  <c r="K886" i="5"/>
  <c r="T885" i="5"/>
  <c r="S885" i="5"/>
  <c r="Y885" i="5" s="1"/>
  <c r="R885" i="5"/>
  <c r="X885" i="5" s="1"/>
  <c r="P885" i="5"/>
  <c r="L885" i="5"/>
  <c r="K885" i="5"/>
  <c r="T884" i="5"/>
  <c r="W884" i="5" s="1"/>
  <c r="S884" i="5"/>
  <c r="R884" i="5"/>
  <c r="U884" i="5" s="1"/>
  <c r="L884" i="5"/>
  <c r="K884" i="5"/>
  <c r="T883" i="5"/>
  <c r="S883" i="5"/>
  <c r="R883" i="5"/>
  <c r="Q883" i="5"/>
  <c r="Q884" i="5" s="1"/>
  <c r="P883" i="5"/>
  <c r="L883" i="5"/>
  <c r="K883" i="5"/>
  <c r="T882" i="5"/>
  <c r="S882" i="5"/>
  <c r="V882" i="5" s="1"/>
  <c r="R882" i="5"/>
  <c r="L882" i="5"/>
  <c r="K882" i="5"/>
  <c r="T881" i="5"/>
  <c r="W881" i="5" s="1"/>
  <c r="S881" i="5"/>
  <c r="Y881" i="5" s="1"/>
  <c r="R881" i="5"/>
  <c r="X881" i="5" s="1"/>
  <c r="L881" i="5"/>
  <c r="K881" i="5"/>
  <c r="T880" i="5"/>
  <c r="Z880" i="5" s="1"/>
  <c r="S880" i="5"/>
  <c r="Y880" i="5" s="1"/>
  <c r="R880" i="5"/>
  <c r="X880" i="5" s="1"/>
  <c r="L880" i="5"/>
  <c r="K880" i="5"/>
  <c r="T879" i="5"/>
  <c r="W879" i="5" s="1"/>
  <c r="S879" i="5"/>
  <c r="R879" i="5"/>
  <c r="U879" i="5" s="1"/>
  <c r="Q879" i="5"/>
  <c r="L879" i="5"/>
  <c r="K879" i="5"/>
  <c r="T878" i="5"/>
  <c r="S878" i="5"/>
  <c r="R878" i="5"/>
  <c r="U878" i="5" s="1"/>
  <c r="Q878" i="5"/>
  <c r="L878" i="5"/>
  <c r="K878" i="5"/>
  <c r="T877" i="5"/>
  <c r="W877" i="5" s="1"/>
  <c r="S877" i="5"/>
  <c r="R877" i="5"/>
  <c r="L877" i="5"/>
  <c r="K877" i="5"/>
  <c r="T876" i="5"/>
  <c r="Z876" i="5" s="1"/>
  <c r="S876" i="5"/>
  <c r="Y876" i="5" s="1"/>
  <c r="R876" i="5"/>
  <c r="X876" i="5" s="1"/>
  <c r="L876" i="5"/>
  <c r="K876" i="5"/>
  <c r="T875" i="5"/>
  <c r="S875" i="5"/>
  <c r="R875" i="5"/>
  <c r="P875" i="5"/>
  <c r="L875" i="5"/>
  <c r="K875" i="5"/>
  <c r="T874" i="5"/>
  <c r="S874" i="5"/>
  <c r="V874" i="5" s="1"/>
  <c r="R874" i="5"/>
  <c r="U874" i="5" s="1"/>
  <c r="Q874" i="5"/>
  <c r="Q875" i="5" s="1"/>
  <c r="L874" i="5"/>
  <c r="K874" i="5"/>
  <c r="T873" i="5"/>
  <c r="Z873" i="5" s="1"/>
  <c r="S873" i="5"/>
  <c r="V873" i="5" s="1"/>
  <c r="R873" i="5"/>
  <c r="L873" i="5"/>
  <c r="K873" i="5"/>
  <c r="T872" i="5"/>
  <c r="Z872" i="5" s="1"/>
  <c r="S872" i="5"/>
  <c r="Y872" i="5" s="1"/>
  <c r="R872" i="5"/>
  <c r="X872" i="5" s="1"/>
  <c r="L872" i="5"/>
  <c r="K872" i="5"/>
  <c r="T871" i="5"/>
  <c r="W871" i="5" s="1"/>
  <c r="S871" i="5"/>
  <c r="V871" i="5" s="1"/>
  <c r="R871" i="5"/>
  <c r="U871" i="5" s="1"/>
  <c r="Q871" i="5"/>
  <c r="L871" i="5"/>
  <c r="K871" i="5"/>
  <c r="T870" i="5"/>
  <c r="S870" i="5"/>
  <c r="V870" i="5" s="1"/>
  <c r="R870" i="5"/>
  <c r="Q870" i="5"/>
  <c r="L870" i="5"/>
  <c r="K870" i="5"/>
  <c r="T869" i="5"/>
  <c r="S869" i="5"/>
  <c r="V869" i="5" s="1"/>
  <c r="R869" i="5"/>
  <c r="U869" i="5" s="1"/>
  <c r="L869" i="5"/>
  <c r="K869" i="5"/>
  <c r="T868" i="5"/>
  <c r="S868" i="5"/>
  <c r="V868" i="5" s="1"/>
  <c r="R868" i="5"/>
  <c r="Q868" i="5"/>
  <c r="L868" i="5"/>
  <c r="K868" i="5"/>
  <c r="T867" i="5"/>
  <c r="Z867" i="5" s="1"/>
  <c r="S867" i="5"/>
  <c r="Y867" i="5" s="1"/>
  <c r="R867" i="5"/>
  <c r="X867" i="5" s="1"/>
  <c r="L867" i="5"/>
  <c r="K867" i="5"/>
  <c r="T866" i="5"/>
  <c r="S866" i="5"/>
  <c r="R866" i="5"/>
  <c r="X866" i="5" s="1"/>
  <c r="L866" i="5"/>
  <c r="K866" i="5"/>
  <c r="T865" i="5"/>
  <c r="Z865" i="5" s="1"/>
  <c r="S865" i="5"/>
  <c r="Y865" i="5" s="1"/>
  <c r="R865" i="5"/>
  <c r="X865" i="5" s="1"/>
  <c r="L865" i="5"/>
  <c r="K865" i="5"/>
  <c r="T864" i="5"/>
  <c r="S864" i="5"/>
  <c r="R864" i="5"/>
  <c r="Q864" i="5"/>
  <c r="L864" i="5"/>
  <c r="K864" i="5"/>
  <c r="T863" i="5"/>
  <c r="Z863" i="5" s="1"/>
  <c r="S863" i="5"/>
  <c r="Y863" i="5" s="1"/>
  <c r="R863" i="5"/>
  <c r="P863" i="5"/>
  <c r="P864" i="5" s="1"/>
  <c r="P865" i="5" s="1"/>
  <c r="L863" i="5"/>
  <c r="K863" i="5"/>
  <c r="T862" i="5"/>
  <c r="S862" i="5"/>
  <c r="V862" i="5" s="1"/>
  <c r="R862" i="5"/>
  <c r="X862" i="5" s="1"/>
  <c r="L862" i="5"/>
  <c r="K862" i="5"/>
  <c r="T861" i="5"/>
  <c r="Z861" i="5" s="1"/>
  <c r="S861" i="5"/>
  <c r="Y861" i="5" s="1"/>
  <c r="R861" i="5"/>
  <c r="X861" i="5" s="1"/>
  <c r="L861" i="5"/>
  <c r="K861" i="5"/>
  <c r="T860" i="5"/>
  <c r="S860" i="5"/>
  <c r="V860" i="5" s="1"/>
  <c r="R860" i="5"/>
  <c r="L860" i="5"/>
  <c r="K860" i="5"/>
  <c r="T859" i="5"/>
  <c r="W859" i="5" s="1"/>
  <c r="S859" i="5"/>
  <c r="R859" i="5"/>
  <c r="X859" i="5" s="1"/>
  <c r="L859" i="5"/>
  <c r="K859" i="5"/>
  <c r="T858" i="5"/>
  <c r="Z858" i="5" s="1"/>
  <c r="S858" i="5"/>
  <c r="Y858" i="5" s="1"/>
  <c r="R858" i="5"/>
  <c r="X858" i="5" s="1"/>
  <c r="L858" i="5"/>
  <c r="K858" i="5"/>
  <c r="T857" i="5"/>
  <c r="W857" i="5" s="1"/>
  <c r="S857" i="5"/>
  <c r="V857" i="5" s="1"/>
  <c r="R857" i="5"/>
  <c r="U857" i="5" s="1"/>
  <c r="L857" i="5"/>
  <c r="K857" i="5"/>
  <c r="T856" i="5"/>
  <c r="S856" i="5"/>
  <c r="R856" i="5"/>
  <c r="L856" i="5"/>
  <c r="K856" i="5"/>
  <c r="T855" i="5"/>
  <c r="S855" i="5"/>
  <c r="V855" i="5" s="1"/>
  <c r="R855" i="5"/>
  <c r="Q855" i="5"/>
  <c r="Q856" i="5" s="1"/>
  <c r="L855" i="5"/>
  <c r="K855" i="5"/>
  <c r="T854" i="5"/>
  <c r="S854" i="5"/>
  <c r="Y854" i="5" s="1"/>
  <c r="R854" i="5"/>
  <c r="X854" i="5" s="1"/>
  <c r="L854" i="5"/>
  <c r="K854" i="5"/>
  <c r="T853" i="5"/>
  <c r="S853" i="5"/>
  <c r="V853" i="5" s="1"/>
  <c r="R853" i="5"/>
  <c r="U853" i="5" s="1"/>
  <c r="L853" i="5"/>
  <c r="K853" i="5"/>
  <c r="T852" i="5"/>
  <c r="W852" i="5" s="1"/>
  <c r="S852" i="5"/>
  <c r="R852" i="5"/>
  <c r="L852" i="5"/>
  <c r="K852" i="5"/>
  <c r="T851" i="5"/>
  <c r="Z851" i="5" s="1"/>
  <c r="S851" i="5"/>
  <c r="Y851" i="5" s="1"/>
  <c r="R851" i="5"/>
  <c r="X851" i="5" s="1"/>
  <c r="L851" i="5"/>
  <c r="K851" i="5"/>
  <c r="T850" i="5"/>
  <c r="S850" i="5"/>
  <c r="V850" i="5" s="1"/>
  <c r="R850" i="5"/>
  <c r="U850" i="5" s="1"/>
  <c r="L850" i="5"/>
  <c r="K850" i="5"/>
  <c r="T849" i="5"/>
  <c r="W849" i="5" s="1"/>
  <c r="S849" i="5"/>
  <c r="R849" i="5"/>
  <c r="X849" i="5" s="1"/>
  <c r="L849" i="5"/>
  <c r="K849" i="5"/>
  <c r="T848" i="5"/>
  <c r="Z848" i="5" s="1"/>
  <c r="S848" i="5"/>
  <c r="Y848" i="5" s="1"/>
  <c r="R848" i="5"/>
  <c r="U848" i="5" s="1"/>
  <c r="L848" i="5"/>
  <c r="K848" i="5"/>
  <c r="T847" i="5"/>
  <c r="W847" i="5" s="1"/>
  <c r="S847" i="5"/>
  <c r="V847" i="5" s="1"/>
  <c r="R847" i="5"/>
  <c r="L847" i="5"/>
  <c r="K847" i="5"/>
  <c r="T846" i="5"/>
  <c r="S846" i="5"/>
  <c r="V846" i="5" s="1"/>
  <c r="R846" i="5"/>
  <c r="Q846" i="5"/>
  <c r="L846" i="5"/>
  <c r="K846" i="5"/>
  <c r="T845" i="5"/>
  <c r="Z845" i="5" s="1"/>
  <c r="S845" i="5"/>
  <c r="R845" i="5"/>
  <c r="X845" i="5" s="1"/>
  <c r="P845" i="5"/>
  <c r="L845" i="5"/>
  <c r="K845" i="5"/>
  <c r="T844" i="5"/>
  <c r="S844" i="5"/>
  <c r="Y844" i="5" s="1"/>
  <c r="R844" i="5"/>
  <c r="X844" i="5" s="1"/>
  <c r="L844" i="5"/>
  <c r="K844" i="5"/>
  <c r="T843" i="5"/>
  <c r="Z843" i="5" s="1"/>
  <c r="S843" i="5"/>
  <c r="Y843" i="5" s="1"/>
  <c r="R843" i="5"/>
  <c r="U843" i="5" s="1"/>
  <c r="L843" i="5"/>
  <c r="K843" i="5"/>
  <c r="T842" i="5"/>
  <c r="S842" i="5"/>
  <c r="Y842" i="5" s="1"/>
  <c r="R842" i="5"/>
  <c r="L842" i="5"/>
  <c r="K842" i="5"/>
  <c r="T841" i="5"/>
  <c r="Z841" i="5" s="1"/>
  <c r="S841" i="5"/>
  <c r="Y841" i="5" s="1"/>
  <c r="R841" i="5"/>
  <c r="X841" i="5" s="1"/>
  <c r="L841" i="5"/>
  <c r="K841" i="5"/>
  <c r="T840" i="5"/>
  <c r="Z840" i="5" s="1"/>
  <c r="S840" i="5"/>
  <c r="V840" i="5" s="1"/>
  <c r="R840" i="5"/>
  <c r="L840" i="5"/>
  <c r="K840" i="5"/>
  <c r="T839" i="5"/>
  <c r="S839" i="5"/>
  <c r="R839" i="5"/>
  <c r="Q839" i="5"/>
  <c r="P839" i="5"/>
  <c r="L839" i="5"/>
  <c r="K839" i="5"/>
  <c r="T838" i="5"/>
  <c r="Z838" i="5" s="1"/>
  <c r="S838" i="5"/>
  <c r="V838" i="5" s="1"/>
  <c r="R838" i="5"/>
  <c r="U838" i="5" s="1"/>
  <c r="L838" i="5"/>
  <c r="K838" i="5"/>
  <c r="T837" i="5"/>
  <c r="Z837" i="5" s="1"/>
  <c r="S837" i="5"/>
  <c r="R837" i="5"/>
  <c r="X837" i="5" s="1"/>
  <c r="L837" i="5"/>
  <c r="K837" i="5"/>
  <c r="T836" i="5"/>
  <c r="Z836" i="5" s="1"/>
  <c r="S836" i="5"/>
  <c r="Y836" i="5" s="1"/>
  <c r="R836" i="5"/>
  <c r="X836" i="5" s="1"/>
  <c r="L836" i="5"/>
  <c r="K836" i="5"/>
  <c r="T835" i="5"/>
  <c r="W835" i="5" s="1"/>
  <c r="S835" i="5"/>
  <c r="V835" i="5" s="1"/>
  <c r="R835" i="5"/>
  <c r="X835" i="5" s="1"/>
  <c r="L835" i="5"/>
  <c r="K835" i="5"/>
  <c r="T834" i="5"/>
  <c r="S834" i="5"/>
  <c r="Y834" i="5" s="1"/>
  <c r="R834" i="5"/>
  <c r="L834" i="5"/>
  <c r="K834" i="5"/>
  <c r="T833" i="5"/>
  <c r="Z833" i="5" s="1"/>
  <c r="S833" i="5"/>
  <c r="R833" i="5"/>
  <c r="U833" i="5" s="1"/>
  <c r="L833" i="5"/>
  <c r="K833" i="5"/>
  <c r="T832" i="5"/>
  <c r="S832" i="5"/>
  <c r="Y832" i="5" s="1"/>
  <c r="R832" i="5"/>
  <c r="L832" i="5"/>
  <c r="K832" i="5"/>
  <c r="T831" i="5"/>
  <c r="Z831" i="5" s="1"/>
  <c r="S831" i="5"/>
  <c r="R831" i="5"/>
  <c r="X831" i="5" s="1"/>
  <c r="L831" i="5"/>
  <c r="K831" i="5"/>
  <c r="T830" i="5"/>
  <c r="Z830" i="5" s="1"/>
  <c r="S830" i="5"/>
  <c r="R830" i="5"/>
  <c r="X830" i="5" s="1"/>
  <c r="L830" i="5"/>
  <c r="K830" i="5"/>
  <c r="T829" i="5"/>
  <c r="S829" i="5"/>
  <c r="Y829" i="5" s="1"/>
  <c r="R829" i="5"/>
  <c r="P829" i="5"/>
  <c r="L829" i="5"/>
  <c r="K829" i="5"/>
  <c r="T828" i="5"/>
  <c r="S828" i="5"/>
  <c r="V828" i="5" s="1"/>
  <c r="R828" i="5"/>
  <c r="U828" i="5" s="1"/>
  <c r="L828" i="5"/>
  <c r="K828" i="5"/>
  <c r="T827" i="5"/>
  <c r="S827" i="5"/>
  <c r="R827" i="5"/>
  <c r="X827" i="5" s="1"/>
  <c r="L827" i="5"/>
  <c r="K827" i="5"/>
  <c r="T826" i="5"/>
  <c r="W826" i="5" s="1"/>
  <c r="S826" i="5"/>
  <c r="Y826" i="5" s="1"/>
  <c r="R826" i="5"/>
  <c r="X826" i="5" s="1"/>
  <c r="L826" i="5"/>
  <c r="K826" i="5"/>
  <c r="T825" i="5"/>
  <c r="W825" i="5" s="1"/>
  <c r="S825" i="5"/>
  <c r="R825" i="5"/>
  <c r="U825" i="5" s="1"/>
  <c r="L825" i="5"/>
  <c r="K825" i="5"/>
  <c r="T824" i="5"/>
  <c r="S824" i="5"/>
  <c r="Y824" i="5" s="1"/>
  <c r="R824" i="5"/>
  <c r="U824" i="5" s="1"/>
  <c r="L824" i="5"/>
  <c r="K824" i="5"/>
  <c r="T823" i="5"/>
  <c r="Z823" i="5" s="1"/>
  <c r="S823" i="5"/>
  <c r="Y823" i="5" s="1"/>
  <c r="R823" i="5"/>
  <c r="U823" i="5" s="1"/>
  <c r="L823" i="5"/>
  <c r="K823" i="5"/>
  <c r="T822" i="5"/>
  <c r="W822" i="5" s="1"/>
  <c r="S822" i="5"/>
  <c r="Y822" i="5" s="1"/>
  <c r="R822" i="5"/>
  <c r="L822" i="5"/>
  <c r="K822" i="5"/>
  <c r="T821" i="5"/>
  <c r="Z821" i="5" s="1"/>
  <c r="S821" i="5"/>
  <c r="Y821" i="5" s="1"/>
  <c r="R821" i="5"/>
  <c r="X821" i="5" s="1"/>
  <c r="L821" i="5"/>
  <c r="K821" i="5"/>
  <c r="T820" i="5"/>
  <c r="Z820" i="5" s="1"/>
  <c r="S820" i="5"/>
  <c r="V820" i="5" s="1"/>
  <c r="R820" i="5"/>
  <c r="U820" i="5" s="1"/>
  <c r="L820" i="5"/>
  <c r="K820" i="5"/>
  <c r="T819" i="5"/>
  <c r="W819" i="5" s="1"/>
  <c r="S819" i="5"/>
  <c r="R819" i="5"/>
  <c r="L819" i="5"/>
  <c r="K819" i="5"/>
  <c r="T818" i="5"/>
  <c r="S818" i="5"/>
  <c r="V818" i="5" s="1"/>
  <c r="R818" i="5"/>
  <c r="L818" i="5"/>
  <c r="K818" i="5"/>
  <c r="T817" i="5"/>
  <c r="Z817" i="5" s="1"/>
  <c r="S817" i="5"/>
  <c r="Y817" i="5" s="1"/>
  <c r="R817" i="5"/>
  <c r="U817" i="5" s="1"/>
  <c r="L817" i="5"/>
  <c r="K817" i="5"/>
  <c r="T816" i="5"/>
  <c r="W816" i="5" s="1"/>
  <c r="S816" i="5"/>
  <c r="Y816" i="5" s="1"/>
  <c r="R816" i="5"/>
  <c r="U816" i="5" s="1"/>
  <c r="L816" i="5"/>
  <c r="K816" i="5"/>
  <c r="T815" i="5"/>
  <c r="Z815" i="5" s="1"/>
  <c r="S815" i="5"/>
  <c r="R815" i="5"/>
  <c r="X815" i="5" s="1"/>
  <c r="L815" i="5"/>
  <c r="K815" i="5"/>
  <c r="T814" i="5"/>
  <c r="Z814" i="5" s="1"/>
  <c r="S814" i="5"/>
  <c r="Y814" i="5" s="1"/>
  <c r="R814" i="5"/>
  <c r="U814" i="5" s="1"/>
  <c r="L814" i="5"/>
  <c r="K814" i="5"/>
  <c r="T813" i="5"/>
  <c r="S813" i="5"/>
  <c r="V813" i="5" s="1"/>
  <c r="R813" i="5"/>
  <c r="X813" i="5" s="1"/>
  <c r="L813" i="5"/>
  <c r="K813" i="5"/>
  <c r="T812" i="5"/>
  <c r="S812" i="5"/>
  <c r="V812" i="5" s="1"/>
  <c r="R812" i="5"/>
  <c r="X812" i="5" s="1"/>
  <c r="L812" i="5"/>
  <c r="K812" i="5"/>
  <c r="T811" i="5"/>
  <c r="W811" i="5" s="1"/>
  <c r="S811" i="5"/>
  <c r="V811" i="5" s="1"/>
  <c r="R811" i="5"/>
  <c r="U811" i="5" s="1"/>
  <c r="L811" i="5"/>
  <c r="K811" i="5"/>
  <c r="T810" i="5"/>
  <c r="S810" i="5"/>
  <c r="R810" i="5"/>
  <c r="U810" i="5" s="1"/>
  <c r="L810" i="5"/>
  <c r="K810" i="5"/>
  <c r="T809" i="5"/>
  <c r="W809" i="5" s="1"/>
  <c r="S809" i="5"/>
  <c r="V809" i="5" s="1"/>
  <c r="R809" i="5"/>
  <c r="U809" i="5" s="1"/>
  <c r="L809" i="5"/>
  <c r="K809" i="5"/>
  <c r="T808" i="5"/>
  <c r="S808" i="5"/>
  <c r="R808" i="5"/>
  <c r="Q808" i="5"/>
  <c r="P808" i="5"/>
  <c r="L808" i="5"/>
  <c r="K808" i="5"/>
  <c r="T807" i="5"/>
  <c r="W807" i="5" s="1"/>
  <c r="S807" i="5"/>
  <c r="R807" i="5"/>
  <c r="U807" i="5" s="1"/>
  <c r="Q807" i="5"/>
  <c r="L807" i="5"/>
  <c r="K807" i="5"/>
  <c r="T806" i="5"/>
  <c r="S806" i="5"/>
  <c r="R806" i="5"/>
  <c r="X806" i="5" s="1"/>
  <c r="L806" i="5"/>
  <c r="K806" i="5"/>
  <c r="T805" i="5"/>
  <c r="S805" i="5"/>
  <c r="V805" i="5" s="1"/>
  <c r="R805" i="5"/>
  <c r="X805" i="5" s="1"/>
  <c r="L805" i="5"/>
  <c r="K805" i="5"/>
  <c r="T804" i="5"/>
  <c r="W804" i="5" s="1"/>
  <c r="S804" i="5"/>
  <c r="Y804" i="5" s="1"/>
  <c r="R804" i="5"/>
  <c r="L804" i="5"/>
  <c r="K804" i="5"/>
  <c r="T803" i="5"/>
  <c r="W803" i="5" s="1"/>
  <c r="S803" i="5"/>
  <c r="Y803" i="5" s="1"/>
  <c r="R803" i="5"/>
  <c r="L803" i="5"/>
  <c r="K803" i="5"/>
  <c r="T802" i="5"/>
  <c r="W802" i="5" s="1"/>
  <c r="S802" i="5"/>
  <c r="Y802" i="5" s="1"/>
  <c r="R802" i="5"/>
  <c r="L802" i="5"/>
  <c r="K802" i="5"/>
  <c r="T801" i="5"/>
  <c r="Z801" i="5" s="1"/>
  <c r="S801" i="5"/>
  <c r="R801" i="5"/>
  <c r="U801" i="5" s="1"/>
  <c r="L801" i="5"/>
  <c r="K801" i="5"/>
  <c r="T800" i="5"/>
  <c r="Z800" i="5" s="1"/>
  <c r="S800" i="5"/>
  <c r="V800" i="5" s="1"/>
  <c r="R800" i="5"/>
  <c r="U800" i="5" s="1"/>
  <c r="L800" i="5"/>
  <c r="K800" i="5"/>
  <c r="T799" i="5"/>
  <c r="S799" i="5"/>
  <c r="V799" i="5" s="1"/>
  <c r="R799" i="5"/>
  <c r="X799" i="5" s="1"/>
  <c r="L799" i="5"/>
  <c r="K799" i="5"/>
  <c r="T798" i="5"/>
  <c r="S798" i="5"/>
  <c r="V798" i="5" s="1"/>
  <c r="R798" i="5"/>
  <c r="X798" i="5" s="1"/>
  <c r="L798" i="5"/>
  <c r="K798" i="5"/>
  <c r="T797" i="5"/>
  <c r="S797" i="5"/>
  <c r="V797" i="5" s="1"/>
  <c r="R797" i="5"/>
  <c r="X797" i="5" s="1"/>
  <c r="L797" i="5"/>
  <c r="K797" i="5"/>
  <c r="T796" i="5"/>
  <c r="W796" i="5" s="1"/>
  <c r="S796" i="5"/>
  <c r="Y796" i="5" s="1"/>
  <c r="R796" i="5"/>
  <c r="L796" i="5"/>
  <c r="K796" i="5"/>
  <c r="T795" i="5"/>
  <c r="Z795" i="5" s="1"/>
  <c r="S795" i="5"/>
  <c r="Y795" i="5" s="1"/>
  <c r="R795" i="5"/>
  <c r="X795" i="5" s="1"/>
  <c r="L795" i="5"/>
  <c r="K795" i="5"/>
  <c r="T794" i="5"/>
  <c r="S794" i="5"/>
  <c r="Y794" i="5" s="1"/>
  <c r="R794" i="5"/>
  <c r="U794" i="5" s="1"/>
  <c r="L794" i="5"/>
  <c r="K794" i="5"/>
  <c r="T793" i="5"/>
  <c r="Z793" i="5" s="1"/>
  <c r="S793" i="5"/>
  <c r="R793" i="5"/>
  <c r="X793" i="5" s="1"/>
  <c r="L793" i="5"/>
  <c r="K793" i="5"/>
  <c r="T792" i="5"/>
  <c r="Z792" i="5" s="1"/>
  <c r="S792" i="5"/>
  <c r="R792" i="5"/>
  <c r="U792" i="5" s="1"/>
  <c r="L792" i="5"/>
  <c r="K792" i="5"/>
  <c r="T791" i="5"/>
  <c r="S791" i="5"/>
  <c r="R791" i="5"/>
  <c r="L791" i="5"/>
  <c r="K791" i="5"/>
  <c r="T790" i="5"/>
  <c r="S790" i="5"/>
  <c r="Y790" i="5" s="1"/>
  <c r="R790" i="5"/>
  <c r="X790" i="5" s="1"/>
  <c r="L790" i="5"/>
  <c r="K790" i="5"/>
  <c r="T789" i="5"/>
  <c r="Z789" i="5" s="1"/>
  <c r="S789" i="5"/>
  <c r="Y789" i="5" s="1"/>
  <c r="R789" i="5"/>
  <c r="X789" i="5" s="1"/>
  <c r="P789" i="5"/>
  <c r="L789" i="5"/>
  <c r="K789" i="5"/>
  <c r="T788" i="5"/>
  <c r="Z788" i="5" s="1"/>
  <c r="S788" i="5"/>
  <c r="R788" i="5"/>
  <c r="X788" i="5" s="1"/>
  <c r="L788" i="5"/>
  <c r="K788" i="5"/>
  <c r="T787" i="5"/>
  <c r="Z787" i="5" s="1"/>
  <c r="S787" i="5"/>
  <c r="R787" i="5"/>
  <c r="U787" i="5" s="1"/>
  <c r="L787" i="5"/>
  <c r="K787" i="5"/>
  <c r="T786" i="5"/>
  <c r="Z786" i="5" s="1"/>
  <c r="S786" i="5"/>
  <c r="R786" i="5"/>
  <c r="X786" i="5" s="1"/>
  <c r="L786" i="5"/>
  <c r="K786" i="5"/>
  <c r="T785" i="5"/>
  <c r="S785" i="5"/>
  <c r="Y785" i="5" s="1"/>
  <c r="R785" i="5"/>
  <c r="X785" i="5" s="1"/>
  <c r="L785" i="5"/>
  <c r="K785" i="5"/>
  <c r="T784" i="5"/>
  <c r="Z784" i="5" s="1"/>
  <c r="S784" i="5"/>
  <c r="V784" i="5" s="1"/>
  <c r="R784" i="5"/>
  <c r="X784" i="5" s="1"/>
  <c r="L784" i="5"/>
  <c r="K784" i="5"/>
  <c r="T783" i="5"/>
  <c r="W783" i="5" s="1"/>
  <c r="S783" i="5"/>
  <c r="Y783" i="5" s="1"/>
  <c r="R783" i="5"/>
  <c r="L783" i="5"/>
  <c r="K783" i="5"/>
  <c r="T782" i="5"/>
  <c r="S782" i="5"/>
  <c r="Y782" i="5" s="1"/>
  <c r="R782" i="5"/>
  <c r="X782" i="5" s="1"/>
  <c r="L782" i="5"/>
  <c r="K782" i="5"/>
  <c r="T781" i="5"/>
  <c r="S781" i="5"/>
  <c r="Y781" i="5" s="1"/>
  <c r="R781" i="5"/>
  <c r="U781" i="5" s="1"/>
  <c r="L781" i="5"/>
  <c r="K781" i="5"/>
  <c r="T780" i="5"/>
  <c r="S780" i="5"/>
  <c r="R780" i="5"/>
  <c r="X780" i="5" s="1"/>
  <c r="L780" i="5"/>
  <c r="K780" i="5"/>
  <c r="T779" i="5"/>
  <c r="Z779" i="5" s="1"/>
  <c r="S779" i="5"/>
  <c r="Y779" i="5" s="1"/>
  <c r="R779" i="5"/>
  <c r="U779" i="5" s="1"/>
  <c r="L779" i="5"/>
  <c r="K779" i="5"/>
  <c r="T778" i="5"/>
  <c r="S778" i="5"/>
  <c r="V778" i="5" s="1"/>
  <c r="R778" i="5"/>
  <c r="X778" i="5" s="1"/>
  <c r="L778" i="5"/>
  <c r="K778" i="5"/>
  <c r="T777" i="5"/>
  <c r="S777" i="5"/>
  <c r="Y777" i="5" s="1"/>
  <c r="R777" i="5"/>
  <c r="X777" i="5" s="1"/>
  <c r="L777" i="5"/>
  <c r="K777" i="5"/>
  <c r="T776" i="5"/>
  <c r="Z776" i="5" s="1"/>
  <c r="S776" i="5"/>
  <c r="Y776" i="5" s="1"/>
  <c r="R776" i="5"/>
  <c r="X776" i="5" s="1"/>
  <c r="P776" i="5"/>
  <c r="L776" i="5"/>
  <c r="K776" i="5"/>
  <c r="T775" i="5"/>
  <c r="W775" i="5" s="1"/>
  <c r="S775" i="5"/>
  <c r="R775" i="5"/>
  <c r="X775" i="5" s="1"/>
  <c r="L775" i="5"/>
  <c r="K775" i="5"/>
  <c r="T774" i="5"/>
  <c r="Z774" i="5" s="1"/>
  <c r="S774" i="5"/>
  <c r="R774" i="5"/>
  <c r="U774" i="5" s="1"/>
  <c r="L774" i="5"/>
  <c r="K774" i="5"/>
  <c r="T773" i="5"/>
  <c r="Z773" i="5" s="1"/>
  <c r="S773" i="5"/>
  <c r="V773" i="5" s="1"/>
  <c r="R773" i="5"/>
  <c r="X773" i="5" s="1"/>
  <c r="L773" i="5"/>
  <c r="K773" i="5"/>
  <c r="T772" i="5"/>
  <c r="S772" i="5"/>
  <c r="Y772" i="5" s="1"/>
  <c r="R772" i="5"/>
  <c r="X772" i="5" s="1"/>
  <c r="L772" i="5"/>
  <c r="K772" i="5"/>
  <c r="T771" i="5"/>
  <c r="Z771" i="5" s="1"/>
  <c r="S771" i="5"/>
  <c r="V771" i="5" s="1"/>
  <c r="R771" i="5"/>
  <c r="L771" i="5"/>
  <c r="K771" i="5"/>
  <c r="T770" i="5"/>
  <c r="W770" i="5" s="1"/>
  <c r="S770" i="5"/>
  <c r="V770" i="5" s="1"/>
  <c r="R770" i="5"/>
  <c r="L770" i="5"/>
  <c r="K770" i="5"/>
  <c r="T769" i="5"/>
  <c r="Z769" i="5" s="1"/>
  <c r="S769" i="5"/>
  <c r="Y769" i="5" s="1"/>
  <c r="R769" i="5"/>
  <c r="U769" i="5" s="1"/>
  <c r="L769" i="5"/>
  <c r="K769" i="5"/>
  <c r="T768" i="5"/>
  <c r="W768" i="5" s="1"/>
  <c r="S768" i="5"/>
  <c r="Y768" i="5" s="1"/>
  <c r="R768" i="5"/>
  <c r="U768" i="5" s="1"/>
  <c r="L768" i="5"/>
  <c r="K768" i="5"/>
  <c r="T767" i="5"/>
  <c r="W767" i="5" s="1"/>
  <c r="S767" i="5"/>
  <c r="V767" i="5" s="1"/>
  <c r="R767" i="5"/>
  <c r="L767" i="5"/>
  <c r="K767" i="5"/>
  <c r="T766" i="5"/>
  <c r="S766" i="5"/>
  <c r="V766" i="5" s="1"/>
  <c r="R766" i="5"/>
  <c r="U766" i="5" s="1"/>
  <c r="Q766" i="5"/>
  <c r="L766" i="5"/>
  <c r="K766" i="5"/>
  <c r="T765" i="5"/>
  <c r="W765" i="5" s="1"/>
  <c r="S765" i="5"/>
  <c r="Y765" i="5" s="1"/>
  <c r="R765" i="5"/>
  <c r="U765" i="5" s="1"/>
  <c r="L765" i="5"/>
  <c r="K765" i="5"/>
  <c r="T764" i="5"/>
  <c r="Z764" i="5" s="1"/>
  <c r="S764" i="5"/>
  <c r="R764" i="5"/>
  <c r="U764" i="5" s="1"/>
  <c r="L764" i="5"/>
  <c r="K764" i="5"/>
  <c r="T763" i="5"/>
  <c r="W763" i="5" s="1"/>
  <c r="S763" i="5"/>
  <c r="Y763" i="5" s="1"/>
  <c r="R763" i="5"/>
  <c r="U763" i="5" s="1"/>
  <c r="L763" i="5"/>
  <c r="K763" i="5"/>
  <c r="T762" i="5"/>
  <c r="W762" i="5" s="1"/>
  <c r="S762" i="5"/>
  <c r="V762" i="5" s="1"/>
  <c r="R762" i="5"/>
  <c r="X762" i="5" s="1"/>
  <c r="L762" i="5"/>
  <c r="K762" i="5"/>
  <c r="T761" i="5"/>
  <c r="S761" i="5"/>
  <c r="V761" i="5" s="1"/>
  <c r="R761" i="5"/>
  <c r="U761" i="5" s="1"/>
  <c r="L761" i="5"/>
  <c r="K761" i="5"/>
  <c r="T760" i="5"/>
  <c r="Z760" i="5" s="1"/>
  <c r="S760" i="5"/>
  <c r="V760" i="5" s="1"/>
  <c r="R760" i="5"/>
  <c r="U760" i="5" s="1"/>
  <c r="L760" i="5"/>
  <c r="K760" i="5"/>
  <c r="T759" i="5"/>
  <c r="W759" i="5" s="1"/>
  <c r="S759" i="5"/>
  <c r="Y759" i="5" s="1"/>
  <c r="R759" i="5"/>
  <c r="L759" i="5"/>
  <c r="K759" i="5"/>
  <c r="W758" i="5"/>
  <c r="T758" i="5"/>
  <c r="S758" i="5"/>
  <c r="V758" i="5" s="1"/>
  <c r="R758" i="5"/>
  <c r="U758" i="5" s="1"/>
  <c r="Q758" i="5"/>
  <c r="Z758" i="5" s="1"/>
  <c r="L758" i="5"/>
  <c r="K758" i="5"/>
  <c r="T757" i="5"/>
  <c r="Z757" i="5" s="1"/>
  <c r="S757" i="5"/>
  <c r="V757" i="5" s="1"/>
  <c r="R757" i="5"/>
  <c r="X757" i="5" s="1"/>
  <c r="L757" i="5"/>
  <c r="K757" i="5"/>
  <c r="T756" i="5"/>
  <c r="S756" i="5"/>
  <c r="R756" i="5"/>
  <c r="Q756" i="5"/>
  <c r="P756" i="5"/>
  <c r="L756" i="5"/>
  <c r="K756" i="5"/>
  <c r="T755" i="5"/>
  <c r="W755" i="5" s="1"/>
  <c r="S755" i="5"/>
  <c r="V755" i="5" s="1"/>
  <c r="R755" i="5"/>
  <c r="L755" i="5"/>
  <c r="K755" i="5"/>
  <c r="T754" i="5"/>
  <c r="S754" i="5"/>
  <c r="V754" i="5" s="1"/>
  <c r="R754" i="5"/>
  <c r="U754" i="5" s="1"/>
  <c r="Q754" i="5"/>
  <c r="L754" i="5"/>
  <c r="K754" i="5"/>
  <c r="T753" i="5"/>
  <c r="W753" i="5" s="1"/>
  <c r="S753" i="5"/>
  <c r="R753" i="5"/>
  <c r="U753" i="5" s="1"/>
  <c r="L753" i="5"/>
  <c r="K753" i="5"/>
  <c r="T752" i="5"/>
  <c r="Z752" i="5" s="1"/>
  <c r="S752" i="5"/>
  <c r="R752" i="5"/>
  <c r="X752" i="5" s="1"/>
  <c r="L752" i="5"/>
  <c r="K752" i="5"/>
  <c r="T751" i="5"/>
  <c r="W751" i="5" s="1"/>
  <c r="S751" i="5"/>
  <c r="R751" i="5"/>
  <c r="U751" i="5" s="1"/>
  <c r="L751" i="5"/>
  <c r="K751" i="5"/>
  <c r="T750" i="5"/>
  <c r="S750" i="5"/>
  <c r="V750" i="5" s="1"/>
  <c r="R750" i="5"/>
  <c r="X750" i="5" s="1"/>
  <c r="L750" i="5"/>
  <c r="K750" i="5"/>
  <c r="T749" i="5"/>
  <c r="S749" i="5"/>
  <c r="Y749" i="5" s="1"/>
  <c r="R749" i="5"/>
  <c r="U749" i="5" s="1"/>
  <c r="L749" i="5"/>
  <c r="K749" i="5"/>
  <c r="T748" i="5"/>
  <c r="Z748" i="5" s="1"/>
  <c r="S748" i="5"/>
  <c r="V748" i="5" s="1"/>
  <c r="R748" i="5"/>
  <c r="X748" i="5" s="1"/>
  <c r="L748" i="5"/>
  <c r="K748" i="5"/>
  <c r="T747" i="5"/>
  <c r="S747" i="5"/>
  <c r="Y747" i="5" s="1"/>
  <c r="R747" i="5"/>
  <c r="L747" i="5"/>
  <c r="K747" i="5"/>
  <c r="T746" i="5"/>
  <c r="Z746" i="5" s="1"/>
  <c r="S746" i="5"/>
  <c r="V746" i="5" s="1"/>
  <c r="R746" i="5"/>
  <c r="X746" i="5" s="1"/>
  <c r="L746" i="5"/>
  <c r="K746" i="5"/>
  <c r="T745" i="5"/>
  <c r="S745" i="5"/>
  <c r="Y745" i="5" s="1"/>
  <c r="R745" i="5"/>
  <c r="U745" i="5" s="1"/>
  <c r="L745" i="5"/>
  <c r="K745" i="5"/>
  <c r="T744" i="5"/>
  <c r="Z744" i="5" s="1"/>
  <c r="S744" i="5"/>
  <c r="R744" i="5"/>
  <c r="X744" i="5" s="1"/>
  <c r="L744" i="5"/>
  <c r="K744" i="5"/>
  <c r="T743" i="5"/>
  <c r="W743" i="5" s="1"/>
  <c r="S743" i="5"/>
  <c r="Y743" i="5" s="1"/>
  <c r="R743" i="5"/>
  <c r="U743" i="5" s="1"/>
  <c r="L743" i="5"/>
  <c r="K743" i="5"/>
  <c r="T742" i="5"/>
  <c r="Z742" i="5" s="1"/>
  <c r="S742" i="5"/>
  <c r="V742" i="5" s="1"/>
  <c r="R742" i="5"/>
  <c r="L742" i="5"/>
  <c r="K742" i="5"/>
  <c r="T741" i="5"/>
  <c r="S741" i="5"/>
  <c r="V741" i="5" s="1"/>
  <c r="R741" i="5"/>
  <c r="U741" i="5" s="1"/>
  <c r="L741" i="5"/>
  <c r="K741" i="5"/>
  <c r="T740" i="5"/>
  <c r="W740" i="5" s="1"/>
  <c r="S740" i="5"/>
  <c r="V740" i="5" s="1"/>
  <c r="R740" i="5"/>
  <c r="U740" i="5" s="1"/>
  <c r="L740" i="5"/>
  <c r="K740" i="5"/>
  <c r="T739" i="5"/>
  <c r="S739" i="5"/>
  <c r="V739" i="5" s="1"/>
  <c r="R739" i="5"/>
  <c r="U739" i="5" s="1"/>
  <c r="L739" i="5"/>
  <c r="K739" i="5"/>
  <c r="T738" i="5"/>
  <c r="W738" i="5" s="1"/>
  <c r="S738" i="5"/>
  <c r="R738" i="5"/>
  <c r="U738" i="5" s="1"/>
  <c r="Q738" i="5"/>
  <c r="Q739" i="5" s="1"/>
  <c r="L738" i="5"/>
  <c r="K738" i="5"/>
  <c r="T737" i="5"/>
  <c r="S737" i="5"/>
  <c r="Y737" i="5" s="1"/>
  <c r="R737" i="5"/>
  <c r="L737" i="5"/>
  <c r="K737" i="5"/>
  <c r="T736" i="5"/>
  <c r="W736" i="5" s="1"/>
  <c r="S736" i="5"/>
  <c r="V736" i="5" s="1"/>
  <c r="R736" i="5"/>
  <c r="L736" i="5"/>
  <c r="K736" i="5"/>
  <c r="T735" i="5"/>
  <c r="W735" i="5" s="1"/>
  <c r="S735" i="5"/>
  <c r="R735" i="5"/>
  <c r="L735" i="5"/>
  <c r="K735" i="5"/>
  <c r="T734" i="5"/>
  <c r="W734" i="5" s="1"/>
  <c r="S734" i="5"/>
  <c r="V734" i="5" s="1"/>
  <c r="R734" i="5"/>
  <c r="U734" i="5" s="1"/>
  <c r="L734" i="5"/>
  <c r="K734" i="5"/>
  <c r="T733" i="5"/>
  <c r="W733" i="5" s="1"/>
  <c r="S733" i="5"/>
  <c r="R733" i="5"/>
  <c r="U733" i="5" s="1"/>
  <c r="Q733" i="5"/>
  <c r="Z733" i="5" s="1"/>
  <c r="L733" i="5"/>
  <c r="K733" i="5"/>
  <c r="T732" i="5"/>
  <c r="W732" i="5" s="1"/>
  <c r="S732" i="5"/>
  <c r="V732" i="5" s="1"/>
  <c r="R732" i="5"/>
  <c r="U732" i="5" s="1"/>
  <c r="Q732" i="5"/>
  <c r="L732" i="5"/>
  <c r="K732" i="5"/>
  <c r="T731" i="5"/>
  <c r="W731" i="5" s="1"/>
  <c r="S731" i="5"/>
  <c r="V731" i="5" s="1"/>
  <c r="R731" i="5"/>
  <c r="X731" i="5" s="1"/>
  <c r="L731" i="5"/>
  <c r="K731" i="5"/>
  <c r="T730" i="5"/>
  <c r="W730" i="5" s="1"/>
  <c r="S730" i="5"/>
  <c r="Y730" i="5" s="1"/>
  <c r="R730" i="5"/>
  <c r="U730" i="5" s="1"/>
  <c r="L730" i="5"/>
  <c r="K730" i="5"/>
  <c r="T729" i="5"/>
  <c r="W729" i="5" s="1"/>
  <c r="S729" i="5"/>
  <c r="V729" i="5" s="1"/>
  <c r="R729" i="5"/>
  <c r="U729" i="5" s="1"/>
  <c r="Q729" i="5"/>
  <c r="L729" i="5"/>
  <c r="K729" i="5"/>
  <c r="T728" i="5"/>
  <c r="Z728" i="5" s="1"/>
  <c r="S728" i="5"/>
  <c r="V728" i="5" s="1"/>
  <c r="R728" i="5"/>
  <c r="X728" i="5" s="1"/>
  <c r="L728" i="5"/>
  <c r="K728" i="5"/>
  <c r="T727" i="5"/>
  <c r="S727" i="5"/>
  <c r="Y727" i="5" s="1"/>
  <c r="R727" i="5"/>
  <c r="U727" i="5" s="1"/>
  <c r="L727" i="5"/>
  <c r="K727" i="5"/>
  <c r="T726" i="5"/>
  <c r="W726" i="5" s="1"/>
  <c r="S726" i="5"/>
  <c r="R726" i="5"/>
  <c r="U726" i="5" s="1"/>
  <c r="L726" i="5"/>
  <c r="K726" i="5"/>
  <c r="T725" i="5"/>
  <c r="W725" i="5" s="1"/>
  <c r="S725" i="5"/>
  <c r="Y725" i="5" s="1"/>
  <c r="R725" i="5"/>
  <c r="U725" i="5" s="1"/>
  <c r="L725" i="5"/>
  <c r="K725" i="5"/>
  <c r="T724" i="5"/>
  <c r="Z724" i="5" s="1"/>
  <c r="S724" i="5"/>
  <c r="V724" i="5" s="1"/>
  <c r="R724" i="5"/>
  <c r="X724" i="5" s="1"/>
  <c r="L724" i="5"/>
  <c r="K724" i="5"/>
  <c r="T723" i="5"/>
  <c r="W723" i="5" s="1"/>
  <c r="S723" i="5"/>
  <c r="V723" i="5" s="1"/>
  <c r="R723" i="5"/>
  <c r="U723" i="5" s="1"/>
  <c r="L723" i="5"/>
  <c r="K723" i="5"/>
  <c r="T722" i="5"/>
  <c r="Z722" i="5" s="1"/>
  <c r="S722" i="5"/>
  <c r="V722" i="5" s="1"/>
  <c r="R722" i="5"/>
  <c r="X722" i="5" s="1"/>
  <c r="L722" i="5"/>
  <c r="K722" i="5"/>
  <c r="T721" i="5"/>
  <c r="W721" i="5" s="1"/>
  <c r="S721" i="5"/>
  <c r="V721" i="5" s="1"/>
  <c r="R721" i="5"/>
  <c r="U721" i="5" s="1"/>
  <c r="Q721" i="5"/>
  <c r="L721" i="5"/>
  <c r="K721" i="5"/>
  <c r="T720" i="5"/>
  <c r="W720" i="5" s="1"/>
  <c r="S720" i="5"/>
  <c r="Y720" i="5" s="1"/>
  <c r="R720" i="5"/>
  <c r="U720" i="5" s="1"/>
  <c r="L720" i="5"/>
  <c r="K720" i="5"/>
  <c r="T719" i="5"/>
  <c r="Z719" i="5" s="1"/>
  <c r="S719" i="5"/>
  <c r="V719" i="5" s="1"/>
  <c r="R719" i="5"/>
  <c r="X719" i="5" s="1"/>
  <c r="L719" i="5"/>
  <c r="K719" i="5"/>
  <c r="T718" i="5"/>
  <c r="W718" i="5" s="1"/>
  <c r="S718" i="5"/>
  <c r="V718" i="5" s="1"/>
  <c r="R718" i="5"/>
  <c r="U718" i="5" s="1"/>
  <c r="Q718" i="5"/>
  <c r="L718" i="5"/>
  <c r="K718" i="5"/>
  <c r="T717" i="5"/>
  <c r="S717" i="5"/>
  <c r="Y717" i="5" s="1"/>
  <c r="R717" i="5"/>
  <c r="U717" i="5" s="1"/>
  <c r="L717" i="5"/>
  <c r="K717" i="5"/>
  <c r="T716" i="5"/>
  <c r="Z716" i="5" s="1"/>
  <c r="S716" i="5"/>
  <c r="R716" i="5"/>
  <c r="X716" i="5" s="1"/>
  <c r="L716" i="5"/>
  <c r="K716" i="5"/>
  <c r="T715" i="5"/>
  <c r="W715" i="5" s="1"/>
  <c r="S715" i="5"/>
  <c r="Y715" i="5" s="1"/>
  <c r="R715" i="5"/>
  <c r="U715" i="5" s="1"/>
  <c r="L715" i="5"/>
  <c r="K715" i="5"/>
  <c r="T714" i="5"/>
  <c r="Z714" i="5" s="1"/>
  <c r="S714" i="5"/>
  <c r="V714" i="5" s="1"/>
  <c r="R714" i="5"/>
  <c r="L714" i="5"/>
  <c r="K714" i="5"/>
  <c r="T713" i="5"/>
  <c r="W713" i="5" s="1"/>
  <c r="S713" i="5"/>
  <c r="V713" i="5" s="1"/>
  <c r="R713" i="5"/>
  <c r="L713" i="5"/>
  <c r="K713" i="5"/>
  <c r="T712" i="5"/>
  <c r="Z712" i="5" s="1"/>
  <c r="S712" i="5"/>
  <c r="V712" i="5" s="1"/>
  <c r="R712" i="5"/>
  <c r="X712" i="5" s="1"/>
  <c r="L712" i="5"/>
  <c r="K712" i="5"/>
  <c r="T711" i="5"/>
  <c r="S711" i="5"/>
  <c r="V711" i="5" s="1"/>
  <c r="R711" i="5"/>
  <c r="U711" i="5" s="1"/>
  <c r="Q711" i="5"/>
  <c r="L711" i="5"/>
  <c r="K711" i="5"/>
  <c r="T710" i="5"/>
  <c r="Z710" i="5" s="1"/>
  <c r="S710" i="5"/>
  <c r="Y710" i="5" s="1"/>
  <c r="R710" i="5"/>
  <c r="X710" i="5" s="1"/>
  <c r="P710" i="5"/>
  <c r="L710" i="5"/>
  <c r="K710" i="5"/>
  <c r="T709" i="5"/>
  <c r="W709" i="5" s="1"/>
  <c r="S709" i="5"/>
  <c r="V709" i="5" s="1"/>
  <c r="R709" i="5"/>
  <c r="U709" i="5" s="1"/>
  <c r="L709" i="5"/>
  <c r="K709" i="5"/>
  <c r="T708" i="5"/>
  <c r="S708" i="5"/>
  <c r="R708" i="5"/>
  <c r="Q708" i="5"/>
  <c r="Q709" i="5" s="1"/>
  <c r="P708" i="5"/>
  <c r="L708" i="5"/>
  <c r="K708" i="5"/>
  <c r="T707" i="5"/>
  <c r="W707" i="5" s="1"/>
  <c r="S707" i="5"/>
  <c r="V707" i="5" s="1"/>
  <c r="R707" i="5"/>
  <c r="X707" i="5" s="1"/>
  <c r="L707" i="5"/>
  <c r="K707" i="5"/>
  <c r="T706" i="5"/>
  <c r="Z706" i="5" s="1"/>
  <c r="S706" i="5"/>
  <c r="Y706" i="5" s="1"/>
  <c r="R706" i="5"/>
  <c r="X706" i="5" s="1"/>
  <c r="P706" i="5"/>
  <c r="L706" i="5"/>
  <c r="K706" i="5"/>
  <c r="T705" i="5"/>
  <c r="S705" i="5"/>
  <c r="Y705" i="5" s="1"/>
  <c r="R705" i="5"/>
  <c r="U705" i="5" s="1"/>
  <c r="L705" i="5"/>
  <c r="K705" i="5"/>
  <c r="T704" i="5"/>
  <c r="Z704" i="5" s="1"/>
  <c r="S704" i="5"/>
  <c r="V704" i="5" s="1"/>
  <c r="R704" i="5"/>
  <c r="X704" i="5" s="1"/>
  <c r="L704" i="5"/>
  <c r="K704" i="5"/>
  <c r="T703" i="5"/>
  <c r="Z703" i="5" s="1"/>
  <c r="S703" i="5"/>
  <c r="Y703" i="5" s="1"/>
  <c r="R703" i="5"/>
  <c r="U703" i="5" s="1"/>
  <c r="L703" i="5"/>
  <c r="K703" i="5"/>
  <c r="T702" i="5"/>
  <c r="W702" i="5" s="1"/>
  <c r="S702" i="5"/>
  <c r="V702" i="5" s="1"/>
  <c r="R702" i="5"/>
  <c r="X702" i="5" s="1"/>
  <c r="L702" i="5"/>
  <c r="K702" i="5"/>
  <c r="T701" i="5"/>
  <c r="W701" i="5" s="1"/>
  <c r="S701" i="5"/>
  <c r="V701" i="5" s="1"/>
  <c r="R701" i="5"/>
  <c r="U701" i="5" s="1"/>
  <c r="L701" i="5"/>
  <c r="K701" i="5"/>
  <c r="T700" i="5"/>
  <c r="W700" i="5" s="1"/>
  <c r="S700" i="5"/>
  <c r="V700" i="5" s="1"/>
  <c r="R700" i="5"/>
  <c r="U700" i="5" s="1"/>
  <c r="Q700" i="5"/>
  <c r="Q701" i="5" s="1"/>
  <c r="L700" i="5"/>
  <c r="K700" i="5"/>
  <c r="T699" i="5"/>
  <c r="W699" i="5" s="1"/>
  <c r="S699" i="5"/>
  <c r="R699" i="5"/>
  <c r="X699" i="5" s="1"/>
  <c r="L699" i="5"/>
  <c r="K699" i="5"/>
  <c r="T698" i="5"/>
  <c r="Z698" i="5" s="1"/>
  <c r="S698" i="5"/>
  <c r="Y698" i="5" s="1"/>
  <c r="R698" i="5"/>
  <c r="L698" i="5"/>
  <c r="K698" i="5"/>
  <c r="T697" i="5"/>
  <c r="W697" i="5" s="1"/>
  <c r="S697" i="5"/>
  <c r="Y697" i="5" s="1"/>
  <c r="R697" i="5"/>
  <c r="U697" i="5" s="1"/>
  <c r="L697" i="5"/>
  <c r="K697" i="5"/>
  <c r="T696" i="5"/>
  <c r="S696" i="5"/>
  <c r="R696" i="5"/>
  <c r="X696" i="5" s="1"/>
  <c r="L696" i="5"/>
  <c r="K696" i="5"/>
  <c r="T695" i="5"/>
  <c r="S695" i="5"/>
  <c r="Y695" i="5" s="1"/>
  <c r="R695" i="5"/>
  <c r="U695" i="5" s="1"/>
  <c r="L695" i="5"/>
  <c r="K695" i="5"/>
  <c r="T694" i="5"/>
  <c r="Z694" i="5" s="1"/>
  <c r="S694" i="5"/>
  <c r="R694" i="5"/>
  <c r="L694" i="5"/>
  <c r="K694" i="5"/>
  <c r="T693" i="5"/>
  <c r="S693" i="5"/>
  <c r="Y693" i="5" s="1"/>
  <c r="R693" i="5"/>
  <c r="U693" i="5" s="1"/>
  <c r="L693" i="5"/>
  <c r="K693" i="5"/>
  <c r="T692" i="5"/>
  <c r="Z692" i="5" s="1"/>
  <c r="S692" i="5"/>
  <c r="V692" i="5" s="1"/>
  <c r="R692" i="5"/>
  <c r="X692" i="5" s="1"/>
  <c r="L692" i="5"/>
  <c r="K692" i="5"/>
  <c r="T691" i="5"/>
  <c r="W691" i="5" s="1"/>
  <c r="S691" i="5"/>
  <c r="R691" i="5"/>
  <c r="L691" i="5"/>
  <c r="K691" i="5"/>
  <c r="T690" i="5"/>
  <c r="Z690" i="5" s="1"/>
  <c r="S690" i="5"/>
  <c r="R690" i="5"/>
  <c r="X690" i="5" s="1"/>
  <c r="L690" i="5"/>
  <c r="K690" i="5"/>
  <c r="T689" i="5"/>
  <c r="W689" i="5" s="1"/>
  <c r="S689" i="5"/>
  <c r="Y689" i="5" s="1"/>
  <c r="R689" i="5"/>
  <c r="L689" i="5"/>
  <c r="K689" i="5"/>
  <c r="T688" i="5"/>
  <c r="Z688" i="5" s="1"/>
  <c r="S688" i="5"/>
  <c r="Y688" i="5" s="1"/>
  <c r="R688" i="5"/>
  <c r="X688" i="5" s="1"/>
  <c r="L688" i="5"/>
  <c r="K688" i="5"/>
  <c r="T687" i="5"/>
  <c r="Z687" i="5" s="1"/>
  <c r="S687" i="5"/>
  <c r="R687" i="5"/>
  <c r="U687" i="5" s="1"/>
  <c r="L687" i="5"/>
  <c r="K687" i="5"/>
  <c r="T686" i="5"/>
  <c r="Z686" i="5" s="1"/>
  <c r="S686" i="5"/>
  <c r="V686" i="5" s="1"/>
  <c r="R686" i="5"/>
  <c r="L686" i="5"/>
  <c r="K686" i="5"/>
  <c r="T685" i="5"/>
  <c r="Z685" i="5" s="1"/>
  <c r="S685" i="5"/>
  <c r="Y685" i="5" s="1"/>
  <c r="R685" i="5"/>
  <c r="L685" i="5"/>
  <c r="K685" i="5"/>
  <c r="T684" i="5"/>
  <c r="Z684" i="5" s="1"/>
  <c r="S684" i="5"/>
  <c r="V684" i="5" s="1"/>
  <c r="R684" i="5"/>
  <c r="X684" i="5" s="1"/>
  <c r="L684" i="5"/>
  <c r="K684" i="5"/>
  <c r="T683" i="5"/>
  <c r="W683" i="5" s="1"/>
  <c r="S683" i="5"/>
  <c r="Y683" i="5" s="1"/>
  <c r="R683" i="5"/>
  <c r="X683" i="5" s="1"/>
  <c r="L683" i="5"/>
  <c r="K683" i="5"/>
  <c r="T682" i="5"/>
  <c r="Z682" i="5" s="1"/>
  <c r="S682" i="5"/>
  <c r="Y682" i="5" s="1"/>
  <c r="R682" i="5"/>
  <c r="L682" i="5"/>
  <c r="K682" i="5"/>
  <c r="T681" i="5"/>
  <c r="W681" i="5" s="1"/>
  <c r="S681" i="5"/>
  <c r="Y681" i="5" s="1"/>
  <c r="R681" i="5"/>
  <c r="U681" i="5" s="1"/>
  <c r="L681" i="5"/>
  <c r="K681" i="5"/>
  <c r="T680" i="5"/>
  <c r="Z680" i="5" s="1"/>
  <c r="S680" i="5"/>
  <c r="Y680" i="5" s="1"/>
  <c r="R680" i="5"/>
  <c r="X680" i="5" s="1"/>
  <c r="L680" i="5"/>
  <c r="K680" i="5"/>
  <c r="T679" i="5"/>
  <c r="W679" i="5" s="1"/>
  <c r="S679" i="5"/>
  <c r="V679" i="5" s="1"/>
  <c r="R679" i="5"/>
  <c r="U679" i="5" s="1"/>
  <c r="L679" i="5"/>
  <c r="K679" i="5"/>
  <c r="T678" i="5"/>
  <c r="Z678" i="5" s="1"/>
  <c r="S678" i="5"/>
  <c r="V678" i="5" s="1"/>
  <c r="R678" i="5"/>
  <c r="X678" i="5" s="1"/>
  <c r="L678" i="5"/>
  <c r="K678" i="5"/>
  <c r="T677" i="5"/>
  <c r="Z677" i="5" s="1"/>
  <c r="S677" i="5"/>
  <c r="Y677" i="5" s="1"/>
  <c r="R677" i="5"/>
  <c r="U677" i="5" s="1"/>
  <c r="L677" i="5"/>
  <c r="K677" i="5"/>
  <c r="T672" i="5"/>
  <c r="R672" i="5"/>
  <c r="L672" i="5"/>
  <c r="L673" i="5" s="1"/>
  <c r="L674" i="5" s="1"/>
  <c r="L675" i="5" s="1"/>
  <c r="L676" i="5" s="1"/>
  <c r="K672" i="5"/>
  <c r="K673" i="5" s="1"/>
  <c r="K674" i="5" s="1"/>
  <c r="K675" i="5" s="1"/>
  <c r="K676" i="5" s="1"/>
  <c r="T671" i="5"/>
  <c r="Z671" i="5" s="1"/>
  <c r="S671" i="5"/>
  <c r="Y671" i="5" s="1"/>
  <c r="R671" i="5"/>
  <c r="X671" i="5" s="1"/>
  <c r="L671" i="5"/>
  <c r="K671" i="5"/>
  <c r="T670" i="5"/>
  <c r="W670" i="5" s="1"/>
  <c r="S670" i="5"/>
  <c r="V670" i="5" s="1"/>
  <c r="R670" i="5"/>
  <c r="L670" i="5"/>
  <c r="K670" i="5"/>
  <c r="T669" i="5"/>
  <c r="W669" i="5" s="1"/>
  <c r="S669" i="5"/>
  <c r="V669" i="5" s="1"/>
  <c r="R669" i="5"/>
  <c r="L669" i="5"/>
  <c r="K669" i="5"/>
  <c r="T668" i="5"/>
  <c r="Z668" i="5" s="1"/>
  <c r="S668" i="5"/>
  <c r="Y668" i="5" s="1"/>
  <c r="R668" i="5"/>
  <c r="L668" i="5"/>
  <c r="K668" i="5"/>
  <c r="T667" i="5"/>
  <c r="Z667" i="5" s="1"/>
  <c r="S667" i="5"/>
  <c r="Y667" i="5" s="1"/>
  <c r="R667" i="5"/>
  <c r="L667" i="5"/>
  <c r="K667" i="5"/>
  <c r="T666" i="5"/>
  <c r="Z666" i="5" s="1"/>
  <c r="S666" i="5"/>
  <c r="V666" i="5" s="1"/>
  <c r="R666" i="5"/>
  <c r="L666" i="5"/>
  <c r="K666" i="5"/>
  <c r="T665" i="5"/>
  <c r="S665" i="5"/>
  <c r="R665" i="5"/>
  <c r="U665" i="5" s="1"/>
  <c r="L665" i="5"/>
  <c r="K665" i="5"/>
  <c r="T664" i="5"/>
  <c r="Z664" i="5" s="1"/>
  <c r="S664" i="5"/>
  <c r="R664" i="5"/>
  <c r="X664" i="5" s="1"/>
  <c r="L664" i="5"/>
  <c r="K664" i="5"/>
  <c r="T663" i="5"/>
  <c r="Z663" i="5" s="1"/>
  <c r="S663" i="5"/>
  <c r="Y663" i="5" s="1"/>
  <c r="R663" i="5"/>
  <c r="X663" i="5" s="1"/>
  <c r="L663" i="5"/>
  <c r="K663" i="5"/>
  <c r="T662" i="5"/>
  <c r="Z662" i="5" s="1"/>
  <c r="S662" i="5"/>
  <c r="V662" i="5" s="1"/>
  <c r="R662" i="5"/>
  <c r="U662" i="5" s="1"/>
  <c r="L662" i="5"/>
  <c r="K662" i="5"/>
  <c r="T661" i="5"/>
  <c r="W661" i="5" s="1"/>
  <c r="S661" i="5"/>
  <c r="Y661" i="5" s="1"/>
  <c r="R661" i="5"/>
  <c r="U661" i="5" s="1"/>
  <c r="L661" i="5"/>
  <c r="K661" i="5"/>
  <c r="T660" i="5"/>
  <c r="Z660" i="5" s="1"/>
  <c r="S660" i="5"/>
  <c r="V660" i="5" s="1"/>
  <c r="R660" i="5"/>
  <c r="U660" i="5" s="1"/>
  <c r="L660" i="5"/>
  <c r="K660" i="5"/>
  <c r="T659" i="5"/>
  <c r="Z659" i="5" s="1"/>
  <c r="S659" i="5"/>
  <c r="Y659" i="5" s="1"/>
  <c r="R659" i="5"/>
  <c r="U659" i="5" s="1"/>
  <c r="L659" i="5"/>
  <c r="K659" i="5"/>
  <c r="T658" i="5"/>
  <c r="W658" i="5" s="1"/>
  <c r="S658" i="5"/>
  <c r="V658" i="5" s="1"/>
  <c r="R658" i="5"/>
  <c r="X658" i="5" s="1"/>
  <c r="L658" i="5"/>
  <c r="K658" i="5"/>
  <c r="T657" i="5"/>
  <c r="Z657" i="5" s="1"/>
  <c r="S657" i="5"/>
  <c r="V657" i="5" s="1"/>
  <c r="R657" i="5"/>
  <c r="L657" i="5"/>
  <c r="K657" i="5"/>
  <c r="T656" i="5"/>
  <c r="Z656" i="5" s="1"/>
  <c r="S656" i="5"/>
  <c r="R656" i="5"/>
  <c r="L656" i="5"/>
  <c r="K656" i="5"/>
  <c r="T655" i="5"/>
  <c r="W655" i="5" s="1"/>
  <c r="S655" i="5"/>
  <c r="Y655" i="5" s="1"/>
  <c r="R655" i="5"/>
  <c r="L655" i="5"/>
  <c r="K655" i="5"/>
  <c r="T654" i="5"/>
  <c r="S654" i="5"/>
  <c r="R654" i="5"/>
  <c r="X654" i="5" s="1"/>
  <c r="L654" i="5"/>
  <c r="K654" i="5"/>
  <c r="T653" i="5"/>
  <c r="W653" i="5" s="1"/>
  <c r="S653" i="5"/>
  <c r="Y653" i="5" s="1"/>
  <c r="R653" i="5"/>
  <c r="L653" i="5"/>
  <c r="K653" i="5"/>
  <c r="T652" i="5"/>
  <c r="S652" i="5"/>
  <c r="Y652" i="5" s="1"/>
  <c r="R652" i="5"/>
  <c r="L652" i="5"/>
  <c r="K652" i="5"/>
  <c r="T651" i="5"/>
  <c r="W651" i="5" s="1"/>
  <c r="S651" i="5"/>
  <c r="Y651" i="5" s="1"/>
  <c r="R651" i="5"/>
  <c r="L651" i="5"/>
  <c r="K651" i="5"/>
  <c r="T650" i="5"/>
  <c r="S650" i="5"/>
  <c r="Y650" i="5" s="1"/>
  <c r="R650" i="5"/>
  <c r="X650" i="5" s="1"/>
  <c r="L650" i="5"/>
  <c r="K650" i="5"/>
  <c r="T649" i="5"/>
  <c r="Z649" i="5" s="1"/>
  <c r="S649" i="5"/>
  <c r="Y649" i="5" s="1"/>
  <c r="R649" i="5"/>
  <c r="X649" i="5" s="1"/>
  <c r="L649" i="5"/>
  <c r="K649" i="5"/>
  <c r="T648" i="5"/>
  <c r="W648" i="5" s="1"/>
  <c r="S648" i="5"/>
  <c r="V648" i="5" s="1"/>
  <c r="R648" i="5"/>
  <c r="U648" i="5" s="1"/>
  <c r="L648" i="5"/>
  <c r="K648" i="5"/>
  <c r="T647" i="5"/>
  <c r="W647" i="5" s="1"/>
  <c r="S647" i="5"/>
  <c r="Y647" i="5" s="1"/>
  <c r="R647" i="5"/>
  <c r="X647" i="5" s="1"/>
  <c r="L647" i="5"/>
  <c r="K647" i="5"/>
  <c r="T646" i="5"/>
  <c r="W646" i="5" s="1"/>
  <c r="S646" i="5"/>
  <c r="Y646" i="5" s="1"/>
  <c r="R646" i="5"/>
  <c r="U646" i="5" s="1"/>
  <c r="L646" i="5"/>
  <c r="K646" i="5"/>
  <c r="T645" i="5"/>
  <c r="W645" i="5" s="1"/>
  <c r="S645" i="5"/>
  <c r="V645" i="5" s="1"/>
  <c r="R645" i="5"/>
  <c r="X645" i="5" s="1"/>
  <c r="L645" i="5"/>
  <c r="K645" i="5"/>
  <c r="T644" i="5"/>
  <c r="Z644" i="5" s="1"/>
  <c r="S644" i="5"/>
  <c r="V644" i="5" s="1"/>
  <c r="R644" i="5"/>
  <c r="X644" i="5" s="1"/>
  <c r="L644" i="5"/>
  <c r="K644" i="5"/>
  <c r="T643" i="5"/>
  <c r="Z643" i="5" s="1"/>
  <c r="S643" i="5"/>
  <c r="Y643" i="5" s="1"/>
  <c r="R643" i="5"/>
  <c r="U643" i="5" s="1"/>
  <c r="L643" i="5"/>
  <c r="K643" i="5"/>
  <c r="T642" i="5"/>
  <c r="W642" i="5" s="1"/>
  <c r="S642" i="5"/>
  <c r="R642" i="5"/>
  <c r="L642" i="5"/>
  <c r="K642" i="5"/>
  <c r="T641" i="5"/>
  <c r="Z641" i="5" s="1"/>
  <c r="S641" i="5"/>
  <c r="R641" i="5"/>
  <c r="U641" i="5" s="1"/>
  <c r="L641" i="5"/>
  <c r="K641" i="5"/>
  <c r="T640" i="5"/>
  <c r="W640" i="5" s="1"/>
  <c r="S640" i="5"/>
  <c r="R640" i="5"/>
  <c r="X640" i="5" s="1"/>
  <c r="L640" i="5"/>
  <c r="K640" i="5"/>
  <c r="T639" i="5"/>
  <c r="Z639" i="5" s="1"/>
  <c r="S639" i="5"/>
  <c r="Y639" i="5" s="1"/>
  <c r="R639" i="5"/>
  <c r="X639" i="5" s="1"/>
  <c r="L639" i="5"/>
  <c r="K639" i="5"/>
  <c r="T638" i="5"/>
  <c r="W638" i="5" s="1"/>
  <c r="S638" i="5"/>
  <c r="V638" i="5" s="1"/>
  <c r="R638" i="5"/>
  <c r="U638" i="5" s="1"/>
  <c r="L638" i="5"/>
  <c r="K638" i="5"/>
  <c r="T637" i="5"/>
  <c r="W637" i="5" s="1"/>
  <c r="S637" i="5"/>
  <c r="V637" i="5" s="1"/>
  <c r="R637" i="5"/>
  <c r="U637" i="5" s="1"/>
  <c r="L637" i="5"/>
  <c r="K637" i="5"/>
  <c r="T636" i="5"/>
  <c r="Z636" i="5" s="1"/>
  <c r="S636" i="5"/>
  <c r="Y636" i="5" s="1"/>
  <c r="R636" i="5"/>
  <c r="U636" i="5" s="1"/>
  <c r="L636" i="5"/>
  <c r="K636" i="5"/>
  <c r="T635" i="5"/>
  <c r="Z635" i="5" s="1"/>
  <c r="S635" i="5"/>
  <c r="R635" i="5"/>
  <c r="U635" i="5" s="1"/>
  <c r="L635" i="5"/>
  <c r="K635" i="5"/>
  <c r="T634" i="5"/>
  <c r="W634" i="5" s="1"/>
  <c r="S634" i="5"/>
  <c r="Y634" i="5" s="1"/>
  <c r="R634" i="5"/>
  <c r="X634" i="5" s="1"/>
  <c r="L634" i="5"/>
  <c r="K634" i="5"/>
  <c r="T633" i="5"/>
  <c r="W633" i="5" s="1"/>
  <c r="S633" i="5"/>
  <c r="V633" i="5" s="1"/>
  <c r="R633" i="5"/>
  <c r="X633" i="5" s="1"/>
  <c r="L633" i="5"/>
  <c r="K633" i="5"/>
  <c r="T632" i="5"/>
  <c r="Z632" i="5" s="1"/>
  <c r="S632" i="5"/>
  <c r="V632" i="5" s="1"/>
  <c r="R632" i="5"/>
  <c r="X632" i="5" s="1"/>
  <c r="L632" i="5"/>
  <c r="K632" i="5"/>
  <c r="T631" i="5"/>
  <c r="S631" i="5"/>
  <c r="Y631" i="5" s="1"/>
  <c r="R631" i="5"/>
  <c r="U631" i="5" s="1"/>
  <c r="L631" i="5"/>
  <c r="K631" i="5"/>
  <c r="T630" i="5"/>
  <c r="Z630" i="5" s="1"/>
  <c r="S630" i="5"/>
  <c r="V630" i="5" s="1"/>
  <c r="R630" i="5"/>
  <c r="X630" i="5" s="1"/>
  <c r="L630" i="5"/>
  <c r="K630" i="5"/>
  <c r="T629" i="5"/>
  <c r="W629" i="5" s="1"/>
  <c r="S629" i="5"/>
  <c r="Y629" i="5" s="1"/>
  <c r="R629" i="5"/>
  <c r="U629" i="5" s="1"/>
  <c r="L629" i="5"/>
  <c r="K629" i="5"/>
  <c r="T628" i="5"/>
  <c r="Z628" i="5" s="1"/>
  <c r="S628" i="5"/>
  <c r="Y628" i="5" s="1"/>
  <c r="R628" i="5"/>
  <c r="X628" i="5" s="1"/>
  <c r="L628" i="5"/>
  <c r="K628" i="5"/>
  <c r="T627" i="5"/>
  <c r="Z627" i="5" s="1"/>
  <c r="S627" i="5"/>
  <c r="V627" i="5" s="1"/>
  <c r="R627" i="5"/>
  <c r="U627" i="5" s="1"/>
  <c r="L627" i="5"/>
  <c r="K627" i="5"/>
  <c r="T626" i="5"/>
  <c r="S626" i="5"/>
  <c r="V626" i="5" s="1"/>
  <c r="R626" i="5"/>
  <c r="X626" i="5" s="1"/>
  <c r="L626" i="5"/>
  <c r="K626" i="5"/>
  <c r="T625" i="5"/>
  <c r="S625" i="5"/>
  <c r="R625" i="5"/>
  <c r="U625" i="5" s="1"/>
  <c r="L625" i="5"/>
  <c r="K625" i="5"/>
  <c r="T624" i="5"/>
  <c r="W624" i="5" s="1"/>
  <c r="S624" i="5"/>
  <c r="R624" i="5"/>
  <c r="X624" i="5" s="1"/>
  <c r="L624" i="5"/>
  <c r="K624" i="5"/>
  <c r="T623" i="5"/>
  <c r="S623" i="5"/>
  <c r="R623" i="5"/>
  <c r="U623" i="5" s="1"/>
  <c r="L623" i="5"/>
  <c r="K623" i="5"/>
  <c r="T622" i="5"/>
  <c r="Z622" i="5" s="1"/>
  <c r="S622" i="5"/>
  <c r="Y622" i="5" s="1"/>
  <c r="R622" i="5"/>
  <c r="X622" i="5" s="1"/>
  <c r="L622" i="5"/>
  <c r="K622" i="5"/>
  <c r="T621" i="5"/>
  <c r="W621" i="5" s="1"/>
  <c r="S621" i="5"/>
  <c r="Y621" i="5" s="1"/>
  <c r="R621" i="5"/>
  <c r="L621" i="5"/>
  <c r="K621" i="5"/>
  <c r="T620" i="5"/>
  <c r="Z620" i="5" s="1"/>
  <c r="S620" i="5"/>
  <c r="V620" i="5" s="1"/>
  <c r="R620" i="5"/>
  <c r="L620" i="5"/>
  <c r="K620" i="5"/>
  <c r="T619" i="5"/>
  <c r="S619" i="5"/>
  <c r="R619" i="5"/>
  <c r="U619" i="5" s="1"/>
  <c r="L619" i="5"/>
  <c r="K619" i="5"/>
  <c r="T618" i="5"/>
  <c r="S618" i="5"/>
  <c r="Y618" i="5" s="1"/>
  <c r="R618" i="5"/>
  <c r="X618" i="5" s="1"/>
  <c r="L618" i="5"/>
  <c r="K618" i="5"/>
  <c r="T617" i="5"/>
  <c r="Z617" i="5" s="1"/>
  <c r="S617" i="5"/>
  <c r="R617" i="5"/>
  <c r="U617" i="5" s="1"/>
  <c r="L617" i="5"/>
  <c r="K617" i="5"/>
  <c r="T616" i="5"/>
  <c r="S616" i="5"/>
  <c r="V616" i="5" s="1"/>
  <c r="R616" i="5"/>
  <c r="L616" i="5"/>
  <c r="K616" i="5"/>
  <c r="T615" i="5"/>
  <c r="W615" i="5" s="1"/>
  <c r="S615" i="5"/>
  <c r="Y615" i="5" s="1"/>
  <c r="R615" i="5"/>
  <c r="U615" i="5" s="1"/>
  <c r="L615" i="5"/>
  <c r="K615" i="5"/>
  <c r="T614" i="5"/>
  <c r="S614" i="5"/>
  <c r="Y614" i="5" s="1"/>
  <c r="R614" i="5"/>
  <c r="U614" i="5" s="1"/>
  <c r="L614" i="5"/>
  <c r="K614" i="5"/>
  <c r="T613" i="5"/>
  <c r="S613" i="5"/>
  <c r="Y613" i="5" s="1"/>
  <c r="R613" i="5"/>
  <c r="U613" i="5" s="1"/>
  <c r="L613" i="5"/>
  <c r="K613" i="5"/>
  <c r="T612" i="5"/>
  <c r="Z612" i="5" s="1"/>
  <c r="S612" i="5"/>
  <c r="R612" i="5"/>
  <c r="L612" i="5"/>
  <c r="K612" i="5"/>
  <c r="T611" i="5"/>
  <c r="Z611" i="5" s="1"/>
  <c r="S611" i="5"/>
  <c r="R611" i="5"/>
  <c r="U611" i="5" s="1"/>
  <c r="L611" i="5"/>
  <c r="K611" i="5"/>
  <c r="T610" i="5"/>
  <c r="Z610" i="5" s="1"/>
  <c r="S610" i="5"/>
  <c r="V610" i="5" s="1"/>
  <c r="R610" i="5"/>
  <c r="L610" i="5"/>
  <c r="K610" i="5"/>
  <c r="T609" i="5"/>
  <c r="S609" i="5"/>
  <c r="R609" i="5"/>
  <c r="L609" i="5"/>
  <c r="K609" i="5"/>
  <c r="T608" i="5"/>
  <c r="S608" i="5"/>
  <c r="R608" i="5"/>
  <c r="X608" i="5" s="1"/>
  <c r="L608" i="5"/>
  <c r="K608" i="5"/>
  <c r="T607" i="5"/>
  <c r="Z607" i="5" s="1"/>
  <c r="S607" i="5"/>
  <c r="Y607" i="5" s="1"/>
  <c r="R607" i="5"/>
  <c r="L607" i="5"/>
  <c r="K607" i="5"/>
  <c r="T606" i="5"/>
  <c r="S606" i="5"/>
  <c r="R606" i="5"/>
  <c r="U606" i="5" s="1"/>
  <c r="L606" i="5"/>
  <c r="K606" i="5"/>
  <c r="T605" i="5"/>
  <c r="W605" i="5" s="1"/>
  <c r="S605" i="5"/>
  <c r="R605" i="5"/>
  <c r="L605" i="5"/>
  <c r="K605" i="5"/>
  <c r="T604" i="5"/>
  <c r="S604" i="5"/>
  <c r="Y604" i="5" s="1"/>
  <c r="R604" i="5"/>
  <c r="X604" i="5" s="1"/>
  <c r="L604" i="5"/>
  <c r="K604" i="5"/>
  <c r="T603" i="5"/>
  <c r="Z603" i="5" s="1"/>
  <c r="S603" i="5"/>
  <c r="Y603" i="5" s="1"/>
  <c r="R603" i="5"/>
  <c r="L603" i="5"/>
  <c r="K603" i="5"/>
  <c r="T602" i="5"/>
  <c r="Z602" i="5" s="1"/>
  <c r="S602" i="5"/>
  <c r="Y602" i="5" s="1"/>
  <c r="R602" i="5"/>
  <c r="L602" i="5"/>
  <c r="K602" i="5"/>
  <c r="T601" i="5"/>
  <c r="W601" i="5" s="1"/>
  <c r="S601" i="5"/>
  <c r="R601" i="5"/>
  <c r="U601" i="5" s="1"/>
  <c r="L601" i="5"/>
  <c r="K601" i="5"/>
  <c r="T600" i="5"/>
  <c r="Z600" i="5" s="1"/>
  <c r="S600" i="5"/>
  <c r="R600" i="5"/>
  <c r="L600" i="5"/>
  <c r="K600" i="5"/>
  <c r="T599" i="5"/>
  <c r="Z599" i="5" s="1"/>
  <c r="S599" i="5"/>
  <c r="R599" i="5"/>
  <c r="X599" i="5" s="1"/>
  <c r="L599" i="5"/>
  <c r="K599" i="5"/>
  <c r="T598" i="5"/>
  <c r="Z598" i="5" s="1"/>
  <c r="S598" i="5"/>
  <c r="V598" i="5" s="1"/>
  <c r="R598" i="5"/>
  <c r="X598" i="5" s="1"/>
  <c r="L598" i="5"/>
  <c r="K598" i="5"/>
  <c r="T597" i="5"/>
  <c r="W597" i="5" s="1"/>
  <c r="S597" i="5"/>
  <c r="Y597" i="5" s="1"/>
  <c r="R597" i="5"/>
  <c r="X597" i="5" s="1"/>
  <c r="L597" i="5"/>
  <c r="K597" i="5"/>
  <c r="T596" i="5"/>
  <c r="Z596" i="5" s="1"/>
  <c r="S596" i="5"/>
  <c r="V596" i="5" s="1"/>
  <c r="R596" i="5"/>
  <c r="U596" i="5" s="1"/>
  <c r="L596" i="5"/>
  <c r="K596" i="5"/>
  <c r="T595" i="5"/>
  <c r="W595" i="5" s="1"/>
  <c r="S595" i="5"/>
  <c r="Y595" i="5" s="1"/>
  <c r="R595" i="5"/>
  <c r="U595" i="5" s="1"/>
  <c r="L595" i="5"/>
  <c r="K595" i="5"/>
  <c r="T594" i="5"/>
  <c r="Z594" i="5" s="1"/>
  <c r="S594" i="5"/>
  <c r="V594" i="5" s="1"/>
  <c r="R594" i="5"/>
  <c r="X594" i="5" s="1"/>
  <c r="L594" i="5"/>
  <c r="K594" i="5"/>
  <c r="T593" i="5"/>
  <c r="W593" i="5" s="1"/>
  <c r="S593" i="5"/>
  <c r="Y593" i="5" s="1"/>
  <c r="R593" i="5"/>
  <c r="L593" i="5"/>
  <c r="K593" i="5"/>
  <c r="T592" i="5"/>
  <c r="W592" i="5" s="1"/>
  <c r="S592" i="5"/>
  <c r="V592" i="5" s="1"/>
  <c r="R592" i="5"/>
  <c r="L592" i="5"/>
  <c r="K592" i="5"/>
  <c r="T591" i="5"/>
  <c r="W591" i="5" s="1"/>
  <c r="S591" i="5"/>
  <c r="Y591" i="5" s="1"/>
  <c r="R591" i="5"/>
  <c r="U591" i="5" s="1"/>
  <c r="L591" i="5"/>
  <c r="K591" i="5"/>
  <c r="T590" i="5"/>
  <c r="Z590" i="5" s="1"/>
  <c r="S590" i="5"/>
  <c r="Y590" i="5" s="1"/>
  <c r="R590" i="5"/>
  <c r="X590" i="5" s="1"/>
  <c r="L590" i="5"/>
  <c r="K590" i="5"/>
  <c r="T589" i="5"/>
  <c r="W589" i="5" s="1"/>
  <c r="S589" i="5"/>
  <c r="V589" i="5" s="1"/>
  <c r="R589" i="5"/>
  <c r="X589" i="5" s="1"/>
  <c r="L589" i="5"/>
  <c r="K589" i="5"/>
  <c r="T588" i="5"/>
  <c r="Z588" i="5" s="1"/>
  <c r="S588" i="5"/>
  <c r="Y588" i="5" s="1"/>
  <c r="R588" i="5"/>
  <c r="L588" i="5"/>
  <c r="K588" i="5"/>
  <c r="T587" i="5"/>
  <c r="W587" i="5" s="1"/>
  <c r="S587" i="5"/>
  <c r="V587" i="5" s="1"/>
  <c r="R587" i="5"/>
  <c r="U587" i="5" s="1"/>
  <c r="L587" i="5"/>
  <c r="K587" i="5"/>
  <c r="T586" i="5"/>
  <c r="W586" i="5" s="1"/>
  <c r="S586" i="5"/>
  <c r="Y586" i="5" s="1"/>
  <c r="R586" i="5"/>
  <c r="X586" i="5" s="1"/>
  <c r="L586" i="5"/>
  <c r="K586" i="5"/>
  <c r="T585" i="5"/>
  <c r="Z585" i="5" s="1"/>
  <c r="S585" i="5"/>
  <c r="R585" i="5"/>
  <c r="L585" i="5"/>
  <c r="K585" i="5"/>
  <c r="T584" i="5"/>
  <c r="Z584" i="5" s="1"/>
  <c r="S584" i="5"/>
  <c r="V584" i="5" s="1"/>
  <c r="R584" i="5"/>
  <c r="U584" i="5" s="1"/>
  <c r="L584" i="5"/>
  <c r="K584" i="5"/>
  <c r="T583" i="5"/>
  <c r="W583" i="5" s="1"/>
  <c r="S583" i="5"/>
  <c r="Y583" i="5" s="1"/>
  <c r="R583" i="5"/>
  <c r="X583" i="5" s="1"/>
  <c r="L583" i="5"/>
  <c r="K583" i="5"/>
  <c r="T582" i="5"/>
  <c r="W582" i="5" s="1"/>
  <c r="S582" i="5"/>
  <c r="V582" i="5" s="1"/>
  <c r="R582" i="5"/>
  <c r="L582" i="5"/>
  <c r="K582" i="5"/>
  <c r="T581" i="5"/>
  <c r="W581" i="5" s="1"/>
  <c r="S581" i="5"/>
  <c r="Y581" i="5" s="1"/>
  <c r="R581" i="5"/>
  <c r="X581" i="5" s="1"/>
  <c r="L581" i="5"/>
  <c r="K581" i="5"/>
  <c r="T580" i="5"/>
  <c r="Z580" i="5" s="1"/>
  <c r="S580" i="5"/>
  <c r="V580" i="5" s="1"/>
  <c r="R580" i="5"/>
  <c r="X580" i="5" s="1"/>
  <c r="L580" i="5"/>
  <c r="K580" i="5"/>
  <c r="T579" i="5"/>
  <c r="Z579" i="5" s="1"/>
  <c r="S579" i="5"/>
  <c r="Y579" i="5" s="1"/>
  <c r="R579" i="5"/>
  <c r="U579" i="5" s="1"/>
  <c r="L579" i="5"/>
  <c r="K579" i="5"/>
  <c r="T578" i="5"/>
  <c r="Z578" i="5" s="1"/>
  <c r="S578" i="5"/>
  <c r="Y578" i="5" s="1"/>
  <c r="R578" i="5"/>
  <c r="X578" i="5" s="1"/>
  <c r="L578" i="5"/>
  <c r="K578" i="5"/>
  <c r="T577" i="5"/>
  <c r="W577" i="5" s="1"/>
  <c r="S577" i="5"/>
  <c r="R577" i="5"/>
  <c r="U577" i="5" s="1"/>
  <c r="L577" i="5"/>
  <c r="K577" i="5"/>
  <c r="T576" i="5"/>
  <c r="Z576" i="5" s="1"/>
  <c r="S576" i="5"/>
  <c r="R576" i="5"/>
  <c r="X576" i="5" s="1"/>
  <c r="L576" i="5"/>
  <c r="K576" i="5"/>
  <c r="T575" i="5"/>
  <c r="S575" i="5"/>
  <c r="Y575" i="5" s="1"/>
  <c r="R575" i="5"/>
  <c r="X575" i="5" s="1"/>
  <c r="L575" i="5"/>
  <c r="K575" i="5"/>
  <c r="T574" i="5"/>
  <c r="W574" i="5" s="1"/>
  <c r="S574" i="5"/>
  <c r="Y574" i="5" s="1"/>
  <c r="R574" i="5"/>
  <c r="X574" i="5" s="1"/>
  <c r="L574" i="5"/>
  <c r="K574" i="5"/>
  <c r="T573" i="5"/>
  <c r="W573" i="5" s="1"/>
  <c r="S573" i="5"/>
  <c r="V573" i="5" s="1"/>
  <c r="R573" i="5"/>
  <c r="U573" i="5" s="1"/>
  <c r="L573" i="5"/>
  <c r="K573" i="5"/>
  <c r="T572" i="5"/>
  <c r="Z572" i="5" s="1"/>
  <c r="S572" i="5"/>
  <c r="V572" i="5" s="1"/>
  <c r="R572" i="5"/>
  <c r="X572" i="5" s="1"/>
  <c r="L572" i="5"/>
  <c r="K572" i="5"/>
  <c r="T571" i="5"/>
  <c r="S571" i="5"/>
  <c r="Y571" i="5" s="1"/>
  <c r="R571" i="5"/>
  <c r="U571" i="5" s="1"/>
  <c r="L571" i="5"/>
  <c r="K571" i="5"/>
  <c r="T570" i="5"/>
  <c r="S570" i="5"/>
  <c r="V570" i="5" s="1"/>
  <c r="R570" i="5"/>
  <c r="X570" i="5" s="1"/>
  <c r="L570" i="5"/>
  <c r="K570" i="5"/>
  <c r="T569" i="5"/>
  <c r="W569" i="5" s="1"/>
  <c r="S569" i="5"/>
  <c r="R569" i="5"/>
  <c r="U569" i="5" s="1"/>
  <c r="L569" i="5"/>
  <c r="K569" i="5"/>
  <c r="T568" i="5"/>
  <c r="Z568" i="5" s="1"/>
  <c r="S568" i="5"/>
  <c r="V568" i="5" s="1"/>
  <c r="R568" i="5"/>
  <c r="L568" i="5"/>
  <c r="K568" i="5"/>
  <c r="T567" i="5"/>
  <c r="Z567" i="5" s="1"/>
  <c r="S567" i="5"/>
  <c r="Y567" i="5" s="1"/>
  <c r="R567" i="5"/>
  <c r="X567" i="5" s="1"/>
  <c r="L567" i="5"/>
  <c r="K567" i="5"/>
  <c r="T566" i="5"/>
  <c r="Z566" i="5" s="1"/>
  <c r="S566" i="5"/>
  <c r="V566" i="5" s="1"/>
  <c r="R566" i="5"/>
  <c r="U566" i="5" s="1"/>
  <c r="L566" i="5"/>
  <c r="K566" i="5"/>
  <c r="T565" i="5"/>
  <c r="W565" i="5" s="1"/>
  <c r="S565" i="5"/>
  <c r="Y565" i="5" s="1"/>
  <c r="R565" i="5"/>
  <c r="X565" i="5" s="1"/>
  <c r="L565" i="5"/>
  <c r="K565" i="5"/>
  <c r="T564" i="5"/>
  <c r="Z564" i="5" s="1"/>
  <c r="S564" i="5"/>
  <c r="Y564" i="5" s="1"/>
  <c r="R564" i="5"/>
  <c r="X564" i="5" s="1"/>
  <c r="L564" i="5"/>
  <c r="K564" i="5"/>
  <c r="T563" i="5"/>
  <c r="Z563" i="5" s="1"/>
  <c r="S563" i="5"/>
  <c r="Y563" i="5" s="1"/>
  <c r="R563" i="5"/>
  <c r="U563" i="5" s="1"/>
  <c r="L563" i="5"/>
  <c r="K563" i="5"/>
  <c r="T562" i="5"/>
  <c r="Z562" i="5" s="1"/>
  <c r="S562" i="5"/>
  <c r="V562" i="5" s="1"/>
  <c r="R562" i="5"/>
  <c r="X562" i="5" s="1"/>
  <c r="L562" i="5"/>
  <c r="K562" i="5"/>
  <c r="T561" i="5"/>
  <c r="Z561" i="5" s="1"/>
  <c r="S561" i="5"/>
  <c r="R561" i="5"/>
  <c r="X561" i="5" s="1"/>
  <c r="L561" i="5"/>
  <c r="K561" i="5"/>
  <c r="T560" i="5"/>
  <c r="Z560" i="5" s="1"/>
  <c r="S560" i="5"/>
  <c r="V560" i="5" s="1"/>
  <c r="R560" i="5"/>
  <c r="L560" i="5"/>
  <c r="K560" i="5"/>
  <c r="T559" i="5"/>
  <c r="W559" i="5" s="1"/>
  <c r="S559" i="5"/>
  <c r="Y559" i="5" s="1"/>
  <c r="R559" i="5"/>
  <c r="U559" i="5" s="1"/>
  <c r="L559" i="5"/>
  <c r="K559" i="5"/>
  <c r="T558" i="5"/>
  <c r="W558" i="5" s="1"/>
  <c r="S558" i="5"/>
  <c r="Y558" i="5" s="1"/>
  <c r="R558" i="5"/>
  <c r="X558" i="5" s="1"/>
  <c r="L558" i="5"/>
  <c r="K558" i="5"/>
  <c r="T557" i="5"/>
  <c r="W557" i="5" s="1"/>
  <c r="S557" i="5"/>
  <c r="Y557" i="5" s="1"/>
  <c r="R557" i="5"/>
  <c r="U557" i="5" s="1"/>
  <c r="L557" i="5"/>
  <c r="K557" i="5"/>
  <c r="T556" i="5"/>
  <c r="S556" i="5"/>
  <c r="Y556" i="5" s="1"/>
  <c r="R556" i="5"/>
  <c r="U556" i="5" s="1"/>
  <c r="L556" i="5"/>
  <c r="K556" i="5"/>
  <c r="T555" i="5"/>
  <c r="W555" i="5" s="1"/>
  <c r="S555" i="5"/>
  <c r="R555" i="5"/>
  <c r="U555" i="5" s="1"/>
  <c r="L555" i="5"/>
  <c r="K555" i="5"/>
  <c r="T554" i="5"/>
  <c r="S554" i="5"/>
  <c r="Y554" i="5" s="1"/>
  <c r="R554" i="5"/>
  <c r="X554" i="5" s="1"/>
  <c r="L554" i="5"/>
  <c r="K554" i="5"/>
  <c r="T553" i="5"/>
  <c r="S553" i="5"/>
  <c r="Y553" i="5" s="1"/>
  <c r="R553" i="5"/>
  <c r="X553" i="5" s="1"/>
  <c r="L553" i="5"/>
  <c r="K553" i="5"/>
  <c r="T552" i="5"/>
  <c r="Z552" i="5" s="1"/>
  <c r="S552" i="5"/>
  <c r="V552" i="5" s="1"/>
  <c r="R552" i="5"/>
  <c r="U552" i="5" s="1"/>
  <c r="L552" i="5"/>
  <c r="K552" i="5"/>
  <c r="T551" i="5"/>
  <c r="W551" i="5" s="1"/>
  <c r="S551" i="5"/>
  <c r="R551" i="5"/>
  <c r="X551" i="5" s="1"/>
  <c r="L551" i="5"/>
  <c r="K551" i="5"/>
  <c r="T550" i="5"/>
  <c r="S550" i="5"/>
  <c r="V550" i="5" s="1"/>
  <c r="R550" i="5"/>
  <c r="X550" i="5" s="1"/>
  <c r="L550" i="5"/>
  <c r="K550" i="5"/>
  <c r="T549" i="5"/>
  <c r="S549" i="5"/>
  <c r="R549" i="5"/>
  <c r="X549" i="5" s="1"/>
  <c r="L549" i="5"/>
  <c r="K549" i="5"/>
  <c r="T548" i="5"/>
  <c r="S548" i="5"/>
  <c r="V548" i="5" s="1"/>
  <c r="R548" i="5"/>
  <c r="X548" i="5" s="1"/>
  <c r="L548" i="5"/>
  <c r="K548" i="5"/>
  <c r="T547" i="5"/>
  <c r="Z547" i="5" s="1"/>
  <c r="S547" i="5"/>
  <c r="Y547" i="5" s="1"/>
  <c r="R547" i="5"/>
  <c r="L547" i="5"/>
  <c r="K547" i="5"/>
  <c r="T546" i="5"/>
  <c r="S546" i="5"/>
  <c r="R546" i="5"/>
  <c r="L546" i="5"/>
  <c r="K546" i="5"/>
  <c r="T545" i="5"/>
  <c r="W545" i="5" s="1"/>
  <c r="S545" i="5"/>
  <c r="V545" i="5" s="1"/>
  <c r="R545" i="5"/>
  <c r="L545" i="5"/>
  <c r="K545" i="5"/>
  <c r="T544" i="5"/>
  <c r="W544" i="5" s="1"/>
  <c r="S544" i="5"/>
  <c r="R544" i="5"/>
  <c r="X544" i="5" s="1"/>
  <c r="L544" i="5"/>
  <c r="K544" i="5"/>
  <c r="T543" i="5"/>
  <c r="Z543" i="5" s="1"/>
  <c r="S543" i="5"/>
  <c r="R543" i="5"/>
  <c r="X543" i="5" s="1"/>
  <c r="L543" i="5"/>
  <c r="K543" i="5"/>
  <c r="T542" i="5"/>
  <c r="S542" i="5"/>
  <c r="R542" i="5"/>
  <c r="X542" i="5" s="1"/>
  <c r="L542" i="5"/>
  <c r="K542" i="5"/>
  <c r="T541" i="5"/>
  <c r="W541" i="5" s="1"/>
  <c r="S541" i="5"/>
  <c r="V541" i="5" s="1"/>
  <c r="R541" i="5"/>
  <c r="L541" i="5"/>
  <c r="K541" i="5"/>
  <c r="T540" i="5"/>
  <c r="S540" i="5"/>
  <c r="V540" i="5" s="1"/>
  <c r="R540" i="5"/>
  <c r="L540" i="5"/>
  <c r="K540" i="5"/>
  <c r="T539" i="5"/>
  <c r="S539" i="5"/>
  <c r="R539" i="5"/>
  <c r="U539" i="5" s="1"/>
  <c r="L539" i="5"/>
  <c r="K539" i="5"/>
  <c r="T538" i="5"/>
  <c r="Z538" i="5" s="1"/>
  <c r="S538" i="5"/>
  <c r="Y538" i="5" s="1"/>
  <c r="R538" i="5"/>
  <c r="X538" i="5" s="1"/>
  <c r="L538" i="5"/>
  <c r="K538" i="5"/>
  <c r="T537" i="5"/>
  <c r="S537" i="5"/>
  <c r="R537" i="5"/>
  <c r="X537" i="5" s="1"/>
  <c r="L537" i="5"/>
  <c r="K537" i="5"/>
  <c r="T536" i="5"/>
  <c r="Z536" i="5" s="1"/>
  <c r="S536" i="5"/>
  <c r="V536" i="5" s="1"/>
  <c r="R536" i="5"/>
  <c r="L536" i="5"/>
  <c r="K536" i="5"/>
  <c r="T535" i="5"/>
  <c r="S535" i="5"/>
  <c r="R535" i="5"/>
  <c r="X535" i="5" s="1"/>
  <c r="L535" i="5"/>
  <c r="K535" i="5"/>
  <c r="T534" i="5"/>
  <c r="W534" i="5" s="1"/>
  <c r="S534" i="5"/>
  <c r="V534" i="5" s="1"/>
  <c r="R534" i="5"/>
  <c r="X534" i="5" s="1"/>
  <c r="L534" i="5"/>
  <c r="K534" i="5"/>
  <c r="T533" i="5"/>
  <c r="W533" i="5" s="1"/>
  <c r="S533" i="5"/>
  <c r="Y533" i="5" s="1"/>
  <c r="R533" i="5"/>
  <c r="U533" i="5" s="1"/>
  <c r="L533" i="5"/>
  <c r="K533" i="5"/>
  <c r="T532" i="5"/>
  <c r="Z532" i="5" s="1"/>
  <c r="S532" i="5"/>
  <c r="Y532" i="5" s="1"/>
  <c r="R532" i="5"/>
  <c r="X532" i="5" s="1"/>
  <c r="L532" i="5"/>
  <c r="K532" i="5"/>
  <c r="T531" i="5"/>
  <c r="S531" i="5"/>
  <c r="R531" i="5"/>
  <c r="L531" i="5"/>
  <c r="K531" i="5"/>
  <c r="T530" i="5"/>
  <c r="S530" i="5"/>
  <c r="R530" i="5"/>
  <c r="X530" i="5" s="1"/>
  <c r="L530" i="5"/>
  <c r="K530" i="5"/>
  <c r="T529" i="5"/>
  <c r="Z529" i="5" s="1"/>
  <c r="S529" i="5"/>
  <c r="R529" i="5"/>
  <c r="U529" i="5" s="1"/>
  <c r="L529" i="5"/>
  <c r="K529" i="5"/>
  <c r="T528" i="5"/>
  <c r="S528" i="5"/>
  <c r="V528" i="5" s="1"/>
  <c r="R528" i="5"/>
  <c r="X528" i="5" s="1"/>
  <c r="L528" i="5"/>
  <c r="K528" i="5"/>
  <c r="T527" i="5"/>
  <c r="S527" i="5"/>
  <c r="Y527" i="5" s="1"/>
  <c r="R527" i="5"/>
  <c r="U527" i="5" s="1"/>
  <c r="L527" i="5"/>
  <c r="K527" i="5"/>
  <c r="T526" i="5"/>
  <c r="Z526" i="5" s="1"/>
  <c r="S526" i="5"/>
  <c r="Y526" i="5" s="1"/>
  <c r="R526" i="5"/>
  <c r="X526" i="5" s="1"/>
  <c r="L526" i="5"/>
  <c r="K526" i="5"/>
  <c r="T525" i="5"/>
  <c r="W525" i="5" s="1"/>
  <c r="S525" i="5"/>
  <c r="Y525" i="5" s="1"/>
  <c r="R525" i="5"/>
  <c r="X525" i="5" s="1"/>
  <c r="L525" i="5"/>
  <c r="K525" i="5"/>
  <c r="T524" i="5"/>
  <c r="Z524" i="5" s="1"/>
  <c r="S524" i="5"/>
  <c r="Y524" i="5" s="1"/>
  <c r="R524" i="5"/>
  <c r="X524" i="5" s="1"/>
  <c r="L524" i="5"/>
  <c r="K524" i="5"/>
  <c r="T523" i="5"/>
  <c r="W523" i="5" s="1"/>
  <c r="S523" i="5"/>
  <c r="Y523" i="5" s="1"/>
  <c r="R523" i="5"/>
  <c r="U523" i="5" s="1"/>
  <c r="L523" i="5"/>
  <c r="K523" i="5"/>
  <c r="T522" i="5"/>
  <c r="S522" i="5"/>
  <c r="V522" i="5" s="1"/>
  <c r="R522" i="5"/>
  <c r="X522" i="5" s="1"/>
  <c r="L522" i="5"/>
  <c r="K522" i="5"/>
  <c r="T521" i="5"/>
  <c r="Z521" i="5" s="1"/>
  <c r="S521" i="5"/>
  <c r="R521" i="5"/>
  <c r="X521" i="5" s="1"/>
  <c r="L521" i="5"/>
  <c r="K521" i="5"/>
  <c r="T520" i="5"/>
  <c r="Z520" i="5" s="1"/>
  <c r="S520" i="5"/>
  <c r="V520" i="5" s="1"/>
  <c r="R520" i="5"/>
  <c r="L520" i="5"/>
  <c r="K520" i="5"/>
  <c r="T519" i="5"/>
  <c r="S519" i="5"/>
  <c r="Y519" i="5" s="1"/>
  <c r="R519" i="5"/>
  <c r="U519" i="5" s="1"/>
  <c r="L519" i="5"/>
  <c r="K519" i="5"/>
  <c r="T518" i="5"/>
  <c r="Z518" i="5" s="1"/>
  <c r="S518" i="5"/>
  <c r="Y518" i="5" s="1"/>
  <c r="R518" i="5"/>
  <c r="X518" i="5" s="1"/>
  <c r="L518" i="5"/>
  <c r="K518" i="5"/>
  <c r="T517" i="5"/>
  <c r="W517" i="5" s="1"/>
  <c r="S517" i="5"/>
  <c r="Y517" i="5" s="1"/>
  <c r="R517" i="5"/>
  <c r="U517" i="5" s="1"/>
  <c r="L517" i="5"/>
  <c r="K517" i="5"/>
  <c r="T516" i="5"/>
  <c r="Z516" i="5" s="1"/>
  <c r="S516" i="5"/>
  <c r="R516" i="5"/>
  <c r="X516" i="5" s="1"/>
  <c r="L516" i="5"/>
  <c r="K516" i="5"/>
  <c r="T515" i="5"/>
  <c r="W515" i="5" s="1"/>
  <c r="S515" i="5"/>
  <c r="R515" i="5"/>
  <c r="U515" i="5" s="1"/>
  <c r="L515" i="5"/>
  <c r="K515" i="5"/>
  <c r="T514" i="5"/>
  <c r="S514" i="5"/>
  <c r="R514" i="5"/>
  <c r="X514" i="5" s="1"/>
  <c r="L514" i="5"/>
  <c r="K514" i="5"/>
  <c r="T513" i="5"/>
  <c r="Z513" i="5" s="1"/>
  <c r="S513" i="5"/>
  <c r="R513" i="5"/>
  <c r="X513" i="5" s="1"/>
  <c r="L513" i="5"/>
  <c r="K513" i="5"/>
  <c r="T512" i="5"/>
  <c r="Z512" i="5" s="1"/>
  <c r="S512" i="5"/>
  <c r="V512" i="5" s="1"/>
  <c r="R512" i="5"/>
  <c r="L512" i="5"/>
  <c r="K512" i="5"/>
  <c r="T511" i="5"/>
  <c r="S511" i="5"/>
  <c r="R511" i="5"/>
  <c r="X511" i="5" s="1"/>
  <c r="L511" i="5"/>
  <c r="K511" i="5"/>
  <c r="T510" i="5"/>
  <c r="S510" i="5"/>
  <c r="Y510" i="5" s="1"/>
  <c r="R510" i="5"/>
  <c r="X510" i="5" s="1"/>
  <c r="L510" i="5"/>
  <c r="K510" i="5"/>
  <c r="T509" i="5"/>
  <c r="S509" i="5"/>
  <c r="Y509" i="5" s="1"/>
  <c r="R509" i="5"/>
  <c r="X509" i="5" s="1"/>
  <c r="L509" i="5"/>
  <c r="K509" i="5"/>
  <c r="T508" i="5"/>
  <c r="S508" i="5"/>
  <c r="V508" i="5" s="1"/>
  <c r="R508" i="5"/>
  <c r="X508" i="5" s="1"/>
  <c r="L508" i="5"/>
  <c r="K508" i="5"/>
  <c r="T507" i="5"/>
  <c r="S507" i="5"/>
  <c r="R507" i="5"/>
  <c r="U507" i="5" s="1"/>
  <c r="L507" i="5"/>
  <c r="K507" i="5"/>
  <c r="T506" i="5"/>
  <c r="Z506" i="5" s="1"/>
  <c r="S506" i="5"/>
  <c r="Y506" i="5" s="1"/>
  <c r="R506" i="5"/>
  <c r="X506" i="5" s="1"/>
  <c r="L506" i="5"/>
  <c r="K506" i="5"/>
  <c r="T505" i="5"/>
  <c r="Z505" i="5" s="1"/>
  <c r="S505" i="5"/>
  <c r="Y505" i="5" s="1"/>
  <c r="R505" i="5"/>
  <c r="U505" i="5" s="1"/>
  <c r="L505" i="5"/>
  <c r="K505" i="5"/>
  <c r="T504" i="5"/>
  <c r="W504" i="5" s="1"/>
  <c r="S504" i="5"/>
  <c r="R504" i="5"/>
  <c r="L504" i="5"/>
  <c r="K504" i="5"/>
  <c r="T503" i="5"/>
  <c r="Z503" i="5" s="1"/>
  <c r="S503" i="5"/>
  <c r="Y503" i="5" s="1"/>
  <c r="R503" i="5"/>
  <c r="X503" i="5" s="1"/>
  <c r="L503" i="5"/>
  <c r="K503" i="5"/>
  <c r="T502" i="5"/>
  <c r="S502" i="5"/>
  <c r="Y502" i="5" s="1"/>
  <c r="R502" i="5"/>
  <c r="L502" i="5"/>
  <c r="K502" i="5"/>
  <c r="T501" i="5"/>
  <c r="W501" i="5" s="1"/>
  <c r="S501" i="5"/>
  <c r="R501" i="5"/>
  <c r="L501" i="5"/>
  <c r="K501" i="5"/>
  <c r="T500" i="5"/>
  <c r="S500" i="5"/>
  <c r="R500" i="5"/>
  <c r="U500" i="5" s="1"/>
  <c r="L500" i="5"/>
  <c r="K500" i="5"/>
  <c r="T499" i="5"/>
  <c r="Z499" i="5" s="1"/>
  <c r="S499" i="5"/>
  <c r="Y499" i="5" s="1"/>
  <c r="R499" i="5"/>
  <c r="L499" i="5"/>
  <c r="K499" i="5"/>
  <c r="T498" i="5"/>
  <c r="S498" i="5"/>
  <c r="Y498" i="5" s="1"/>
  <c r="R498" i="5"/>
  <c r="L498" i="5"/>
  <c r="K498" i="5"/>
  <c r="T497" i="5"/>
  <c r="W497" i="5" s="1"/>
  <c r="S497" i="5"/>
  <c r="R497" i="5"/>
  <c r="L497" i="5"/>
  <c r="K497" i="5"/>
  <c r="T496" i="5"/>
  <c r="Z496" i="5" s="1"/>
  <c r="S496" i="5"/>
  <c r="Y496" i="5" s="1"/>
  <c r="R496" i="5"/>
  <c r="U496" i="5" s="1"/>
  <c r="L496" i="5"/>
  <c r="K496" i="5"/>
  <c r="T495" i="5"/>
  <c r="Z495" i="5" s="1"/>
  <c r="S495" i="5"/>
  <c r="Y495" i="5" s="1"/>
  <c r="R495" i="5"/>
  <c r="U495" i="5" s="1"/>
  <c r="L495" i="5"/>
  <c r="K495" i="5"/>
  <c r="T494" i="5"/>
  <c r="W494" i="5" s="1"/>
  <c r="S494" i="5"/>
  <c r="Y494" i="5" s="1"/>
  <c r="R494" i="5"/>
  <c r="X494" i="5" s="1"/>
  <c r="L494" i="5"/>
  <c r="K494" i="5"/>
  <c r="T493" i="5"/>
  <c r="Z493" i="5" s="1"/>
  <c r="S493" i="5"/>
  <c r="V493" i="5" s="1"/>
  <c r="R493" i="5"/>
  <c r="X493" i="5" s="1"/>
  <c r="L493" i="5"/>
  <c r="K493" i="5"/>
  <c r="T492" i="5"/>
  <c r="Z492" i="5" s="1"/>
  <c r="S492" i="5"/>
  <c r="V492" i="5" s="1"/>
  <c r="R492" i="5"/>
  <c r="L492" i="5"/>
  <c r="K492" i="5"/>
  <c r="T491" i="5"/>
  <c r="W491" i="5" s="1"/>
  <c r="S491" i="5"/>
  <c r="R491" i="5"/>
  <c r="Q491" i="5"/>
  <c r="L491" i="5"/>
  <c r="K491" i="5"/>
  <c r="T490" i="5"/>
  <c r="W490" i="5" s="1"/>
  <c r="S490" i="5"/>
  <c r="R490" i="5"/>
  <c r="U490" i="5" s="1"/>
  <c r="Q490" i="5"/>
  <c r="L490" i="5"/>
  <c r="K490" i="5"/>
  <c r="T489" i="5"/>
  <c r="W489" i="5" s="1"/>
  <c r="S489" i="5"/>
  <c r="R489" i="5"/>
  <c r="Q489" i="5"/>
  <c r="L489" i="5"/>
  <c r="K489" i="5"/>
  <c r="T488" i="5"/>
  <c r="W488" i="5" s="1"/>
  <c r="S488" i="5"/>
  <c r="R488" i="5"/>
  <c r="U488" i="5" s="1"/>
  <c r="Q488" i="5"/>
  <c r="L488" i="5"/>
  <c r="K488" i="5"/>
  <c r="T487" i="5"/>
  <c r="W487" i="5" s="1"/>
  <c r="S487" i="5"/>
  <c r="R487" i="5"/>
  <c r="Q487" i="5"/>
  <c r="L487" i="5"/>
  <c r="K487" i="5"/>
  <c r="T486" i="5"/>
  <c r="W486" i="5" s="1"/>
  <c r="S486" i="5"/>
  <c r="R486" i="5"/>
  <c r="U486" i="5" s="1"/>
  <c r="Q486" i="5"/>
  <c r="L486" i="5"/>
  <c r="K486" i="5"/>
  <c r="T485" i="5"/>
  <c r="W485" i="5" s="1"/>
  <c r="S485" i="5"/>
  <c r="R485" i="5"/>
  <c r="Q485" i="5"/>
  <c r="L485" i="5"/>
  <c r="K485" i="5"/>
  <c r="T484" i="5"/>
  <c r="S484" i="5"/>
  <c r="R484" i="5"/>
  <c r="U484" i="5" s="1"/>
  <c r="Q484" i="5"/>
  <c r="L484" i="5"/>
  <c r="K484" i="5"/>
  <c r="T483" i="5"/>
  <c r="W483" i="5" s="1"/>
  <c r="S483" i="5"/>
  <c r="R483" i="5"/>
  <c r="Q483" i="5"/>
  <c r="L483" i="5"/>
  <c r="K483" i="5"/>
  <c r="T482" i="5"/>
  <c r="W482" i="5" s="1"/>
  <c r="S482" i="5"/>
  <c r="R482" i="5"/>
  <c r="U482" i="5" s="1"/>
  <c r="Q482" i="5"/>
  <c r="L482" i="5"/>
  <c r="K482" i="5"/>
  <c r="T481" i="5"/>
  <c r="Z481" i="5" s="1"/>
  <c r="S481" i="5"/>
  <c r="R481" i="5"/>
  <c r="L481" i="5"/>
  <c r="K481" i="5"/>
  <c r="T480" i="5"/>
  <c r="S480" i="5"/>
  <c r="Y480" i="5" s="1"/>
  <c r="R480" i="5"/>
  <c r="X480" i="5" s="1"/>
  <c r="L480" i="5"/>
  <c r="K480" i="5"/>
  <c r="T479" i="5"/>
  <c r="W479" i="5" s="1"/>
  <c r="S479" i="5"/>
  <c r="V479" i="5" s="1"/>
  <c r="R479" i="5"/>
  <c r="U479" i="5" s="1"/>
  <c r="Q479" i="5"/>
  <c r="L479" i="5"/>
  <c r="K479" i="5"/>
  <c r="T478" i="5"/>
  <c r="S478" i="5"/>
  <c r="V478" i="5" s="1"/>
  <c r="R478" i="5"/>
  <c r="Q478" i="5"/>
  <c r="L478" i="5"/>
  <c r="K478" i="5"/>
  <c r="T477" i="5"/>
  <c r="S477" i="5"/>
  <c r="R477" i="5"/>
  <c r="Q477" i="5"/>
  <c r="L477" i="5"/>
  <c r="K477" i="5"/>
  <c r="T476" i="5"/>
  <c r="Z476" i="5" s="1"/>
  <c r="S476" i="5"/>
  <c r="V476" i="5" s="1"/>
  <c r="R476" i="5"/>
  <c r="L476" i="5"/>
  <c r="K476" i="5"/>
  <c r="T475" i="5"/>
  <c r="W475" i="5" s="1"/>
  <c r="S475" i="5"/>
  <c r="R475" i="5"/>
  <c r="Q475" i="5"/>
  <c r="L475" i="5"/>
  <c r="K475" i="5"/>
  <c r="T474" i="5"/>
  <c r="W474" i="5" s="1"/>
  <c r="S474" i="5"/>
  <c r="V474" i="5" s="1"/>
  <c r="R474" i="5"/>
  <c r="U474" i="5" s="1"/>
  <c r="Q474" i="5"/>
  <c r="L474" i="5"/>
  <c r="K474" i="5"/>
  <c r="T473" i="5"/>
  <c r="W473" i="5" s="1"/>
  <c r="S473" i="5"/>
  <c r="R473" i="5"/>
  <c r="Q473" i="5"/>
  <c r="L473" i="5"/>
  <c r="K473" i="5"/>
  <c r="T472" i="5"/>
  <c r="W472" i="5" s="1"/>
  <c r="S472" i="5"/>
  <c r="V472" i="5" s="1"/>
  <c r="R472" i="5"/>
  <c r="U472" i="5" s="1"/>
  <c r="Q472" i="5"/>
  <c r="L472" i="5"/>
  <c r="K472" i="5"/>
  <c r="T471" i="5"/>
  <c r="Z471" i="5" s="1"/>
  <c r="S471" i="5"/>
  <c r="R471" i="5"/>
  <c r="X471" i="5" s="1"/>
  <c r="L471" i="5"/>
  <c r="K471" i="5"/>
  <c r="T470" i="5"/>
  <c r="W470" i="5" s="1"/>
  <c r="S470" i="5"/>
  <c r="Y470" i="5" s="1"/>
  <c r="R470" i="5"/>
  <c r="L470" i="5"/>
  <c r="K470" i="5"/>
  <c r="T469" i="5"/>
  <c r="W469" i="5" s="1"/>
  <c r="S469" i="5"/>
  <c r="R469" i="5"/>
  <c r="L469" i="5"/>
  <c r="K469" i="5"/>
  <c r="T468" i="5"/>
  <c r="S468" i="5"/>
  <c r="R468" i="5"/>
  <c r="U468" i="5" s="1"/>
  <c r="Q468" i="5"/>
  <c r="L468" i="5"/>
  <c r="K468" i="5"/>
  <c r="T467" i="5"/>
  <c r="W467" i="5" s="1"/>
  <c r="S467" i="5"/>
  <c r="V467" i="5" s="1"/>
  <c r="R467" i="5"/>
  <c r="U467" i="5" s="1"/>
  <c r="Q467" i="5"/>
  <c r="L467" i="5"/>
  <c r="K467" i="5"/>
  <c r="T466" i="5"/>
  <c r="S466" i="5"/>
  <c r="Y466" i="5" s="1"/>
  <c r="R466" i="5"/>
  <c r="U466" i="5" s="1"/>
  <c r="L466" i="5"/>
  <c r="K466" i="5"/>
  <c r="T465" i="5"/>
  <c r="S465" i="5"/>
  <c r="R465" i="5"/>
  <c r="U465" i="5" s="1"/>
  <c r="Q465" i="5"/>
  <c r="L465" i="5"/>
  <c r="K465" i="5"/>
  <c r="T464" i="5"/>
  <c r="W464" i="5" s="1"/>
  <c r="S464" i="5"/>
  <c r="R464" i="5"/>
  <c r="Q464" i="5"/>
  <c r="L464" i="5"/>
  <c r="K464" i="5"/>
  <c r="T463" i="5"/>
  <c r="W463" i="5" s="1"/>
  <c r="S463" i="5"/>
  <c r="R463" i="5"/>
  <c r="U463" i="5" s="1"/>
  <c r="Q463" i="5"/>
  <c r="L463" i="5"/>
  <c r="K463" i="5"/>
  <c r="T462" i="5"/>
  <c r="W462" i="5" s="1"/>
  <c r="S462" i="5"/>
  <c r="R462" i="5"/>
  <c r="Q462" i="5"/>
  <c r="L462" i="5"/>
  <c r="K462" i="5"/>
  <c r="T461" i="5"/>
  <c r="S461" i="5"/>
  <c r="R461" i="5"/>
  <c r="Q461" i="5"/>
  <c r="P461" i="5"/>
  <c r="L461" i="5"/>
  <c r="K461" i="5"/>
  <c r="T460" i="5"/>
  <c r="S460" i="5"/>
  <c r="R460" i="5"/>
  <c r="U460" i="5" s="1"/>
  <c r="Q460" i="5"/>
  <c r="L460" i="5"/>
  <c r="K460" i="5"/>
  <c r="T459" i="5"/>
  <c r="S459" i="5"/>
  <c r="V459" i="5" s="1"/>
  <c r="R459" i="5"/>
  <c r="U459" i="5" s="1"/>
  <c r="Q459" i="5"/>
  <c r="L459" i="5"/>
  <c r="K459" i="5"/>
  <c r="T458" i="5"/>
  <c r="S458" i="5"/>
  <c r="R458" i="5"/>
  <c r="U458" i="5" s="1"/>
  <c r="Q458" i="5"/>
  <c r="L458" i="5"/>
  <c r="K458" i="5"/>
  <c r="T457" i="5"/>
  <c r="W457" i="5" s="1"/>
  <c r="S457" i="5"/>
  <c r="V457" i="5" s="1"/>
  <c r="R457" i="5"/>
  <c r="U457" i="5" s="1"/>
  <c r="Q457" i="5"/>
  <c r="L457" i="5"/>
  <c r="K457" i="5"/>
  <c r="T456" i="5"/>
  <c r="S456" i="5"/>
  <c r="R456" i="5"/>
  <c r="Q456" i="5"/>
  <c r="P456" i="5"/>
  <c r="L456" i="5"/>
  <c r="K456" i="5"/>
  <c r="T455" i="5"/>
  <c r="W455" i="5" s="1"/>
  <c r="S455" i="5"/>
  <c r="V455" i="5" s="1"/>
  <c r="R455" i="5"/>
  <c r="U455" i="5" s="1"/>
  <c r="Q455" i="5"/>
  <c r="L455" i="5"/>
  <c r="K455" i="5"/>
  <c r="T454" i="5"/>
  <c r="S454" i="5"/>
  <c r="R454" i="5"/>
  <c r="Q454" i="5"/>
  <c r="L454" i="5"/>
  <c r="K454" i="5"/>
  <c r="T453" i="5"/>
  <c r="W453" i="5" s="1"/>
  <c r="S453" i="5"/>
  <c r="V453" i="5" s="1"/>
  <c r="R453" i="5"/>
  <c r="U453" i="5" s="1"/>
  <c r="Q453" i="5"/>
  <c r="L453" i="5"/>
  <c r="K453" i="5"/>
  <c r="T452" i="5"/>
  <c r="S452" i="5"/>
  <c r="R452" i="5"/>
  <c r="Q452" i="5"/>
  <c r="L452" i="5"/>
  <c r="K452" i="5"/>
  <c r="T451" i="5"/>
  <c r="W451" i="5" s="1"/>
  <c r="S451" i="5"/>
  <c r="V451" i="5" s="1"/>
  <c r="R451" i="5"/>
  <c r="U451" i="5" s="1"/>
  <c r="Q451" i="5"/>
  <c r="L451" i="5"/>
  <c r="K451" i="5"/>
  <c r="T450" i="5"/>
  <c r="S450" i="5"/>
  <c r="R450" i="5"/>
  <c r="Q450" i="5"/>
  <c r="L450" i="5"/>
  <c r="K450" i="5"/>
  <c r="T449" i="5"/>
  <c r="W449" i="5" s="1"/>
  <c r="S449" i="5"/>
  <c r="V449" i="5" s="1"/>
  <c r="R449" i="5"/>
  <c r="U449" i="5" s="1"/>
  <c r="Q449" i="5"/>
  <c r="L449" i="5"/>
  <c r="K449" i="5"/>
  <c r="T448" i="5"/>
  <c r="S448" i="5"/>
  <c r="V448" i="5" s="1"/>
  <c r="R448" i="5"/>
  <c r="Q448" i="5"/>
  <c r="L448" i="5"/>
  <c r="K448" i="5"/>
  <c r="T447" i="5"/>
  <c r="S447" i="5"/>
  <c r="V447" i="5" s="1"/>
  <c r="R447" i="5"/>
  <c r="U447" i="5" s="1"/>
  <c r="Q447" i="5"/>
  <c r="L447" i="5"/>
  <c r="K447" i="5"/>
  <c r="T446" i="5"/>
  <c r="S446" i="5"/>
  <c r="V446" i="5" s="1"/>
  <c r="R446" i="5"/>
  <c r="U446" i="5" s="1"/>
  <c r="Q446" i="5"/>
  <c r="L446" i="5"/>
  <c r="K446" i="5"/>
  <c r="T445" i="5"/>
  <c r="W445" i="5" s="1"/>
  <c r="S445" i="5"/>
  <c r="V445" i="5" s="1"/>
  <c r="R445" i="5"/>
  <c r="U445" i="5" s="1"/>
  <c r="Q445" i="5"/>
  <c r="L445" i="5"/>
  <c r="K445" i="5"/>
  <c r="T444" i="5"/>
  <c r="S444" i="5"/>
  <c r="V444" i="5" s="1"/>
  <c r="R444" i="5"/>
  <c r="U444" i="5" s="1"/>
  <c r="Q444" i="5"/>
  <c r="L444" i="5"/>
  <c r="K444" i="5"/>
  <c r="T443" i="5"/>
  <c r="W443" i="5" s="1"/>
  <c r="S443" i="5"/>
  <c r="V443" i="5" s="1"/>
  <c r="R443" i="5"/>
  <c r="Q443" i="5"/>
  <c r="L443" i="5"/>
  <c r="K443" i="5"/>
  <c r="T442" i="5"/>
  <c r="W442" i="5" s="1"/>
  <c r="S442" i="5"/>
  <c r="V442" i="5" s="1"/>
  <c r="R442" i="5"/>
  <c r="Q442" i="5"/>
  <c r="L442" i="5"/>
  <c r="K442" i="5"/>
  <c r="T441" i="5"/>
  <c r="W441" i="5" s="1"/>
  <c r="S441" i="5"/>
  <c r="R441" i="5"/>
  <c r="Q441" i="5"/>
  <c r="L441" i="5"/>
  <c r="K441" i="5"/>
  <c r="T440" i="5"/>
  <c r="W440" i="5" s="1"/>
  <c r="S440" i="5"/>
  <c r="V440" i="5" s="1"/>
  <c r="R440" i="5"/>
  <c r="Q440" i="5"/>
  <c r="L440" i="5"/>
  <c r="K440" i="5"/>
  <c r="T439" i="5"/>
  <c r="W439" i="5" s="1"/>
  <c r="S439" i="5"/>
  <c r="V439" i="5" s="1"/>
  <c r="R439" i="5"/>
  <c r="U439" i="5" s="1"/>
  <c r="Q439" i="5"/>
  <c r="L439" i="5"/>
  <c r="K439" i="5"/>
  <c r="T438" i="5"/>
  <c r="W438" i="5" s="1"/>
  <c r="S438" i="5"/>
  <c r="V438" i="5" s="1"/>
  <c r="R438" i="5"/>
  <c r="Q438" i="5"/>
  <c r="L438" i="5"/>
  <c r="K438" i="5"/>
  <c r="T437" i="5"/>
  <c r="W437" i="5" s="1"/>
  <c r="S437" i="5"/>
  <c r="R437" i="5"/>
  <c r="Q437" i="5"/>
  <c r="L437" i="5"/>
  <c r="K437" i="5"/>
  <c r="T436" i="5"/>
  <c r="S436" i="5"/>
  <c r="R436" i="5"/>
  <c r="Q436" i="5"/>
  <c r="P436" i="5"/>
  <c r="L436" i="5"/>
  <c r="K436" i="5"/>
  <c r="T435" i="5"/>
  <c r="S435" i="5"/>
  <c r="R435" i="5"/>
  <c r="Q435" i="5"/>
  <c r="P435" i="5"/>
  <c r="L435" i="5"/>
  <c r="K435" i="5"/>
  <c r="T434" i="5"/>
  <c r="S434" i="5"/>
  <c r="R434" i="5"/>
  <c r="Q434" i="5"/>
  <c r="P434" i="5"/>
  <c r="L434" i="5"/>
  <c r="K434" i="5"/>
  <c r="T433" i="5"/>
  <c r="S433" i="5"/>
  <c r="R433" i="5"/>
  <c r="Q433" i="5"/>
  <c r="P433" i="5"/>
  <c r="L433" i="5"/>
  <c r="K433" i="5"/>
  <c r="T432" i="5"/>
  <c r="S432" i="5"/>
  <c r="R432" i="5"/>
  <c r="Q432" i="5"/>
  <c r="P432" i="5"/>
  <c r="L432" i="5"/>
  <c r="K432" i="5"/>
  <c r="T431" i="5"/>
  <c r="S431" i="5"/>
  <c r="R431" i="5"/>
  <c r="Q431" i="5"/>
  <c r="P431" i="5"/>
  <c r="L431" i="5"/>
  <c r="K431" i="5"/>
  <c r="T430" i="5"/>
  <c r="S430" i="5"/>
  <c r="R430" i="5"/>
  <c r="Q430" i="5"/>
  <c r="P430" i="5"/>
  <c r="L430" i="5"/>
  <c r="K430" i="5"/>
  <c r="T429" i="5"/>
  <c r="S429" i="5"/>
  <c r="R429" i="5"/>
  <c r="Q429" i="5"/>
  <c r="P429" i="5"/>
  <c r="L429" i="5"/>
  <c r="K429" i="5"/>
  <c r="T428" i="5"/>
  <c r="S428" i="5"/>
  <c r="R428" i="5"/>
  <c r="Q428" i="5"/>
  <c r="P428" i="5"/>
  <c r="L428" i="5"/>
  <c r="K428" i="5"/>
  <c r="T427" i="5"/>
  <c r="S427" i="5"/>
  <c r="R427" i="5"/>
  <c r="Q427" i="5"/>
  <c r="P427" i="5"/>
  <c r="L427" i="5"/>
  <c r="K427" i="5"/>
  <c r="T426" i="5"/>
  <c r="S426" i="5"/>
  <c r="R426" i="5"/>
  <c r="U426" i="5" s="1"/>
  <c r="Q426" i="5"/>
  <c r="L426" i="5"/>
  <c r="K426" i="5"/>
  <c r="T425" i="5"/>
  <c r="S425" i="5"/>
  <c r="R425" i="5"/>
  <c r="U425" i="5" s="1"/>
  <c r="Q425" i="5"/>
  <c r="L425" i="5"/>
  <c r="K425" i="5"/>
  <c r="T424" i="5"/>
  <c r="S424" i="5"/>
  <c r="R424" i="5"/>
  <c r="U424" i="5" s="1"/>
  <c r="Q424" i="5"/>
  <c r="X424" i="5" s="1"/>
  <c r="L424" i="5"/>
  <c r="K424" i="5"/>
  <c r="T423" i="5"/>
  <c r="S423" i="5"/>
  <c r="R423" i="5"/>
  <c r="U423" i="5" s="1"/>
  <c r="Q423" i="5"/>
  <c r="L423" i="5"/>
  <c r="K423" i="5"/>
  <c r="T422" i="5"/>
  <c r="S422" i="5"/>
  <c r="R422" i="5"/>
  <c r="Q422" i="5"/>
  <c r="P422" i="5"/>
  <c r="L422" i="5"/>
  <c r="K422" i="5"/>
  <c r="T421" i="5"/>
  <c r="S421" i="5"/>
  <c r="V421" i="5" s="1"/>
  <c r="R421" i="5"/>
  <c r="U421" i="5" s="1"/>
  <c r="Q421" i="5"/>
  <c r="L421" i="5"/>
  <c r="K421" i="5"/>
  <c r="T420" i="5"/>
  <c r="S420" i="5"/>
  <c r="V420" i="5" s="1"/>
  <c r="R420" i="5"/>
  <c r="U420" i="5" s="1"/>
  <c r="Q420" i="5"/>
  <c r="L420" i="5"/>
  <c r="K420" i="5"/>
  <c r="T419" i="5"/>
  <c r="S419" i="5"/>
  <c r="V419" i="5" s="1"/>
  <c r="R419" i="5"/>
  <c r="U419" i="5" s="1"/>
  <c r="Q419" i="5"/>
  <c r="L419" i="5"/>
  <c r="K419" i="5"/>
  <c r="T418" i="5"/>
  <c r="S418" i="5"/>
  <c r="V418" i="5" s="1"/>
  <c r="R418" i="5"/>
  <c r="U418" i="5" s="1"/>
  <c r="Q418" i="5"/>
  <c r="L418" i="5"/>
  <c r="K418" i="5"/>
  <c r="T417" i="5"/>
  <c r="S417" i="5"/>
  <c r="V417" i="5" s="1"/>
  <c r="R417" i="5"/>
  <c r="U417" i="5" s="1"/>
  <c r="Q417" i="5"/>
  <c r="L417" i="5"/>
  <c r="K417" i="5"/>
  <c r="T416" i="5"/>
  <c r="Z416" i="5" s="1"/>
  <c r="S416" i="5"/>
  <c r="V416" i="5" s="1"/>
  <c r="R416" i="5"/>
  <c r="X416" i="5" s="1"/>
  <c r="L416" i="5"/>
  <c r="K416" i="5"/>
  <c r="T415" i="5"/>
  <c r="W415" i="5" s="1"/>
  <c r="S415" i="5"/>
  <c r="R415" i="5"/>
  <c r="U415" i="5" s="1"/>
  <c r="Q415" i="5"/>
  <c r="L415" i="5"/>
  <c r="K415" i="5"/>
  <c r="T414" i="5"/>
  <c r="Z414" i="5" s="1"/>
  <c r="S414" i="5"/>
  <c r="Y414" i="5" s="1"/>
  <c r="R414" i="5"/>
  <c r="U414" i="5" s="1"/>
  <c r="L414" i="5"/>
  <c r="K414" i="5"/>
  <c r="T413" i="5"/>
  <c r="S413" i="5"/>
  <c r="R413" i="5"/>
  <c r="L413" i="5"/>
  <c r="K413" i="5"/>
  <c r="T412" i="5"/>
  <c r="S412" i="5"/>
  <c r="V412" i="5" s="1"/>
  <c r="R412" i="5"/>
  <c r="Q412" i="5"/>
  <c r="L412" i="5"/>
  <c r="K412" i="5"/>
  <c r="T411" i="5"/>
  <c r="W411" i="5" s="1"/>
  <c r="S411" i="5"/>
  <c r="V411" i="5" s="1"/>
  <c r="R411" i="5"/>
  <c r="U411" i="5" s="1"/>
  <c r="Q411" i="5"/>
  <c r="L411" i="5"/>
  <c r="K411" i="5"/>
  <c r="T410" i="5"/>
  <c r="S410" i="5"/>
  <c r="V410" i="5" s="1"/>
  <c r="R410" i="5"/>
  <c r="U410" i="5" s="1"/>
  <c r="Q410" i="5"/>
  <c r="L410" i="5"/>
  <c r="K410" i="5"/>
  <c r="T409" i="5"/>
  <c r="W409" i="5" s="1"/>
  <c r="S409" i="5"/>
  <c r="V409" i="5" s="1"/>
  <c r="R409" i="5"/>
  <c r="U409" i="5" s="1"/>
  <c r="Q409" i="5"/>
  <c r="L409" i="5"/>
  <c r="K409" i="5"/>
  <c r="T408" i="5"/>
  <c r="W408" i="5" s="1"/>
  <c r="S408" i="5"/>
  <c r="R408" i="5"/>
  <c r="Q408" i="5"/>
  <c r="L408" i="5"/>
  <c r="K408" i="5"/>
  <c r="T407" i="5"/>
  <c r="W407" i="5" s="1"/>
  <c r="S407" i="5"/>
  <c r="V407" i="5" s="1"/>
  <c r="R407" i="5"/>
  <c r="U407" i="5" s="1"/>
  <c r="Q407" i="5"/>
  <c r="L407" i="5"/>
  <c r="K407" i="5"/>
  <c r="T406" i="5"/>
  <c r="W406" i="5" s="1"/>
  <c r="S406" i="5"/>
  <c r="Y406" i="5" s="1"/>
  <c r="R406" i="5"/>
  <c r="X406" i="5" s="1"/>
  <c r="L406" i="5"/>
  <c r="K406" i="5"/>
  <c r="T405" i="5"/>
  <c r="Z405" i="5" s="1"/>
  <c r="S405" i="5"/>
  <c r="V405" i="5" s="1"/>
  <c r="R405" i="5"/>
  <c r="X405" i="5" s="1"/>
  <c r="L405" i="5"/>
  <c r="K405" i="5"/>
  <c r="T404" i="5"/>
  <c r="S404" i="5"/>
  <c r="R404" i="5"/>
  <c r="Q404" i="5"/>
  <c r="L404" i="5"/>
  <c r="K404" i="5"/>
  <c r="T403" i="5"/>
  <c r="S403" i="5"/>
  <c r="R403" i="5"/>
  <c r="U403" i="5" s="1"/>
  <c r="Q403" i="5"/>
  <c r="L403" i="5"/>
  <c r="K403" i="5"/>
  <c r="T402" i="5"/>
  <c r="S402" i="5"/>
  <c r="R402" i="5"/>
  <c r="U402" i="5" s="1"/>
  <c r="Q402" i="5"/>
  <c r="L402" i="5"/>
  <c r="K402" i="5"/>
  <c r="T401" i="5"/>
  <c r="S401" i="5"/>
  <c r="R401" i="5"/>
  <c r="U401" i="5" s="1"/>
  <c r="Q401" i="5"/>
  <c r="L401" i="5"/>
  <c r="K401" i="5"/>
  <c r="T400" i="5"/>
  <c r="S400" i="5"/>
  <c r="R400" i="5"/>
  <c r="Q400" i="5"/>
  <c r="L400" i="5"/>
  <c r="K400" i="5"/>
  <c r="T399" i="5"/>
  <c r="S399" i="5"/>
  <c r="R399" i="5"/>
  <c r="U399" i="5" s="1"/>
  <c r="Q399" i="5"/>
  <c r="L399" i="5"/>
  <c r="K399" i="5"/>
  <c r="T398" i="5"/>
  <c r="Z398" i="5" s="1"/>
  <c r="S398" i="5"/>
  <c r="R398" i="5"/>
  <c r="Q398" i="5"/>
  <c r="P398" i="5"/>
  <c r="L398" i="5"/>
  <c r="K398" i="5"/>
  <c r="T397" i="5"/>
  <c r="S397" i="5"/>
  <c r="R397" i="5"/>
  <c r="Q397" i="5"/>
  <c r="P397" i="5"/>
  <c r="L397" i="5"/>
  <c r="K397" i="5"/>
  <c r="T396" i="5"/>
  <c r="S396" i="5"/>
  <c r="R396" i="5"/>
  <c r="Q396" i="5"/>
  <c r="P396" i="5"/>
  <c r="W396" i="5" s="1"/>
  <c r="L396" i="5"/>
  <c r="K396" i="5"/>
  <c r="T395" i="5"/>
  <c r="W395" i="5" s="1"/>
  <c r="S395" i="5"/>
  <c r="V395" i="5" s="1"/>
  <c r="R395" i="5"/>
  <c r="Q395" i="5"/>
  <c r="L395" i="5"/>
  <c r="K395" i="5"/>
  <c r="T394" i="5"/>
  <c r="W394" i="5" s="1"/>
  <c r="S394" i="5"/>
  <c r="R394" i="5"/>
  <c r="Q394" i="5"/>
  <c r="L394" i="5"/>
  <c r="K394" i="5"/>
  <c r="T393" i="5"/>
  <c r="W393" i="5" s="1"/>
  <c r="S393" i="5"/>
  <c r="V393" i="5" s="1"/>
  <c r="R393" i="5"/>
  <c r="Q393" i="5"/>
  <c r="L393" i="5"/>
  <c r="K393" i="5"/>
  <c r="T392" i="5"/>
  <c r="S392" i="5"/>
  <c r="R392" i="5"/>
  <c r="Q392" i="5"/>
  <c r="L392" i="5"/>
  <c r="K392" i="5"/>
  <c r="T391" i="5"/>
  <c r="S391" i="5"/>
  <c r="V391" i="5" s="1"/>
  <c r="R391" i="5"/>
  <c r="Q391" i="5"/>
  <c r="L391" i="5"/>
  <c r="K391" i="5"/>
  <c r="T390" i="5"/>
  <c r="W390" i="5" s="1"/>
  <c r="S390" i="5"/>
  <c r="R390" i="5"/>
  <c r="Q390" i="5"/>
  <c r="L390" i="5"/>
  <c r="K390" i="5"/>
  <c r="T389" i="5"/>
  <c r="W389" i="5" s="1"/>
  <c r="S389" i="5"/>
  <c r="V389" i="5" s="1"/>
  <c r="R389" i="5"/>
  <c r="Q389" i="5"/>
  <c r="L389" i="5"/>
  <c r="K389" i="5"/>
  <c r="T388" i="5"/>
  <c r="W388" i="5" s="1"/>
  <c r="S388" i="5"/>
  <c r="R388" i="5"/>
  <c r="Q388" i="5"/>
  <c r="L388" i="5"/>
  <c r="K388" i="5"/>
  <c r="T387" i="5"/>
  <c r="S387" i="5"/>
  <c r="V387" i="5" s="1"/>
  <c r="R387" i="5"/>
  <c r="Q387" i="5"/>
  <c r="L387" i="5"/>
  <c r="K387" i="5"/>
  <c r="T386" i="5"/>
  <c r="S386" i="5"/>
  <c r="R386" i="5"/>
  <c r="Q386" i="5"/>
  <c r="L386" i="5"/>
  <c r="K386" i="5"/>
  <c r="T385" i="5"/>
  <c r="S385" i="5"/>
  <c r="V385" i="5" s="1"/>
  <c r="R385" i="5"/>
  <c r="Q385" i="5"/>
  <c r="L385" i="5"/>
  <c r="K385" i="5"/>
  <c r="T384" i="5"/>
  <c r="S384" i="5"/>
  <c r="R384" i="5"/>
  <c r="Q384" i="5"/>
  <c r="L384" i="5"/>
  <c r="K384" i="5"/>
  <c r="T383" i="5"/>
  <c r="W383" i="5" s="1"/>
  <c r="S383" i="5"/>
  <c r="V383" i="5" s="1"/>
  <c r="R383" i="5"/>
  <c r="Q383" i="5"/>
  <c r="L383" i="5"/>
  <c r="K383" i="5"/>
  <c r="T382" i="5"/>
  <c r="S382" i="5"/>
  <c r="R382" i="5"/>
  <c r="Q382" i="5"/>
  <c r="L382" i="5"/>
  <c r="K382" i="5"/>
  <c r="T381" i="5"/>
  <c r="W381" i="5" s="1"/>
  <c r="S381" i="5"/>
  <c r="V381" i="5" s="1"/>
  <c r="R381" i="5"/>
  <c r="Q381" i="5"/>
  <c r="L381" i="5"/>
  <c r="K381" i="5"/>
  <c r="T380" i="5"/>
  <c r="Z380" i="5" s="1"/>
  <c r="S380" i="5"/>
  <c r="Y380" i="5" s="1"/>
  <c r="R380" i="5"/>
  <c r="L380" i="5"/>
  <c r="K380" i="5"/>
  <c r="T379" i="5"/>
  <c r="W379" i="5" s="1"/>
  <c r="S379" i="5"/>
  <c r="V379" i="5" s="1"/>
  <c r="R379" i="5"/>
  <c r="U379" i="5" s="1"/>
  <c r="Q379" i="5"/>
  <c r="L379" i="5"/>
  <c r="K379" i="5"/>
  <c r="T378" i="5"/>
  <c r="W378" i="5" s="1"/>
  <c r="S378" i="5"/>
  <c r="R378" i="5"/>
  <c r="U378" i="5" s="1"/>
  <c r="Q378" i="5"/>
  <c r="L378" i="5"/>
  <c r="K378" i="5"/>
  <c r="T377" i="5"/>
  <c r="W377" i="5" s="1"/>
  <c r="S377" i="5"/>
  <c r="V377" i="5" s="1"/>
  <c r="R377" i="5"/>
  <c r="U377" i="5" s="1"/>
  <c r="Q377" i="5"/>
  <c r="L377" i="5"/>
  <c r="K377" i="5"/>
  <c r="T376" i="5"/>
  <c r="W376" i="5" s="1"/>
  <c r="S376" i="5"/>
  <c r="R376" i="5"/>
  <c r="Q376" i="5"/>
  <c r="L376" i="5"/>
  <c r="K376" i="5"/>
  <c r="T375" i="5"/>
  <c r="S375" i="5"/>
  <c r="R375" i="5"/>
  <c r="Q375" i="5"/>
  <c r="P375" i="5"/>
  <c r="L375" i="5"/>
  <c r="K375" i="5"/>
  <c r="T374" i="5"/>
  <c r="S374" i="5"/>
  <c r="R374" i="5"/>
  <c r="Q374" i="5"/>
  <c r="L374" i="5"/>
  <c r="K374" i="5"/>
  <c r="T373" i="5"/>
  <c r="S373" i="5"/>
  <c r="V373" i="5" s="1"/>
  <c r="R373" i="5"/>
  <c r="Q373" i="5"/>
  <c r="L373" i="5"/>
  <c r="K373" i="5"/>
  <c r="T372" i="5"/>
  <c r="Z372" i="5" s="1"/>
  <c r="S372" i="5"/>
  <c r="Y372" i="5" s="1"/>
  <c r="R372" i="5"/>
  <c r="X372" i="5" s="1"/>
  <c r="L372" i="5"/>
  <c r="K372" i="5"/>
  <c r="T371" i="5"/>
  <c r="W371" i="5" s="1"/>
  <c r="S371" i="5"/>
  <c r="V371" i="5" s="1"/>
  <c r="R371" i="5"/>
  <c r="U371" i="5" s="1"/>
  <c r="Q371" i="5"/>
  <c r="L371" i="5"/>
  <c r="K371" i="5"/>
  <c r="T370" i="5"/>
  <c r="W370" i="5" s="1"/>
  <c r="S370" i="5"/>
  <c r="R370" i="5"/>
  <c r="Q370" i="5"/>
  <c r="L370" i="5"/>
  <c r="K370" i="5"/>
  <c r="T369" i="5"/>
  <c r="W369" i="5" s="1"/>
  <c r="S369" i="5"/>
  <c r="R369" i="5"/>
  <c r="U369" i="5" s="1"/>
  <c r="Q369" i="5"/>
  <c r="L369" i="5"/>
  <c r="K369" i="5"/>
  <c r="T368" i="5"/>
  <c r="W368" i="5" s="1"/>
  <c r="S368" i="5"/>
  <c r="R368" i="5"/>
  <c r="Q368" i="5"/>
  <c r="L368" i="5"/>
  <c r="K368" i="5"/>
  <c r="T367" i="5"/>
  <c r="S367" i="5"/>
  <c r="V367" i="5" s="1"/>
  <c r="R367" i="5"/>
  <c r="U367" i="5" s="1"/>
  <c r="Q367" i="5"/>
  <c r="L367" i="5"/>
  <c r="K367" i="5"/>
  <c r="T366" i="5"/>
  <c r="S366" i="5"/>
  <c r="R366" i="5"/>
  <c r="Q366" i="5"/>
  <c r="L366" i="5"/>
  <c r="K366" i="5"/>
  <c r="T365" i="5"/>
  <c r="W365" i="5" s="1"/>
  <c r="S365" i="5"/>
  <c r="V365" i="5" s="1"/>
  <c r="R365" i="5"/>
  <c r="U365" i="5" s="1"/>
  <c r="Q365" i="5"/>
  <c r="L365" i="5"/>
  <c r="K365" i="5"/>
  <c r="T364" i="5"/>
  <c r="W364" i="5" s="1"/>
  <c r="S364" i="5"/>
  <c r="R364" i="5"/>
  <c r="Q364" i="5"/>
  <c r="L364" i="5"/>
  <c r="K364" i="5"/>
  <c r="T363" i="5"/>
  <c r="W363" i="5" s="1"/>
  <c r="S363" i="5"/>
  <c r="V363" i="5" s="1"/>
  <c r="R363" i="5"/>
  <c r="U363" i="5" s="1"/>
  <c r="Q363" i="5"/>
  <c r="L363" i="5"/>
  <c r="K363" i="5"/>
  <c r="T362" i="5"/>
  <c r="W362" i="5" s="1"/>
  <c r="S362" i="5"/>
  <c r="R362" i="5"/>
  <c r="Q362" i="5"/>
  <c r="L362" i="5"/>
  <c r="K362" i="5"/>
  <c r="T361" i="5"/>
  <c r="Z361" i="5" s="1"/>
  <c r="S361" i="5"/>
  <c r="V361" i="5" s="1"/>
  <c r="R361" i="5"/>
  <c r="X361" i="5" s="1"/>
  <c r="L361" i="5"/>
  <c r="K361" i="5"/>
  <c r="T360" i="5"/>
  <c r="S360" i="5"/>
  <c r="R360" i="5"/>
  <c r="X360" i="5" s="1"/>
  <c r="L360" i="5"/>
  <c r="K360" i="5"/>
  <c r="T359" i="5"/>
  <c r="Z359" i="5" s="1"/>
  <c r="S359" i="5"/>
  <c r="Y359" i="5" s="1"/>
  <c r="R359" i="5"/>
  <c r="X359" i="5" s="1"/>
  <c r="L359" i="5"/>
  <c r="K359" i="5"/>
  <c r="T358" i="5"/>
  <c r="Z358" i="5" s="1"/>
  <c r="S358" i="5"/>
  <c r="R358" i="5"/>
  <c r="L358" i="5"/>
  <c r="K358" i="5"/>
  <c r="T357" i="5"/>
  <c r="Z357" i="5" s="1"/>
  <c r="S357" i="5"/>
  <c r="Y357" i="5" s="1"/>
  <c r="R357" i="5"/>
  <c r="X357" i="5" s="1"/>
  <c r="L357" i="5"/>
  <c r="K357" i="5"/>
  <c r="T356" i="5"/>
  <c r="Z356" i="5" s="1"/>
  <c r="S356" i="5"/>
  <c r="R356" i="5"/>
  <c r="U356" i="5" s="1"/>
  <c r="L356" i="5"/>
  <c r="K356" i="5"/>
  <c r="T355" i="5"/>
  <c r="Z355" i="5" s="1"/>
  <c r="S355" i="5"/>
  <c r="R355" i="5"/>
  <c r="U355" i="5" s="1"/>
  <c r="L355" i="5"/>
  <c r="K355" i="5"/>
  <c r="T354" i="5"/>
  <c r="W354" i="5" s="1"/>
  <c r="S354" i="5"/>
  <c r="Y354" i="5" s="1"/>
  <c r="R354" i="5"/>
  <c r="X354" i="5" s="1"/>
  <c r="L354" i="5"/>
  <c r="K354" i="5"/>
  <c r="T353" i="5"/>
  <c r="S353" i="5"/>
  <c r="Y353" i="5" s="1"/>
  <c r="R353" i="5"/>
  <c r="X353" i="5" s="1"/>
  <c r="L353" i="5"/>
  <c r="K353" i="5"/>
  <c r="T352" i="5"/>
  <c r="S352" i="5"/>
  <c r="Y352" i="5" s="1"/>
  <c r="R352" i="5"/>
  <c r="X352" i="5" s="1"/>
  <c r="P352" i="5"/>
  <c r="L352" i="5"/>
  <c r="K352" i="5"/>
  <c r="T351" i="5"/>
  <c r="S351" i="5"/>
  <c r="V351" i="5" s="1"/>
  <c r="R351" i="5"/>
  <c r="Q351" i="5"/>
  <c r="L351" i="5"/>
  <c r="K351" i="5"/>
  <c r="T350" i="5"/>
  <c r="S350" i="5"/>
  <c r="V350" i="5" s="1"/>
  <c r="R350" i="5"/>
  <c r="Q350" i="5"/>
  <c r="L350" i="5"/>
  <c r="K350" i="5"/>
  <c r="T349" i="5"/>
  <c r="S349" i="5"/>
  <c r="V349" i="5" s="1"/>
  <c r="R349" i="5"/>
  <c r="Q349" i="5"/>
  <c r="L349" i="5"/>
  <c r="K349" i="5"/>
  <c r="T348" i="5"/>
  <c r="S348" i="5"/>
  <c r="R348" i="5"/>
  <c r="U348" i="5" s="1"/>
  <c r="Q348" i="5"/>
  <c r="L348" i="5"/>
  <c r="K348" i="5"/>
  <c r="T347" i="5"/>
  <c r="S347" i="5"/>
  <c r="V347" i="5" s="1"/>
  <c r="R347" i="5"/>
  <c r="Q347" i="5"/>
  <c r="L347" i="5"/>
  <c r="K347" i="5"/>
  <c r="T346" i="5"/>
  <c r="S346" i="5"/>
  <c r="R346" i="5"/>
  <c r="U346" i="5" s="1"/>
  <c r="L346" i="5"/>
  <c r="K346" i="5"/>
  <c r="T345" i="5"/>
  <c r="S345" i="5"/>
  <c r="R345" i="5"/>
  <c r="U345" i="5" s="1"/>
  <c r="Q345" i="5"/>
  <c r="L345" i="5"/>
  <c r="K345" i="5"/>
  <c r="T344" i="5"/>
  <c r="S344" i="5"/>
  <c r="R344" i="5"/>
  <c r="U344" i="5" s="1"/>
  <c r="Q344" i="5"/>
  <c r="L344" i="5"/>
  <c r="K344" i="5"/>
  <c r="T343" i="5"/>
  <c r="W343" i="5" s="1"/>
  <c r="S343" i="5"/>
  <c r="R343" i="5"/>
  <c r="U343" i="5" s="1"/>
  <c r="Q343" i="5"/>
  <c r="L343" i="5"/>
  <c r="K343" i="5"/>
  <c r="T342" i="5"/>
  <c r="S342" i="5"/>
  <c r="R342" i="5"/>
  <c r="Q342" i="5"/>
  <c r="P342" i="5"/>
  <c r="L342" i="5"/>
  <c r="K342" i="5"/>
  <c r="T341" i="5"/>
  <c r="S341" i="5"/>
  <c r="R341" i="5"/>
  <c r="Q341" i="5"/>
  <c r="L341" i="5"/>
  <c r="K341" i="5"/>
  <c r="T340" i="5"/>
  <c r="W340" i="5" s="1"/>
  <c r="S340" i="5"/>
  <c r="V340" i="5" s="1"/>
  <c r="R340" i="5"/>
  <c r="Q340" i="5"/>
  <c r="L340" i="5"/>
  <c r="K340" i="5"/>
  <c r="T339" i="5"/>
  <c r="S339" i="5"/>
  <c r="R339" i="5"/>
  <c r="Q339" i="5"/>
  <c r="L339" i="5"/>
  <c r="K339" i="5"/>
  <c r="T338" i="5"/>
  <c r="W338" i="5" s="1"/>
  <c r="S338" i="5"/>
  <c r="V338" i="5" s="1"/>
  <c r="R338" i="5"/>
  <c r="Q338" i="5"/>
  <c r="L338" i="5"/>
  <c r="K338" i="5"/>
  <c r="T337" i="5"/>
  <c r="S337" i="5"/>
  <c r="R337" i="5"/>
  <c r="Q337" i="5"/>
  <c r="L337" i="5"/>
  <c r="K337" i="5"/>
  <c r="T336" i="5"/>
  <c r="W336" i="5" s="1"/>
  <c r="S336" i="5"/>
  <c r="R336" i="5"/>
  <c r="L336" i="5"/>
  <c r="K336" i="5"/>
  <c r="T335" i="5"/>
  <c r="Z335" i="5" s="1"/>
  <c r="S335" i="5"/>
  <c r="Y335" i="5" s="1"/>
  <c r="R335" i="5"/>
  <c r="L335" i="5"/>
  <c r="K335" i="5"/>
  <c r="T334" i="5"/>
  <c r="S334" i="5"/>
  <c r="R334" i="5"/>
  <c r="U334" i="5" s="1"/>
  <c r="L334" i="5"/>
  <c r="K334" i="5"/>
  <c r="T333" i="5"/>
  <c r="W333" i="5" s="1"/>
  <c r="S333" i="5"/>
  <c r="R333" i="5"/>
  <c r="L333" i="5"/>
  <c r="K333" i="5"/>
  <c r="T332" i="5"/>
  <c r="Z332" i="5" s="1"/>
  <c r="S332" i="5"/>
  <c r="R332" i="5"/>
  <c r="L332" i="5"/>
  <c r="K332" i="5"/>
  <c r="T331" i="5"/>
  <c r="W331" i="5" s="1"/>
  <c r="S331" i="5"/>
  <c r="V331" i="5" s="1"/>
  <c r="R331" i="5"/>
  <c r="U331" i="5" s="1"/>
  <c r="Q331" i="5"/>
  <c r="L331" i="5"/>
  <c r="K331" i="5"/>
  <c r="T330" i="5"/>
  <c r="S330" i="5"/>
  <c r="R330" i="5"/>
  <c r="Q330" i="5"/>
  <c r="L330" i="5"/>
  <c r="K330" i="5"/>
  <c r="T329" i="5"/>
  <c r="W329" i="5" s="1"/>
  <c r="S329" i="5"/>
  <c r="V329" i="5" s="1"/>
  <c r="R329" i="5"/>
  <c r="U329" i="5" s="1"/>
  <c r="Q329" i="5"/>
  <c r="L329" i="5"/>
  <c r="K329" i="5"/>
  <c r="T328" i="5"/>
  <c r="S328" i="5"/>
  <c r="R328" i="5"/>
  <c r="Q328" i="5"/>
  <c r="L328" i="5"/>
  <c r="K328" i="5"/>
  <c r="T327" i="5"/>
  <c r="W327" i="5" s="1"/>
  <c r="S327" i="5"/>
  <c r="V327" i="5" s="1"/>
  <c r="R327" i="5"/>
  <c r="U327" i="5" s="1"/>
  <c r="Q327" i="5"/>
  <c r="L327" i="5"/>
  <c r="K327" i="5"/>
  <c r="T326" i="5"/>
  <c r="S326" i="5"/>
  <c r="R326" i="5"/>
  <c r="Q326" i="5"/>
  <c r="L326" i="5"/>
  <c r="K326" i="5"/>
  <c r="T325" i="5"/>
  <c r="W325" i="5" s="1"/>
  <c r="S325" i="5"/>
  <c r="V325" i="5" s="1"/>
  <c r="R325" i="5"/>
  <c r="U325" i="5" s="1"/>
  <c r="Q325" i="5"/>
  <c r="L325" i="5"/>
  <c r="K325" i="5"/>
  <c r="T324" i="5"/>
  <c r="S324" i="5"/>
  <c r="R324" i="5"/>
  <c r="Q324" i="5"/>
  <c r="P324" i="5"/>
  <c r="L324" i="5"/>
  <c r="K324" i="5"/>
  <c r="T323" i="5"/>
  <c r="S323" i="5"/>
  <c r="R323" i="5"/>
  <c r="Q323" i="5"/>
  <c r="P323" i="5"/>
  <c r="L323" i="5"/>
  <c r="K323" i="5"/>
  <c r="T322" i="5"/>
  <c r="W322" i="5" s="1"/>
  <c r="S322" i="5"/>
  <c r="V322" i="5" s="1"/>
  <c r="R322" i="5"/>
  <c r="U322" i="5" s="1"/>
  <c r="Q322" i="5"/>
  <c r="L322" i="5"/>
  <c r="K322" i="5"/>
  <c r="T321" i="5"/>
  <c r="W321" i="5" s="1"/>
  <c r="S321" i="5"/>
  <c r="R321" i="5"/>
  <c r="U321" i="5" s="1"/>
  <c r="Q321" i="5"/>
  <c r="L321" i="5"/>
  <c r="K321" i="5"/>
  <c r="T320" i="5"/>
  <c r="W320" i="5" s="1"/>
  <c r="S320" i="5"/>
  <c r="V320" i="5" s="1"/>
  <c r="R320" i="5"/>
  <c r="U320" i="5" s="1"/>
  <c r="Q320" i="5"/>
  <c r="L320" i="5"/>
  <c r="K320" i="5"/>
  <c r="T319" i="5"/>
  <c r="S319" i="5"/>
  <c r="R319" i="5"/>
  <c r="Q319" i="5"/>
  <c r="P319" i="5"/>
  <c r="L319" i="5"/>
  <c r="K319" i="5"/>
  <c r="T318" i="5"/>
  <c r="S318" i="5"/>
  <c r="R318" i="5"/>
  <c r="Q318" i="5"/>
  <c r="P318" i="5"/>
  <c r="L318" i="5"/>
  <c r="K318" i="5"/>
  <c r="T317" i="5"/>
  <c r="S317" i="5"/>
  <c r="R317" i="5"/>
  <c r="Q317" i="5"/>
  <c r="P317" i="5"/>
  <c r="L317" i="5"/>
  <c r="K317" i="5"/>
  <c r="T316" i="5"/>
  <c r="W316" i="5" s="1"/>
  <c r="S316" i="5"/>
  <c r="V316" i="5" s="1"/>
  <c r="R316" i="5"/>
  <c r="Q316" i="5"/>
  <c r="L316" i="5"/>
  <c r="K316" i="5"/>
  <c r="T315" i="5"/>
  <c r="S315" i="5"/>
  <c r="R315" i="5"/>
  <c r="Q315" i="5"/>
  <c r="L315" i="5"/>
  <c r="K315" i="5"/>
  <c r="T314" i="5"/>
  <c r="S314" i="5"/>
  <c r="V314" i="5" s="1"/>
  <c r="R314" i="5"/>
  <c r="U314" i="5" s="1"/>
  <c r="Q314" i="5"/>
  <c r="L314" i="5"/>
  <c r="K314" i="5"/>
  <c r="T313" i="5"/>
  <c r="S313" i="5"/>
  <c r="R313" i="5"/>
  <c r="X313" i="5" s="1"/>
  <c r="L313" i="5"/>
  <c r="K313" i="5"/>
  <c r="T312" i="5"/>
  <c r="S312" i="5"/>
  <c r="R312" i="5"/>
  <c r="Q312" i="5"/>
  <c r="L312" i="5"/>
  <c r="K312" i="5"/>
  <c r="T311" i="5"/>
  <c r="S311" i="5"/>
  <c r="R311" i="5"/>
  <c r="U311" i="5" s="1"/>
  <c r="Q311" i="5"/>
  <c r="L311" i="5"/>
  <c r="K311" i="5"/>
  <c r="T310" i="5"/>
  <c r="S310" i="5"/>
  <c r="R310" i="5"/>
  <c r="U310" i="5" s="1"/>
  <c r="Q310" i="5"/>
  <c r="L310" i="5"/>
  <c r="K310" i="5"/>
  <c r="T309" i="5"/>
  <c r="W309" i="5" s="1"/>
  <c r="S309" i="5"/>
  <c r="R309" i="5"/>
  <c r="Q309" i="5"/>
  <c r="L309" i="5"/>
  <c r="K309" i="5"/>
  <c r="T308" i="5"/>
  <c r="S308" i="5"/>
  <c r="R308" i="5"/>
  <c r="U308" i="5" s="1"/>
  <c r="Q308" i="5"/>
  <c r="L308" i="5"/>
  <c r="K308" i="5"/>
  <c r="T307" i="5"/>
  <c r="S307" i="5"/>
  <c r="R307" i="5"/>
  <c r="Q307" i="5"/>
  <c r="P307" i="5"/>
  <c r="L307" i="5"/>
  <c r="K307" i="5"/>
  <c r="T306" i="5"/>
  <c r="S306" i="5"/>
  <c r="R306" i="5"/>
  <c r="Q306" i="5"/>
  <c r="L306" i="5"/>
  <c r="K306" i="5"/>
  <c r="T305" i="5"/>
  <c r="S305" i="5"/>
  <c r="V305" i="5" s="1"/>
  <c r="R305" i="5"/>
  <c r="U305" i="5" s="1"/>
  <c r="Q305" i="5"/>
  <c r="L305" i="5"/>
  <c r="K305" i="5"/>
  <c r="T304" i="5"/>
  <c r="S304" i="5"/>
  <c r="R304" i="5"/>
  <c r="Q304" i="5"/>
  <c r="L304" i="5"/>
  <c r="K304" i="5"/>
  <c r="T303" i="5"/>
  <c r="S303" i="5"/>
  <c r="R303" i="5"/>
  <c r="U303" i="5" s="1"/>
  <c r="Q303" i="5"/>
  <c r="L303" i="5"/>
  <c r="K303" i="5"/>
  <c r="T302" i="5"/>
  <c r="S302" i="5"/>
  <c r="V302" i="5" s="1"/>
  <c r="R302" i="5"/>
  <c r="Q302" i="5"/>
  <c r="L302" i="5"/>
  <c r="K302" i="5"/>
  <c r="T301" i="5"/>
  <c r="S301" i="5"/>
  <c r="V301" i="5" s="1"/>
  <c r="R301" i="5"/>
  <c r="Q301" i="5"/>
  <c r="L301" i="5"/>
  <c r="K301" i="5"/>
  <c r="T300" i="5"/>
  <c r="S300" i="5"/>
  <c r="V300" i="5" s="1"/>
  <c r="R300" i="5"/>
  <c r="Q300" i="5"/>
  <c r="L300" i="5"/>
  <c r="K300" i="5"/>
  <c r="T299" i="5"/>
  <c r="S299" i="5"/>
  <c r="V299" i="5" s="1"/>
  <c r="R299" i="5"/>
  <c r="U299" i="5" s="1"/>
  <c r="Q299" i="5"/>
  <c r="L299" i="5"/>
  <c r="K299" i="5"/>
  <c r="T298" i="5"/>
  <c r="W298" i="5" s="1"/>
  <c r="S298" i="5"/>
  <c r="V298" i="5" s="1"/>
  <c r="R298" i="5"/>
  <c r="Q298" i="5"/>
  <c r="L298" i="5"/>
  <c r="K298" i="5"/>
  <c r="T297" i="5"/>
  <c r="S297" i="5"/>
  <c r="V297" i="5" s="1"/>
  <c r="R297" i="5"/>
  <c r="U297" i="5" s="1"/>
  <c r="Q297" i="5"/>
  <c r="L297" i="5"/>
  <c r="K297" i="5"/>
  <c r="T296" i="5"/>
  <c r="W296" i="5" s="1"/>
  <c r="S296" i="5"/>
  <c r="V296" i="5" s="1"/>
  <c r="R296" i="5"/>
  <c r="U296" i="5" s="1"/>
  <c r="Q296" i="5"/>
  <c r="L296" i="5"/>
  <c r="K296" i="5"/>
  <c r="T295" i="5"/>
  <c r="W295" i="5" s="1"/>
  <c r="S295" i="5"/>
  <c r="R295" i="5"/>
  <c r="Q295" i="5"/>
  <c r="L295" i="5"/>
  <c r="K295" i="5"/>
  <c r="T294" i="5"/>
  <c r="W294" i="5" s="1"/>
  <c r="S294" i="5"/>
  <c r="V294" i="5" s="1"/>
  <c r="R294" i="5"/>
  <c r="Q294" i="5"/>
  <c r="L294" i="5"/>
  <c r="K294" i="5"/>
  <c r="T293" i="5"/>
  <c r="S293" i="5"/>
  <c r="R293" i="5"/>
  <c r="Q293" i="5"/>
  <c r="P293" i="5"/>
  <c r="L293" i="5"/>
  <c r="K293" i="5"/>
  <c r="T292" i="5"/>
  <c r="S292" i="5"/>
  <c r="R292" i="5"/>
  <c r="Q292" i="5"/>
  <c r="P292" i="5"/>
  <c r="L292" i="5"/>
  <c r="K292" i="5"/>
  <c r="T291" i="5"/>
  <c r="W291" i="5" s="1"/>
  <c r="S291" i="5"/>
  <c r="V291" i="5" s="1"/>
  <c r="R291" i="5"/>
  <c r="U291" i="5" s="1"/>
  <c r="Q291" i="5"/>
  <c r="L291" i="5"/>
  <c r="K291" i="5"/>
  <c r="T290" i="5"/>
  <c r="W290" i="5" s="1"/>
  <c r="S290" i="5"/>
  <c r="R290" i="5"/>
  <c r="U290" i="5" s="1"/>
  <c r="Q290" i="5"/>
  <c r="L290" i="5"/>
  <c r="K290" i="5"/>
  <c r="T289" i="5"/>
  <c r="W289" i="5" s="1"/>
  <c r="S289" i="5"/>
  <c r="V289" i="5" s="1"/>
  <c r="R289" i="5"/>
  <c r="U289" i="5" s="1"/>
  <c r="Q289" i="5"/>
  <c r="L289" i="5"/>
  <c r="K289" i="5"/>
  <c r="T288" i="5"/>
  <c r="W288" i="5" s="1"/>
  <c r="S288" i="5"/>
  <c r="R288" i="5"/>
  <c r="U288" i="5" s="1"/>
  <c r="Q288" i="5"/>
  <c r="L288" i="5"/>
  <c r="K288" i="5"/>
  <c r="T287" i="5"/>
  <c r="W287" i="5" s="1"/>
  <c r="S287" i="5"/>
  <c r="V287" i="5" s="1"/>
  <c r="R287" i="5"/>
  <c r="Q287" i="5"/>
  <c r="L287" i="5"/>
  <c r="K287" i="5"/>
  <c r="T286" i="5"/>
  <c r="W286" i="5" s="1"/>
  <c r="S286" i="5"/>
  <c r="R286" i="5"/>
  <c r="U286" i="5" s="1"/>
  <c r="Q286" i="5"/>
  <c r="L286" i="5"/>
  <c r="K286" i="5"/>
  <c r="T285" i="5"/>
  <c r="W285" i="5" s="1"/>
  <c r="S285" i="5"/>
  <c r="V285" i="5" s="1"/>
  <c r="R285" i="5"/>
  <c r="X285" i="5" s="1"/>
  <c r="Q285" i="5"/>
  <c r="L285" i="5"/>
  <c r="K285" i="5"/>
  <c r="T284" i="5"/>
  <c r="W284" i="5" s="1"/>
  <c r="S284" i="5"/>
  <c r="R284" i="5"/>
  <c r="U284" i="5" s="1"/>
  <c r="Q284" i="5"/>
  <c r="L284" i="5"/>
  <c r="K284" i="5"/>
  <c r="T283" i="5"/>
  <c r="W283" i="5" s="1"/>
  <c r="S283" i="5"/>
  <c r="V283" i="5" s="1"/>
  <c r="R283" i="5"/>
  <c r="Q283" i="5"/>
  <c r="L283" i="5"/>
  <c r="K283" i="5"/>
  <c r="T282" i="5"/>
  <c r="W282" i="5" s="1"/>
  <c r="S282" i="5"/>
  <c r="R282" i="5"/>
  <c r="U282" i="5" s="1"/>
  <c r="Q282" i="5"/>
  <c r="L282" i="5"/>
  <c r="K282" i="5"/>
  <c r="T281" i="5"/>
  <c r="S281" i="5"/>
  <c r="R281" i="5"/>
  <c r="Q281" i="5"/>
  <c r="P281" i="5"/>
  <c r="L281" i="5"/>
  <c r="K281" i="5"/>
  <c r="T280" i="5"/>
  <c r="S280" i="5"/>
  <c r="R280" i="5"/>
  <c r="Q280" i="5"/>
  <c r="P280" i="5"/>
  <c r="L280" i="5"/>
  <c r="K280" i="5"/>
  <c r="T279" i="5"/>
  <c r="W279" i="5" s="1"/>
  <c r="S279" i="5"/>
  <c r="V279" i="5" s="1"/>
  <c r="R279" i="5"/>
  <c r="U279" i="5" s="1"/>
  <c r="Q279" i="5"/>
  <c r="L279" i="5"/>
  <c r="K279" i="5"/>
  <c r="T278" i="5"/>
  <c r="W278" i="5" s="1"/>
  <c r="S278" i="5"/>
  <c r="V278" i="5" s="1"/>
  <c r="R278" i="5"/>
  <c r="U278" i="5" s="1"/>
  <c r="Q278" i="5"/>
  <c r="L278" i="5"/>
  <c r="K278" i="5"/>
  <c r="T277" i="5"/>
  <c r="Z277" i="5" s="1"/>
  <c r="S277" i="5"/>
  <c r="V277" i="5" s="1"/>
  <c r="R277" i="5"/>
  <c r="U277" i="5" s="1"/>
  <c r="L277" i="5"/>
  <c r="K277" i="5"/>
  <c r="T276" i="5"/>
  <c r="S276" i="5"/>
  <c r="R276" i="5"/>
  <c r="U276" i="5" s="1"/>
  <c r="Q276" i="5"/>
  <c r="L276" i="5"/>
  <c r="K276" i="5"/>
  <c r="T275" i="5"/>
  <c r="W275" i="5" s="1"/>
  <c r="S275" i="5"/>
  <c r="V275" i="5" s="1"/>
  <c r="R275" i="5"/>
  <c r="U275" i="5" s="1"/>
  <c r="Q275" i="5"/>
  <c r="L275" i="5"/>
  <c r="K275" i="5"/>
  <c r="T274" i="5"/>
  <c r="S274" i="5"/>
  <c r="R274" i="5"/>
  <c r="U274" i="5" s="1"/>
  <c r="Q274" i="5"/>
  <c r="L274" i="5"/>
  <c r="K274" i="5"/>
  <c r="T273" i="5"/>
  <c r="W273" i="5" s="1"/>
  <c r="S273" i="5"/>
  <c r="V273" i="5" s="1"/>
  <c r="R273" i="5"/>
  <c r="Q273" i="5"/>
  <c r="L273" i="5"/>
  <c r="K273" i="5"/>
  <c r="T272" i="5"/>
  <c r="S272" i="5"/>
  <c r="R272" i="5"/>
  <c r="U272" i="5" s="1"/>
  <c r="Q272" i="5"/>
  <c r="L272" i="5"/>
  <c r="K272" i="5"/>
  <c r="T271" i="5"/>
  <c r="W271" i="5" s="1"/>
  <c r="S271" i="5"/>
  <c r="R271" i="5"/>
  <c r="Q271" i="5"/>
  <c r="L271" i="5"/>
  <c r="K271" i="5"/>
  <c r="T270" i="5"/>
  <c r="S270" i="5"/>
  <c r="V270" i="5" s="1"/>
  <c r="R270" i="5"/>
  <c r="Q270" i="5"/>
  <c r="L270" i="5"/>
  <c r="T269" i="5"/>
  <c r="S269" i="5"/>
  <c r="V269" i="5" s="1"/>
  <c r="R269" i="5"/>
  <c r="U269" i="5" s="1"/>
  <c r="Q269" i="5"/>
  <c r="L269" i="5"/>
  <c r="K269" i="5"/>
  <c r="T268" i="5"/>
  <c r="W268" i="5" s="1"/>
  <c r="S268" i="5"/>
  <c r="V268" i="5" s="1"/>
  <c r="R268" i="5"/>
  <c r="U268" i="5" s="1"/>
  <c r="Q268" i="5"/>
  <c r="L268" i="5"/>
  <c r="K268" i="5"/>
  <c r="T267" i="5"/>
  <c r="S267" i="5"/>
  <c r="R267" i="5"/>
  <c r="U267" i="5" s="1"/>
  <c r="Q267" i="5"/>
  <c r="L267" i="5"/>
  <c r="K267" i="5"/>
  <c r="T266" i="5"/>
  <c r="S266" i="5"/>
  <c r="V266" i="5" s="1"/>
  <c r="R266" i="5"/>
  <c r="U266" i="5" s="1"/>
  <c r="Q266" i="5"/>
  <c r="L266" i="5"/>
  <c r="K266" i="5"/>
  <c r="T265" i="5"/>
  <c r="W265" i="5" s="1"/>
  <c r="S265" i="5"/>
  <c r="V265" i="5" s="1"/>
  <c r="R265" i="5"/>
  <c r="Q265" i="5"/>
  <c r="L265" i="5"/>
  <c r="K265" i="5"/>
  <c r="T264" i="5"/>
  <c r="W264" i="5" s="1"/>
  <c r="S264" i="5"/>
  <c r="V264" i="5" s="1"/>
  <c r="R264" i="5"/>
  <c r="U264" i="5" s="1"/>
  <c r="Q264" i="5"/>
  <c r="L264" i="5"/>
  <c r="K264" i="5"/>
  <c r="T263" i="5"/>
  <c r="W263" i="5" s="1"/>
  <c r="S263" i="5"/>
  <c r="V263" i="5" s="1"/>
  <c r="R263" i="5"/>
  <c r="U263" i="5" s="1"/>
  <c r="Q263" i="5"/>
  <c r="L263" i="5"/>
  <c r="K263" i="5"/>
  <c r="T262" i="5"/>
  <c r="S262" i="5"/>
  <c r="V262" i="5" s="1"/>
  <c r="R262" i="5"/>
  <c r="U262" i="5" s="1"/>
  <c r="Q262" i="5"/>
  <c r="L262" i="5"/>
  <c r="K262" i="5"/>
  <c r="T261" i="5"/>
  <c r="S261" i="5"/>
  <c r="V261" i="5" s="1"/>
  <c r="R261" i="5"/>
  <c r="U261" i="5" s="1"/>
  <c r="Q261" i="5"/>
  <c r="L261" i="5"/>
  <c r="K261" i="5"/>
  <c r="T260" i="5"/>
  <c r="S260" i="5"/>
  <c r="V260" i="5" s="1"/>
  <c r="R260" i="5"/>
  <c r="U260" i="5" s="1"/>
  <c r="Q260" i="5"/>
  <c r="Y260" i="5" s="1"/>
  <c r="L260" i="5"/>
  <c r="K260" i="5"/>
  <c r="T259" i="5"/>
  <c r="S259" i="5"/>
  <c r="V259" i="5" s="1"/>
  <c r="R259" i="5"/>
  <c r="Q259" i="5"/>
  <c r="L259" i="5"/>
  <c r="K259" i="5"/>
  <c r="T258" i="5"/>
  <c r="S258" i="5"/>
  <c r="V258" i="5" s="1"/>
  <c r="R258" i="5"/>
  <c r="U258" i="5" s="1"/>
  <c r="Q258" i="5"/>
  <c r="L258" i="5"/>
  <c r="K258" i="5"/>
  <c r="T257" i="5"/>
  <c r="W257" i="5" s="1"/>
  <c r="S257" i="5"/>
  <c r="V257" i="5" s="1"/>
  <c r="R257" i="5"/>
  <c r="Q257" i="5"/>
  <c r="L257" i="5"/>
  <c r="K257" i="5"/>
  <c r="T256" i="5"/>
  <c r="W256" i="5" s="1"/>
  <c r="S256" i="5"/>
  <c r="V256" i="5" s="1"/>
  <c r="R256" i="5"/>
  <c r="U256" i="5" s="1"/>
  <c r="Q256" i="5"/>
  <c r="L256" i="5"/>
  <c r="K256" i="5"/>
  <c r="T255" i="5"/>
  <c r="S255" i="5"/>
  <c r="V255" i="5" s="1"/>
  <c r="R255" i="5"/>
  <c r="Q255" i="5"/>
  <c r="L255" i="5"/>
  <c r="K255" i="5"/>
  <c r="T254" i="5"/>
  <c r="S254" i="5"/>
  <c r="V254" i="5" s="1"/>
  <c r="R254" i="5"/>
  <c r="U254" i="5" s="1"/>
  <c r="Q254" i="5"/>
  <c r="L254" i="5"/>
  <c r="K254" i="5"/>
  <c r="T253" i="5"/>
  <c r="S253" i="5"/>
  <c r="V253" i="5" s="1"/>
  <c r="R253" i="5"/>
  <c r="U253" i="5" s="1"/>
  <c r="Q253" i="5"/>
  <c r="X253" i="5" s="1"/>
  <c r="L253" i="5"/>
  <c r="K253" i="5"/>
  <c r="T252" i="5"/>
  <c r="S252" i="5"/>
  <c r="V252" i="5" s="1"/>
  <c r="R252" i="5"/>
  <c r="U252" i="5" s="1"/>
  <c r="Q252" i="5"/>
  <c r="L252" i="5"/>
  <c r="K252" i="5"/>
  <c r="T251" i="5"/>
  <c r="Z251" i="5" s="1"/>
  <c r="S251" i="5"/>
  <c r="R251" i="5"/>
  <c r="X251" i="5" s="1"/>
  <c r="P251" i="5"/>
  <c r="L251" i="5"/>
  <c r="K251" i="5"/>
  <c r="T250" i="5"/>
  <c r="Z250" i="5" s="1"/>
  <c r="S250" i="5"/>
  <c r="Y250" i="5" s="1"/>
  <c r="R250" i="5"/>
  <c r="X250" i="5" s="1"/>
  <c r="P250" i="5"/>
  <c r="L250" i="5"/>
  <c r="K250" i="5"/>
  <c r="T249" i="5"/>
  <c r="Z249" i="5" s="1"/>
  <c r="S249" i="5"/>
  <c r="V249" i="5" s="1"/>
  <c r="R249" i="5"/>
  <c r="X249" i="5" s="1"/>
  <c r="L249" i="5"/>
  <c r="K249" i="5"/>
  <c r="T248" i="5"/>
  <c r="W248" i="5" s="1"/>
  <c r="S248" i="5"/>
  <c r="Y248" i="5" s="1"/>
  <c r="R248" i="5"/>
  <c r="U248" i="5" s="1"/>
  <c r="L248" i="5"/>
  <c r="K248" i="5"/>
  <c r="T247" i="5"/>
  <c r="Z247" i="5" s="1"/>
  <c r="S247" i="5"/>
  <c r="Y247" i="5" s="1"/>
  <c r="R247" i="5"/>
  <c r="X247" i="5" s="1"/>
  <c r="L247" i="5"/>
  <c r="K247" i="5"/>
  <c r="T246" i="5"/>
  <c r="W246" i="5" s="1"/>
  <c r="S246" i="5"/>
  <c r="V246" i="5" s="1"/>
  <c r="R246" i="5"/>
  <c r="U246" i="5" s="1"/>
  <c r="Q246" i="5"/>
  <c r="L246" i="5"/>
  <c r="K246" i="5"/>
  <c r="T245" i="5"/>
  <c r="W245" i="5" s="1"/>
  <c r="S245" i="5"/>
  <c r="V245" i="5" s="1"/>
  <c r="R245" i="5"/>
  <c r="Q245" i="5"/>
  <c r="L245" i="5"/>
  <c r="K245" i="5"/>
  <c r="T244" i="5"/>
  <c r="W244" i="5" s="1"/>
  <c r="S244" i="5"/>
  <c r="V244" i="5" s="1"/>
  <c r="R244" i="5"/>
  <c r="U244" i="5" s="1"/>
  <c r="Q244" i="5"/>
  <c r="L244" i="5"/>
  <c r="K244" i="5"/>
  <c r="T243" i="5"/>
  <c r="W243" i="5" s="1"/>
  <c r="S243" i="5"/>
  <c r="V243" i="5" s="1"/>
  <c r="R243" i="5"/>
  <c r="Q243" i="5"/>
  <c r="L243" i="5"/>
  <c r="K243" i="5"/>
  <c r="T242" i="5"/>
  <c r="W242" i="5" s="1"/>
  <c r="S242" i="5"/>
  <c r="V242" i="5" s="1"/>
  <c r="R242" i="5"/>
  <c r="Q242" i="5"/>
  <c r="L242" i="5"/>
  <c r="K242" i="5"/>
  <c r="T241" i="5"/>
  <c r="W241" i="5" s="1"/>
  <c r="S241" i="5"/>
  <c r="V241" i="5" s="1"/>
  <c r="R241" i="5"/>
  <c r="Q241" i="5"/>
  <c r="L241" i="5"/>
  <c r="K241" i="5"/>
  <c r="T240" i="5"/>
  <c r="W240" i="5" s="1"/>
  <c r="S240" i="5"/>
  <c r="V240" i="5" s="1"/>
  <c r="R240" i="5"/>
  <c r="Q240" i="5"/>
  <c r="L240" i="5"/>
  <c r="K240" i="5"/>
  <c r="T239" i="5"/>
  <c r="W239" i="5" s="1"/>
  <c r="S239" i="5"/>
  <c r="R239" i="5"/>
  <c r="X239" i="5" s="1"/>
  <c r="L239" i="5"/>
  <c r="K239" i="5"/>
  <c r="T238" i="5"/>
  <c r="W238" i="5" s="1"/>
  <c r="S238" i="5"/>
  <c r="V238" i="5" s="1"/>
  <c r="R238" i="5"/>
  <c r="Q238" i="5"/>
  <c r="L238" i="5"/>
  <c r="K238" i="5"/>
  <c r="T237" i="5"/>
  <c r="W237" i="5" s="1"/>
  <c r="S237" i="5"/>
  <c r="V237" i="5" s="1"/>
  <c r="R237" i="5"/>
  <c r="U237" i="5" s="1"/>
  <c r="Q237" i="5"/>
  <c r="L237" i="5"/>
  <c r="K237" i="5"/>
  <c r="T236" i="5"/>
  <c r="S236" i="5"/>
  <c r="V236" i="5" s="1"/>
  <c r="R236" i="5"/>
  <c r="Q236" i="5"/>
  <c r="L236" i="5"/>
  <c r="K236" i="5"/>
  <c r="T235" i="5"/>
  <c r="S235" i="5"/>
  <c r="V235" i="5" s="1"/>
  <c r="R235" i="5"/>
  <c r="U235" i="5" s="1"/>
  <c r="Q235" i="5"/>
  <c r="L235" i="5"/>
  <c r="K235" i="5"/>
  <c r="T234" i="5"/>
  <c r="S234" i="5"/>
  <c r="V234" i="5" s="1"/>
  <c r="R234" i="5"/>
  <c r="U234" i="5" s="1"/>
  <c r="Q234" i="5"/>
  <c r="L234" i="5"/>
  <c r="K234" i="5"/>
  <c r="T233" i="5"/>
  <c r="S233" i="5"/>
  <c r="V233" i="5" s="1"/>
  <c r="R233" i="5"/>
  <c r="U233" i="5" s="1"/>
  <c r="Q233" i="5"/>
  <c r="L233" i="5"/>
  <c r="K233" i="5"/>
  <c r="T232" i="5"/>
  <c r="W232" i="5" s="1"/>
  <c r="S232" i="5"/>
  <c r="V232" i="5" s="1"/>
  <c r="R232" i="5"/>
  <c r="U232" i="5" s="1"/>
  <c r="Q232" i="5"/>
  <c r="L232" i="5"/>
  <c r="K232" i="5"/>
  <c r="T231" i="5"/>
  <c r="W231" i="5" s="1"/>
  <c r="S231" i="5"/>
  <c r="V231" i="5" s="1"/>
  <c r="R231" i="5"/>
  <c r="U231" i="5" s="1"/>
  <c r="Q231" i="5"/>
  <c r="L231" i="5"/>
  <c r="K231" i="5"/>
  <c r="T230" i="5"/>
  <c r="W230" i="5" s="1"/>
  <c r="S230" i="5"/>
  <c r="V230" i="5" s="1"/>
  <c r="R230" i="5"/>
  <c r="Q230" i="5"/>
  <c r="L230" i="5"/>
  <c r="K230" i="5"/>
  <c r="T229" i="5"/>
  <c r="W229" i="5" s="1"/>
  <c r="S229" i="5"/>
  <c r="V229" i="5" s="1"/>
  <c r="R229" i="5"/>
  <c r="U229" i="5" s="1"/>
  <c r="Q229" i="5"/>
  <c r="L229" i="5"/>
  <c r="K229" i="5"/>
  <c r="T228" i="5"/>
  <c r="S228" i="5"/>
  <c r="V228" i="5" s="1"/>
  <c r="R228" i="5"/>
  <c r="U228" i="5" s="1"/>
  <c r="Q228" i="5"/>
  <c r="L228" i="5"/>
  <c r="K228" i="5"/>
  <c r="T227" i="5"/>
  <c r="W227" i="5" s="1"/>
  <c r="S227" i="5"/>
  <c r="V227" i="5" s="1"/>
  <c r="R227" i="5"/>
  <c r="U227" i="5" s="1"/>
  <c r="Q227" i="5"/>
  <c r="L227" i="5"/>
  <c r="K227" i="5"/>
  <c r="T226" i="5"/>
  <c r="S226" i="5"/>
  <c r="V226" i="5" s="1"/>
  <c r="R226" i="5"/>
  <c r="U226" i="5" s="1"/>
  <c r="Q226" i="5"/>
  <c r="L226" i="5"/>
  <c r="K226" i="5"/>
  <c r="T225" i="5"/>
  <c r="S225" i="5"/>
  <c r="V225" i="5" s="1"/>
  <c r="R225" i="5"/>
  <c r="U225" i="5" s="1"/>
  <c r="Q225" i="5"/>
  <c r="L225" i="5"/>
  <c r="K225" i="5"/>
  <c r="T224" i="5"/>
  <c r="S224" i="5"/>
  <c r="V224" i="5" s="1"/>
  <c r="R224" i="5"/>
  <c r="Q224" i="5"/>
  <c r="L224" i="5"/>
  <c r="K224" i="5"/>
  <c r="T223" i="5"/>
  <c r="S223" i="5"/>
  <c r="V223" i="5" s="1"/>
  <c r="R223" i="5"/>
  <c r="U223" i="5" s="1"/>
  <c r="Q223" i="5"/>
  <c r="L223" i="5"/>
  <c r="K223" i="5"/>
  <c r="T222" i="5"/>
  <c r="W222" i="5" s="1"/>
  <c r="S222" i="5"/>
  <c r="V222" i="5" s="1"/>
  <c r="R222" i="5"/>
  <c r="Q222" i="5"/>
  <c r="L222" i="5"/>
  <c r="K222" i="5"/>
  <c r="T221" i="5"/>
  <c r="W221" i="5" s="1"/>
  <c r="S221" i="5"/>
  <c r="V221" i="5" s="1"/>
  <c r="R221" i="5"/>
  <c r="U221" i="5" s="1"/>
  <c r="Q221" i="5"/>
  <c r="L221" i="5"/>
  <c r="K221" i="5"/>
  <c r="T220" i="5"/>
  <c r="S220" i="5"/>
  <c r="R220" i="5"/>
  <c r="Q220" i="5"/>
  <c r="L220" i="5"/>
  <c r="K220" i="5"/>
  <c r="T219" i="5"/>
  <c r="S219" i="5"/>
  <c r="V219" i="5" s="1"/>
  <c r="R219" i="5"/>
  <c r="U219" i="5" s="1"/>
  <c r="Q219" i="5"/>
  <c r="L219" i="5"/>
  <c r="K219" i="5"/>
  <c r="T218" i="5"/>
  <c r="S218" i="5"/>
  <c r="R218" i="5"/>
  <c r="Q218" i="5"/>
  <c r="L218" i="5"/>
  <c r="K218" i="5"/>
  <c r="T217" i="5"/>
  <c r="S217" i="5"/>
  <c r="V217" i="5" s="1"/>
  <c r="R217" i="5"/>
  <c r="U217" i="5" s="1"/>
  <c r="Q217" i="5"/>
  <c r="L217" i="5"/>
  <c r="K217" i="5"/>
  <c r="T216" i="5"/>
  <c r="S216" i="5"/>
  <c r="R216" i="5"/>
  <c r="U216" i="5" s="1"/>
  <c r="Q216" i="5"/>
  <c r="L216" i="5"/>
  <c r="K216" i="5"/>
  <c r="T215" i="5"/>
  <c r="W215" i="5" s="1"/>
  <c r="S215" i="5"/>
  <c r="V215" i="5" s="1"/>
  <c r="R215" i="5"/>
  <c r="U215" i="5" s="1"/>
  <c r="Q215" i="5"/>
  <c r="L215" i="5"/>
  <c r="K215" i="5"/>
  <c r="T214" i="5"/>
  <c r="W214" i="5" s="1"/>
  <c r="S214" i="5"/>
  <c r="R214" i="5"/>
  <c r="U214" i="5" s="1"/>
  <c r="Q214" i="5"/>
  <c r="L214" i="5"/>
  <c r="K214" i="5"/>
  <c r="T213" i="5"/>
  <c r="W213" i="5" s="1"/>
  <c r="S213" i="5"/>
  <c r="V213" i="5" s="1"/>
  <c r="R213" i="5"/>
  <c r="U213" i="5" s="1"/>
  <c r="Q213" i="5"/>
  <c r="L213" i="5"/>
  <c r="K213" i="5"/>
  <c r="T212" i="5"/>
  <c r="S212" i="5"/>
  <c r="R212" i="5"/>
  <c r="U212" i="5" s="1"/>
  <c r="Q212" i="5"/>
  <c r="X212" i="5" s="1"/>
  <c r="L212" i="5"/>
  <c r="K212" i="5"/>
  <c r="T211" i="5"/>
  <c r="W211" i="5" s="1"/>
  <c r="S211" i="5"/>
  <c r="V211" i="5" s="1"/>
  <c r="R211" i="5"/>
  <c r="U211" i="5" s="1"/>
  <c r="Q211" i="5"/>
  <c r="L211" i="5"/>
  <c r="K211" i="5"/>
  <c r="T210" i="5"/>
  <c r="S210" i="5"/>
  <c r="R210" i="5"/>
  <c r="Q210" i="5"/>
  <c r="L210" i="5"/>
  <c r="K210" i="5"/>
  <c r="T209" i="5"/>
  <c r="W209" i="5" s="1"/>
  <c r="S209" i="5"/>
  <c r="R209" i="5"/>
  <c r="U209" i="5" s="1"/>
  <c r="Q209" i="5"/>
  <c r="L209" i="5"/>
  <c r="K209" i="5"/>
  <c r="T208" i="5"/>
  <c r="S208" i="5"/>
  <c r="R208" i="5"/>
  <c r="Q208" i="5"/>
  <c r="L208" i="5"/>
  <c r="K208" i="5"/>
  <c r="T207" i="5"/>
  <c r="S207" i="5"/>
  <c r="V207" i="5" s="1"/>
  <c r="R207" i="5"/>
  <c r="U207" i="5" s="1"/>
  <c r="Q207" i="5"/>
  <c r="L207" i="5"/>
  <c r="K207" i="5"/>
  <c r="T206" i="5"/>
  <c r="S206" i="5"/>
  <c r="R206" i="5"/>
  <c r="U206" i="5" s="1"/>
  <c r="Q206" i="5"/>
  <c r="L206" i="5"/>
  <c r="K206" i="5"/>
  <c r="T205" i="5"/>
  <c r="W205" i="5" s="1"/>
  <c r="S205" i="5"/>
  <c r="V205" i="5" s="1"/>
  <c r="R205" i="5"/>
  <c r="U205" i="5" s="1"/>
  <c r="Q205" i="5"/>
  <c r="L205" i="5"/>
  <c r="K205" i="5"/>
  <c r="T204" i="5"/>
  <c r="W204" i="5" s="1"/>
  <c r="S204" i="5"/>
  <c r="R204" i="5"/>
  <c r="Q204" i="5"/>
  <c r="L204" i="5"/>
  <c r="K204" i="5"/>
  <c r="T203" i="5"/>
  <c r="W203" i="5" s="1"/>
  <c r="S203" i="5"/>
  <c r="V203" i="5" s="1"/>
  <c r="R203" i="5"/>
  <c r="U203" i="5" s="1"/>
  <c r="Q203" i="5"/>
  <c r="L203" i="5"/>
  <c r="K203" i="5"/>
  <c r="T202" i="5"/>
  <c r="S202" i="5"/>
  <c r="R202" i="5"/>
  <c r="U202" i="5" s="1"/>
  <c r="Q202" i="5"/>
  <c r="L202" i="5"/>
  <c r="K202" i="5"/>
  <c r="T201" i="5"/>
  <c r="Z201" i="5" s="1"/>
  <c r="S201" i="5"/>
  <c r="V201" i="5" s="1"/>
  <c r="R201" i="5"/>
  <c r="L201" i="5"/>
  <c r="K201" i="5"/>
  <c r="T200" i="5"/>
  <c r="W200" i="5" s="1"/>
  <c r="S200" i="5"/>
  <c r="R200" i="5"/>
  <c r="Q200" i="5"/>
  <c r="L200" i="5"/>
  <c r="K200" i="5"/>
  <c r="T199" i="5"/>
  <c r="W199" i="5" s="1"/>
  <c r="S199" i="5"/>
  <c r="V199" i="5" s="1"/>
  <c r="R199" i="5"/>
  <c r="Q199" i="5"/>
  <c r="L199" i="5"/>
  <c r="K199" i="5"/>
  <c r="T198" i="5"/>
  <c r="W198" i="5" s="1"/>
  <c r="S198" i="5"/>
  <c r="V198" i="5" s="1"/>
  <c r="R198" i="5"/>
  <c r="Q198" i="5"/>
  <c r="L198" i="5"/>
  <c r="K198" i="5"/>
  <c r="T197" i="5"/>
  <c r="S197" i="5"/>
  <c r="R197" i="5"/>
  <c r="Q197" i="5"/>
  <c r="L197" i="5"/>
  <c r="K197" i="5"/>
  <c r="T196" i="5"/>
  <c r="S196" i="5"/>
  <c r="R196" i="5"/>
  <c r="L196" i="5"/>
  <c r="K196" i="5"/>
  <c r="T195" i="5"/>
  <c r="S195" i="5"/>
  <c r="Y195" i="5" s="1"/>
  <c r="R195" i="5"/>
  <c r="X195" i="5" s="1"/>
  <c r="L195" i="5"/>
  <c r="K195" i="5"/>
  <c r="T194" i="5"/>
  <c r="S194" i="5"/>
  <c r="V194" i="5" s="1"/>
  <c r="R194" i="5"/>
  <c r="U194" i="5" s="1"/>
  <c r="L194" i="5"/>
  <c r="K194" i="5"/>
  <c r="T193" i="5"/>
  <c r="S193" i="5"/>
  <c r="R193" i="5"/>
  <c r="X193" i="5" s="1"/>
  <c r="L193" i="5"/>
  <c r="K193" i="5"/>
  <c r="T192" i="5"/>
  <c r="Z192" i="5" s="1"/>
  <c r="S192" i="5"/>
  <c r="Y192" i="5" s="1"/>
  <c r="R192" i="5"/>
  <c r="U192" i="5" s="1"/>
  <c r="L192" i="5"/>
  <c r="K192" i="5"/>
  <c r="T191" i="5"/>
  <c r="S191" i="5"/>
  <c r="V191" i="5" s="1"/>
  <c r="R191" i="5"/>
  <c r="X191" i="5" s="1"/>
  <c r="L191" i="5"/>
  <c r="K191" i="5"/>
  <c r="T190" i="5"/>
  <c r="S190" i="5"/>
  <c r="Y190" i="5" s="1"/>
  <c r="R190" i="5"/>
  <c r="X190" i="5" s="1"/>
  <c r="L190" i="5"/>
  <c r="K190" i="5"/>
  <c r="T189" i="5"/>
  <c r="Z189" i="5" s="1"/>
  <c r="S189" i="5"/>
  <c r="V189" i="5" s="1"/>
  <c r="R189" i="5"/>
  <c r="U189" i="5" s="1"/>
  <c r="L189" i="5"/>
  <c r="K189" i="5"/>
  <c r="T188" i="5"/>
  <c r="S188" i="5"/>
  <c r="Y188" i="5" s="1"/>
  <c r="R188" i="5"/>
  <c r="L188" i="5"/>
  <c r="K188" i="5"/>
  <c r="T187" i="5"/>
  <c r="Z187" i="5" s="1"/>
  <c r="S187" i="5"/>
  <c r="Y187" i="5" s="1"/>
  <c r="R187" i="5"/>
  <c r="X187" i="5" s="1"/>
  <c r="L187" i="5"/>
  <c r="K187" i="5"/>
  <c r="T186" i="5"/>
  <c r="W186" i="5" s="1"/>
  <c r="S186" i="5"/>
  <c r="V186" i="5" s="1"/>
  <c r="R186" i="5"/>
  <c r="U186" i="5" s="1"/>
  <c r="L186" i="5"/>
  <c r="K186" i="5"/>
  <c r="T185" i="5"/>
  <c r="Z185" i="5" s="1"/>
  <c r="S185" i="5"/>
  <c r="R185" i="5"/>
  <c r="X185" i="5" s="1"/>
  <c r="L185" i="5"/>
  <c r="K185" i="5"/>
  <c r="T184" i="5"/>
  <c r="Z184" i="5" s="1"/>
  <c r="S184" i="5"/>
  <c r="Y184" i="5" s="1"/>
  <c r="R184" i="5"/>
  <c r="U184" i="5" s="1"/>
  <c r="L184" i="5"/>
  <c r="K184" i="5"/>
  <c r="T183" i="5"/>
  <c r="W183" i="5" s="1"/>
  <c r="S183" i="5"/>
  <c r="V183" i="5" s="1"/>
  <c r="R183" i="5"/>
  <c r="X183" i="5" s="1"/>
  <c r="L183" i="5"/>
  <c r="K183" i="5"/>
  <c r="T182" i="5"/>
  <c r="S182" i="5"/>
  <c r="Y182" i="5" s="1"/>
  <c r="R182" i="5"/>
  <c r="X182" i="5" s="1"/>
  <c r="L182" i="5"/>
  <c r="K182" i="5"/>
  <c r="T181" i="5"/>
  <c r="Z181" i="5" s="1"/>
  <c r="S181" i="5"/>
  <c r="V181" i="5" s="1"/>
  <c r="R181" i="5"/>
  <c r="U181" i="5" s="1"/>
  <c r="L181" i="5"/>
  <c r="K181" i="5"/>
  <c r="T180" i="5"/>
  <c r="W180" i="5" s="1"/>
  <c r="S180" i="5"/>
  <c r="Y180" i="5" s="1"/>
  <c r="R180" i="5"/>
  <c r="L180" i="5"/>
  <c r="K180" i="5"/>
  <c r="T179" i="5"/>
  <c r="Z179" i="5" s="1"/>
  <c r="S179" i="5"/>
  <c r="V179" i="5" s="1"/>
  <c r="R179" i="5"/>
  <c r="X179" i="5" s="1"/>
  <c r="L179" i="5"/>
  <c r="K179" i="5"/>
  <c r="T178" i="5"/>
  <c r="W178" i="5" s="1"/>
  <c r="S178" i="5"/>
  <c r="V178" i="5" s="1"/>
  <c r="R178" i="5"/>
  <c r="U178" i="5" s="1"/>
  <c r="L178" i="5"/>
  <c r="K178" i="5"/>
  <c r="T177" i="5"/>
  <c r="Z177" i="5" s="1"/>
  <c r="S177" i="5"/>
  <c r="R177" i="5"/>
  <c r="U177" i="5" s="1"/>
  <c r="L177" i="5"/>
  <c r="K177" i="5"/>
  <c r="T176" i="5"/>
  <c r="W176" i="5" s="1"/>
  <c r="S176" i="5"/>
  <c r="Y176" i="5" s="1"/>
  <c r="R176" i="5"/>
  <c r="U176" i="5" s="1"/>
  <c r="L176" i="5"/>
  <c r="K176" i="5"/>
  <c r="T175" i="5"/>
  <c r="W175" i="5" s="1"/>
  <c r="S175" i="5"/>
  <c r="V175" i="5" s="1"/>
  <c r="R175" i="5"/>
  <c r="X175" i="5" s="1"/>
  <c r="L175" i="5"/>
  <c r="K175" i="5"/>
  <c r="T174" i="5"/>
  <c r="S174" i="5"/>
  <c r="V174" i="5" s="1"/>
  <c r="R174" i="5"/>
  <c r="U174" i="5" s="1"/>
  <c r="L174" i="5"/>
  <c r="K174" i="5"/>
  <c r="T173" i="5"/>
  <c r="Z173" i="5" s="1"/>
  <c r="S173" i="5"/>
  <c r="V173" i="5" s="1"/>
  <c r="R173" i="5"/>
  <c r="U173" i="5" s="1"/>
  <c r="L173" i="5"/>
  <c r="K173" i="5"/>
  <c r="T172" i="5"/>
  <c r="W172" i="5" s="1"/>
  <c r="S172" i="5"/>
  <c r="Y172" i="5" s="1"/>
  <c r="R172" i="5"/>
  <c r="L172" i="5"/>
  <c r="K172" i="5"/>
  <c r="T171" i="5"/>
  <c r="Z171" i="5" s="1"/>
  <c r="S171" i="5"/>
  <c r="V171" i="5" s="1"/>
  <c r="R171" i="5"/>
  <c r="X171" i="5" s="1"/>
  <c r="L171" i="5"/>
  <c r="K171" i="5"/>
  <c r="T170" i="5"/>
  <c r="W170" i="5" s="1"/>
  <c r="S170" i="5"/>
  <c r="V170" i="5" s="1"/>
  <c r="R170" i="5"/>
  <c r="U170" i="5" s="1"/>
  <c r="L170" i="5"/>
  <c r="K170" i="5"/>
  <c r="T169" i="5"/>
  <c r="Z169" i="5" s="1"/>
  <c r="S169" i="5"/>
  <c r="R169" i="5"/>
  <c r="U169" i="5" s="1"/>
  <c r="L169" i="5"/>
  <c r="K169" i="5"/>
  <c r="T168" i="5"/>
  <c r="W168" i="5" s="1"/>
  <c r="S168" i="5"/>
  <c r="Y168" i="5" s="1"/>
  <c r="R168" i="5"/>
  <c r="U168" i="5" s="1"/>
  <c r="L168" i="5"/>
  <c r="K168" i="5"/>
  <c r="T167" i="5"/>
  <c r="W167" i="5" s="1"/>
  <c r="S167" i="5"/>
  <c r="V167" i="5" s="1"/>
  <c r="R167" i="5"/>
  <c r="X167" i="5" s="1"/>
  <c r="L167" i="5"/>
  <c r="K167" i="5"/>
  <c r="T166" i="5"/>
  <c r="Z166" i="5" s="1"/>
  <c r="S166" i="5"/>
  <c r="R166" i="5"/>
  <c r="X166" i="5" s="1"/>
  <c r="L166" i="5"/>
  <c r="K166" i="5"/>
  <c r="T165" i="5"/>
  <c r="Z165" i="5" s="1"/>
  <c r="S165" i="5"/>
  <c r="Y165" i="5" s="1"/>
  <c r="R165" i="5"/>
  <c r="U165" i="5" s="1"/>
  <c r="L165" i="5"/>
  <c r="K165" i="5"/>
  <c r="T164" i="5"/>
  <c r="W164" i="5" s="1"/>
  <c r="S164" i="5"/>
  <c r="V164" i="5" s="1"/>
  <c r="R164" i="5"/>
  <c r="X164" i="5" s="1"/>
  <c r="L164" i="5"/>
  <c r="K164" i="5"/>
  <c r="T163" i="5"/>
  <c r="S163" i="5"/>
  <c r="V163" i="5" s="1"/>
  <c r="R163" i="5"/>
  <c r="X163" i="5" s="1"/>
  <c r="L163" i="5"/>
  <c r="K163" i="5"/>
  <c r="T162" i="5"/>
  <c r="Z162" i="5" s="1"/>
  <c r="S162" i="5"/>
  <c r="V162" i="5" s="1"/>
  <c r="R162" i="5"/>
  <c r="U162" i="5" s="1"/>
  <c r="L162" i="5"/>
  <c r="K162" i="5"/>
  <c r="T161" i="5"/>
  <c r="W161" i="5" s="1"/>
  <c r="S161" i="5"/>
  <c r="Y161" i="5" s="1"/>
  <c r="R161" i="5"/>
  <c r="L161" i="5"/>
  <c r="K161" i="5"/>
  <c r="T160" i="5"/>
  <c r="W160" i="5" s="1"/>
  <c r="S160" i="5"/>
  <c r="Y160" i="5" s="1"/>
  <c r="R160" i="5"/>
  <c r="X160" i="5" s="1"/>
  <c r="L160" i="5"/>
  <c r="K160" i="5"/>
  <c r="T159" i="5"/>
  <c r="W159" i="5" s="1"/>
  <c r="S159" i="5"/>
  <c r="V159" i="5" s="1"/>
  <c r="R159" i="5"/>
  <c r="U159" i="5" s="1"/>
  <c r="L159" i="5"/>
  <c r="K159" i="5"/>
  <c r="T158" i="5"/>
  <c r="Z158" i="5" s="1"/>
  <c r="S158" i="5"/>
  <c r="R158" i="5"/>
  <c r="U158" i="5" s="1"/>
  <c r="L158" i="5"/>
  <c r="K158" i="5"/>
  <c r="T157" i="5"/>
  <c r="W157" i="5" s="1"/>
  <c r="S157" i="5"/>
  <c r="Y157" i="5" s="1"/>
  <c r="R157" i="5"/>
  <c r="U157" i="5" s="1"/>
  <c r="L157" i="5"/>
  <c r="K157" i="5"/>
  <c r="T156" i="5"/>
  <c r="W156" i="5" s="1"/>
  <c r="S156" i="5"/>
  <c r="V156" i="5" s="1"/>
  <c r="R156" i="5"/>
  <c r="X156" i="5" s="1"/>
  <c r="L156" i="5"/>
  <c r="K156" i="5"/>
  <c r="T155" i="5"/>
  <c r="S155" i="5"/>
  <c r="V155" i="5" s="1"/>
  <c r="R155" i="5"/>
  <c r="X155" i="5" s="1"/>
  <c r="L155" i="5"/>
  <c r="K155" i="5"/>
  <c r="T154" i="5"/>
  <c r="Z154" i="5" s="1"/>
  <c r="S154" i="5"/>
  <c r="V154" i="5" s="1"/>
  <c r="R154" i="5"/>
  <c r="U154" i="5" s="1"/>
  <c r="L154" i="5"/>
  <c r="K154" i="5"/>
  <c r="T153" i="5"/>
  <c r="W153" i="5" s="1"/>
  <c r="S153" i="5"/>
  <c r="Y153" i="5" s="1"/>
  <c r="R153" i="5"/>
  <c r="L153" i="5"/>
  <c r="K153" i="5"/>
  <c r="T152" i="5"/>
  <c r="Z152" i="5" s="1"/>
  <c r="S152" i="5"/>
  <c r="Y152" i="5" s="1"/>
  <c r="R152" i="5"/>
  <c r="X152" i="5" s="1"/>
  <c r="L152" i="5"/>
  <c r="K152" i="5"/>
  <c r="T151" i="5"/>
  <c r="W151" i="5" s="1"/>
  <c r="S151" i="5"/>
  <c r="V151" i="5" s="1"/>
  <c r="R151" i="5"/>
  <c r="U151" i="5" s="1"/>
  <c r="L151" i="5"/>
  <c r="K151" i="5"/>
  <c r="T150" i="5"/>
  <c r="Z150" i="5" s="1"/>
  <c r="S150" i="5"/>
  <c r="R150" i="5"/>
  <c r="U150" i="5" s="1"/>
  <c r="L150" i="5"/>
  <c r="K150" i="5"/>
  <c r="T149" i="5"/>
  <c r="Z149" i="5" s="1"/>
  <c r="S149" i="5"/>
  <c r="Y149" i="5" s="1"/>
  <c r="R149" i="5"/>
  <c r="U149" i="5" s="1"/>
  <c r="L149" i="5"/>
  <c r="K149" i="5"/>
  <c r="T148" i="5"/>
  <c r="W148" i="5" s="1"/>
  <c r="S148" i="5"/>
  <c r="V148" i="5" s="1"/>
  <c r="R148" i="5"/>
  <c r="X148" i="5" s="1"/>
  <c r="L148" i="5"/>
  <c r="K148" i="5"/>
  <c r="T147" i="5"/>
  <c r="S147" i="5"/>
  <c r="Y147" i="5" s="1"/>
  <c r="R147" i="5"/>
  <c r="U147" i="5" s="1"/>
  <c r="L147" i="5"/>
  <c r="K147" i="5"/>
  <c r="T146" i="5"/>
  <c r="Z146" i="5" s="1"/>
  <c r="S146" i="5"/>
  <c r="V146" i="5" s="1"/>
  <c r="R146" i="5"/>
  <c r="U146" i="5" s="1"/>
  <c r="L146" i="5"/>
  <c r="K146" i="5"/>
  <c r="T145" i="5"/>
  <c r="Z145" i="5" s="1"/>
  <c r="S145" i="5"/>
  <c r="Y145" i="5" s="1"/>
  <c r="R145" i="5"/>
  <c r="L145" i="5"/>
  <c r="K145" i="5"/>
  <c r="T144" i="5"/>
  <c r="Z144" i="5" s="1"/>
  <c r="S144" i="5"/>
  <c r="Y144" i="5" s="1"/>
  <c r="R144" i="5"/>
  <c r="X144" i="5" s="1"/>
  <c r="L144" i="5"/>
  <c r="K144" i="5"/>
  <c r="T143" i="5"/>
  <c r="W143" i="5" s="1"/>
  <c r="S143" i="5"/>
  <c r="V143" i="5" s="1"/>
  <c r="R143" i="5"/>
  <c r="U143" i="5" s="1"/>
  <c r="L143" i="5"/>
  <c r="K143" i="5"/>
  <c r="T142" i="5"/>
  <c r="Z142" i="5" s="1"/>
  <c r="S142" i="5"/>
  <c r="R142" i="5"/>
  <c r="X142" i="5" s="1"/>
  <c r="L142" i="5"/>
  <c r="K142" i="5"/>
  <c r="T141" i="5"/>
  <c r="Z141" i="5" s="1"/>
  <c r="S141" i="5"/>
  <c r="Y141" i="5" s="1"/>
  <c r="R141" i="5"/>
  <c r="U141" i="5" s="1"/>
  <c r="L141" i="5"/>
  <c r="K141" i="5"/>
  <c r="T140" i="5"/>
  <c r="W140" i="5" s="1"/>
  <c r="S140" i="5"/>
  <c r="V140" i="5" s="1"/>
  <c r="R140" i="5"/>
  <c r="X140" i="5" s="1"/>
  <c r="L140" i="5"/>
  <c r="K140" i="5"/>
  <c r="T139" i="5"/>
  <c r="S139" i="5"/>
  <c r="Y139" i="5" s="1"/>
  <c r="R139" i="5"/>
  <c r="X139" i="5" s="1"/>
  <c r="L139" i="5"/>
  <c r="K139" i="5"/>
  <c r="T138" i="5"/>
  <c r="Z138" i="5" s="1"/>
  <c r="S138" i="5"/>
  <c r="Y138" i="5" s="1"/>
  <c r="R138" i="5"/>
  <c r="U138" i="5" s="1"/>
  <c r="L138" i="5"/>
  <c r="K138" i="5"/>
  <c r="T137" i="5"/>
  <c r="Z137" i="5" s="1"/>
  <c r="S137" i="5"/>
  <c r="Y137" i="5" s="1"/>
  <c r="R137" i="5"/>
  <c r="L137" i="5"/>
  <c r="K137" i="5"/>
  <c r="T136" i="5"/>
  <c r="Z136" i="5" s="1"/>
  <c r="S136" i="5"/>
  <c r="Y136" i="5" s="1"/>
  <c r="R136" i="5"/>
  <c r="X136" i="5" s="1"/>
  <c r="L136" i="5"/>
  <c r="K136" i="5"/>
  <c r="T135" i="5"/>
  <c r="Z135" i="5" s="1"/>
  <c r="S135" i="5"/>
  <c r="V135" i="5" s="1"/>
  <c r="R135" i="5"/>
  <c r="U135" i="5" s="1"/>
  <c r="L135" i="5"/>
  <c r="K135" i="5"/>
  <c r="T134" i="5"/>
  <c r="W134" i="5" s="1"/>
  <c r="S134" i="5"/>
  <c r="R134" i="5"/>
  <c r="X134" i="5" s="1"/>
  <c r="L134" i="5"/>
  <c r="K134" i="5"/>
  <c r="T133" i="5"/>
  <c r="Z133" i="5" s="1"/>
  <c r="S133" i="5"/>
  <c r="Y133" i="5" s="1"/>
  <c r="R133" i="5"/>
  <c r="X133" i="5" s="1"/>
  <c r="L133" i="5"/>
  <c r="K133" i="5"/>
  <c r="T132" i="5"/>
  <c r="W132" i="5" s="1"/>
  <c r="S132" i="5"/>
  <c r="Y132" i="5" s="1"/>
  <c r="R132" i="5"/>
  <c r="X132" i="5" s="1"/>
  <c r="L132" i="5"/>
  <c r="K132" i="5"/>
  <c r="T131" i="5"/>
  <c r="Z131" i="5" s="1"/>
  <c r="S131" i="5"/>
  <c r="Y131" i="5" s="1"/>
  <c r="R131" i="5"/>
  <c r="X131" i="5" s="1"/>
  <c r="L131" i="5"/>
  <c r="K131" i="5"/>
  <c r="T130" i="5"/>
  <c r="Z130" i="5" s="1"/>
  <c r="S130" i="5"/>
  <c r="V130" i="5" s="1"/>
  <c r="R130" i="5"/>
  <c r="X130" i="5" s="1"/>
  <c r="L130" i="5"/>
  <c r="K130" i="5"/>
  <c r="T129" i="5"/>
  <c r="Z129" i="5" s="1"/>
  <c r="S129" i="5"/>
  <c r="Y129" i="5" s="1"/>
  <c r="R129" i="5"/>
  <c r="X129" i="5" s="1"/>
  <c r="L129" i="5"/>
  <c r="K129" i="5"/>
  <c r="T128" i="5"/>
  <c r="Z128" i="5" s="1"/>
  <c r="S128" i="5"/>
  <c r="Y128" i="5" s="1"/>
  <c r="R128" i="5"/>
  <c r="X128" i="5" s="1"/>
  <c r="L128" i="5"/>
  <c r="K128" i="5"/>
  <c r="T127" i="5"/>
  <c r="W127" i="5" s="1"/>
  <c r="S127" i="5"/>
  <c r="Y127" i="5" s="1"/>
  <c r="R127" i="5"/>
  <c r="U127" i="5" s="1"/>
  <c r="L127" i="5"/>
  <c r="K127" i="5"/>
  <c r="T126" i="5"/>
  <c r="Z126" i="5" s="1"/>
  <c r="S126" i="5"/>
  <c r="Y126" i="5" s="1"/>
  <c r="R126" i="5"/>
  <c r="X126" i="5" s="1"/>
  <c r="L126" i="5"/>
  <c r="K126" i="5"/>
  <c r="T125" i="5"/>
  <c r="Z125" i="5" s="1"/>
  <c r="S125" i="5"/>
  <c r="Y125" i="5" s="1"/>
  <c r="R125" i="5"/>
  <c r="U125" i="5" s="1"/>
  <c r="L125" i="5"/>
  <c r="K125" i="5"/>
  <c r="T124" i="5"/>
  <c r="Z124" i="5" s="1"/>
  <c r="S124" i="5"/>
  <c r="V124" i="5" s="1"/>
  <c r="R124" i="5"/>
  <c r="X124" i="5" s="1"/>
  <c r="L124" i="5"/>
  <c r="K124" i="5"/>
  <c r="T123" i="5"/>
  <c r="W123" i="5" s="1"/>
  <c r="S123" i="5"/>
  <c r="Y123" i="5" s="1"/>
  <c r="R123" i="5"/>
  <c r="X123" i="5" s="1"/>
  <c r="L123" i="5"/>
  <c r="K123" i="5"/>
  <c r="T122" i="5"/>
  <c r="W122" i="5" s="1"/>
  <c r="S122" i="5"/>
  <c r="V122" i="5" s="1"/>
  <c r="R122" i="5"/>
  <c r="X122" i="5" s="1"/>
  <c r="L122" i="5"/>
  <c r="K122" i="5"/>
  <c r="T121" i="5"/>
  <c r="W121" i="5" s="1"/>
  <c r="S121" i="5"/>
  <c r="Y121" i="5" s="1"/>
  <c r="R121" i="5"/>
  <c r="U121" i="5" s="1"/>
  <c r="L121" i="5"/>
  <c r="K121" i="5"/>
  <c r="T120" i="5"/>
  <c r="Z120" i="5" s="1"/>
  <c r="S120" i="5"/>
  <c r="Y120" i="5" s="1"/>
  <c r="R120" i="5"/>
  <c r="U120" i="5" s="1"/>
  <c r="L120" i="5"/>
  <c r="K120" i="5"/>
  <c r="T119" i="5"/>
  <c r="W119" i="5" s="1"/>
  <c r="S119" i="5"/>
  <c r="Y119" i="5" s="1"/>
  <c r="R119" i="5"/>
  <c r="U119" i="5" s="1"/>
  <c r="L119" i="5"/>
  <c r="K119" i="5"/>
  <c r="T118" i="5"/>
  <c r="Z118" i="5" s="1"/>
  <c r="S118" i="5"/>
  <c r="Y118" i="5" s="1"/>
  <c r="R118" i="5"/>
  <c r="X118" i="5" s="1"/>
  <c r="L118" i="5"/>
  <c r="K118" i="5"/>
  <c r="T117" i="5"/>
  <c r="Z117" i="5" s="1"/>
  <c r="S117" i="5"/>
  <c r="Y117" i="5" s="1"/>
  <c r="R117" i="5"/>
  <c r="U117" i="5" s="1"/>
  <c r="L117" i="5"/>
  <c r="K117" i="5"/>
  <c r="T116" i="5"/>
  <c r="Z116" i="5" s="1"/>
  <c r="S116" i="5"/>
  <c r="V116" i="5" s="1"/>
  <c r="R116" i="5"/>
  <c r="X116" i="5" s="1"/>
  <c r="L116" i="5"/>
  <c r="K116" i="5"/>
  <c r="T115" i="5"/>
  <c r="Z115" i="5" s="1"/>
  <c r="S115" i="5"/>
  <c r="Y115" i="5" s="1"/>
  <c r="R115" i="5"/>
  <c r="X115" i="5" s="1"/>
  <c r="L115" i="5"/>
  <c r="K115" i="5"/>
  <c r="T114" i="5"/>
  <c r="Z114" i="5" s="1"/>
  <c r="S114" i="5"/>
  <c r="V114" i="5" s="1"/>
  <c r="R114" i="5"/>
  <c r="X114" i="5" s="1"/>
  <c r="L114" i="5"/>
  <c r="K114" i="5"/>
  <c r="T113" i="5"/>
  <c r="W113" i="5" s="1"/>
  <c r="S113" i="5"/>
  <c r="Y113" i="5" s="1"/>
  <c r="R113" i="5"/>
  <c r="X113" i="5" s="1"/>
  <c r="L113" i="5"/>
  <c r="K113" i="5"/>
  <c r="T112" i="5"/>
  <c r="Z112" i="5" s="1"/>
  <c r="S112" i="5"/>
  <c r="V112" i="5" s="1"/>
  <c r="R112" i="5"/>
  <c r="X112" i="5" s="1"/>
  <c r="L112" i="5"/>
  <c r="K112" i="5"/>
  <c r="T111" i="5"/>
  <c r="W111" i="5" s="1"/>
  <c r="S111" i="5"/>
  <c r="Y111" i="5" s="1"/>
  <c r="R111" i="5"/>
  <c r="U111" i="5" s="1"/>
  <c r="L111" i="5"/>
  <c r="K111" i="5"/>
  <c r="T110" i="5"/>
  <c r="S110" i="5"/>
  <c r="V110" i="5" s="1"/>
  <c r="R110" i="5"/>
  <c r="Q110" i="5"/>
  <c r="L110" i="5"/>
  <c r="K110" i="5"/>
  <c r="T109" i="5"/>
  <c r="W109" i="5" s="1"/>
  <c r="S109" i="5"/>
  <c r="V109" i="5" s="1"/>
  <c r="R109" i="5"/>
  <c r="Q109" i="5"/>
  <c r="L109" i="5"/>
  <c r="K109" i="5"/>
  <c r="T108" i="5"/>
  <c r="Z108" i="5" s="1"/>
  <c r="S108" i="5"/>
  <c r="V108" i="5" s="1"/>
  <c r="R108" i="5"/>
  <c r="X108" i="5" s="1"/>
  <c r="L108" i="5"/>
  <c r="K108" i="5"/>
  <c r="T107" i="5"/>
  <c r="W107" i="5" s="1"/>
  <c r="S107" i="5"/>
  <c r="V107" i="5" s="1"/>
  <c r="R107" i="5"/>
  <c r="U107" i="5" s="1"/>
  <c r="L107" i="5"/>
  <c r="K107" i="5"/>
  <c r="T106" i="5"/>
  <c r="Z106" i="5" s="1"/>
  <c r="S106" i="5"/>
  <c r="V106" i="5" s="1"/>
  <c r="R106" i="5"/>
  <c r="X106" i="5" s="1"/>
  <c r="L106" i="5"/>
  <c r="K106" i="5"/>
  <c r="T105" i="5"/>
  <c r="W105" i="5" s="1"/>
  <c r="S105" i="5"/>
  <c r="Y105" i="5" s="1"/>
  <c r="R105" i="5"/>
  <c r="U105" i="5" s="1"/>
  <c r="L105" i="5"/>
  <c r="K105" i="5"/>
  <c r="T104" i="5"/>
  <c r="Z104" i="5" s="1"/>
  <c r="S104" i="5"/>
  <c r="Y104" i="5" s="1"/>
  <c r="R104" i="5"/>
  <c r="X104" i="5" s="1"/>
  <c r="L104" i="5"/>
  <c r="K104" i="5"/>
  <c r="T103" i="5"/>
  <c r="W103" i="5" s="1"/>
  <c r="S103" i="5"/>
  <c r="Y103" i="5" s="1"/>
  <c r="R103" i="5"/>
  <c r="X103" i="5" s="1"/>
  <c r="L103" i="5"/>
  <c r="K103" i="5"/>
  <c r="T102" i="5"/>
  <c r="Z102" i="5" s="1"/>
  <c r="S102" i="5"/>
  <c r="V102" i="5" s="1"/>
  <c r="R102" i="5"/>
  <c r="X102" i="5" s="1"/>
  <c r="L102" i="5"/>
  <c r="K102" i="5"/>
  <c r="T101" i="5"/>
  <c r="Z101" i="5" s="1"/>
  <c r="S101" i="5"/>
  <c r="Y101" i="5" s="1"/>
  <c r="R101" i="5"/>
  <c r="U101" i="5" s="1"/>
  <c r="L101" i="5"/>
  <c r="K101" i="5"/>
  <c r="T100" i="5"/>
  <c r="Z100" i="5" s="1"/>
  <c r="S100" i="5"/>
  <c r="Y100" i="5" s="1"/>
  <c r="R100" i="5"/>
  <c r="X100" i="5" s="1"/>
  <c r="L100" i="5"/>
  <c r="K100" i="5"/>
  <c r="T99" i="5"/>
  <c r="W99" i="5" s="1"/>
  <c r="S99" i="5"/>
  <c r="Y99" i="5" s="1"/>
  <c r="R99" i="5"/>
  <c r="U99" i="5" s="1"/>
  <c r="L99" i="5"/>
  <c r="K99" i="5"/>
  <c r="T98" i="5"/>
  <c r="Z98" i="5" s="1"/>
  <c r="S98" i="5"/>
  <c r="V98" i="5" s="1"/>
  <c r="R98" i="5"/>
  <c r="X98" i="5" s="1"/>
  <c r="L98" i="5"/>
  <c r="K98" i="5"/>
  <c r="T97" i="5"/>
  <c r="W97" i="5" s="1"/>
  <c r="S97" i="5"/>
  <c r="V97" i="5" s="1"/>
  <c r="R97" i="5"/>
  <c r="U97" i="5" s="1"/>
  <c r="L97" i="5"/>
  <c r="K97" i="5"/>
  <c r="T96" i="5"/>
  <c r="W96" i="5" s="1"/>
  <c r="S96" i="5"/>
  <c r="V96" i="5" s="1"/>
  <c r="R96" i="5"/>
  <c r="X96" i="5" s="1"/>
  <c r="L96" i="5"/>
  <c r="K96" i="5"/>
  <c r="T95" i="5"/>
  <c r="W95" i="5" s="1"/>
  <c r="S95" i="5"/>
  <c r="Y95" i="5" s="1"/>
  <c r="R95" i="5"/>
  <c r="U95" i="5" s="1"/>
  <c r="L95" i="5"/>
  <c r="K95" i="5"/>
  <c r="T94" i="5"/>
  <c r="Z94" i="5" s="1"/>
  <c r="S94" i="5"/>
  <c r="V94" i="5" s="1"/>
  <c r="R94" i="5"/>
  <c r="U94" i="5" s="1"/>
  <c r="L94" i="5"/>
  <c r="K94" i="5"/>
  <c r="T93" i="5"/>
  <c r="W93" i="5" s="1"/>
  <c r="S93" i="5"/>
  <c r="Y93" i="5" s="1"/>
  <c r="R93" i="5"/>
  <c r="X93" i="5" s="1"/>
  <c r="L93" i="5"/>
  <c r="K93" i="5"/>
  <c r="T92" i="5"/>
  <c r="Z92" i="5" s="1"/>
  <c r="S92" i="5"/>
  <c r="Y92" i="5" s="1"/>
  <c r="R92" i="5"/>
  <c r="X92" i="5" s="1"/>
  <c r="P92" i="5"/>
  <c r="L92" i="5"/>
  <c r="K92" i="5"/>
  <c r="T91" i="5"/>
  <c r="S91" i="5"/>
  <c r="V91" i="5" s="1"/>
  <c r="R91" i="5"/>
  <c r="Q91" i="5"/>
  <c r="L91" i="5"/>
  <c r="K91" i="5"/>
  <c r="T90" i="5"/>
  <c r="S90" i="5"/>
  <c r="V90" i="5" s="1"/>
  <c r="R90" i="5"/>
  <c r="Q90" i="5"/>
  <c r="L90" i="5"/>
  <c r="K90" i="5"/>
  <c r="T89" i="5"/>
  <c r="S89" i="5"/>
  <c r="V89" i="5" s="1"/>
  <c r="R89" i="5"/>
  <c r="Q89" i="5"/>
  <c r="L89" i="5"/>
  <c r="K89" i="5"/>
  <c r="T88" i="5"/>
  <c r="S88" i="5"/>
  <c r="R88" i="5"/>
  <c r="Q88" i="5"/>
  <c r="P88" i="5"/>
  <c r="L88" i="5"/>
  <c r="K88" i="5"/>
  <c r="T87" i="5"/>
  <c r="W87" i="5" s="1"/>
  <c r="S87" i="5"/>
  <c r="R87" i="5"/>
  <c r="Q87" i="5"/>
  <c r="L87" i="5"/>
  <c r="K87" i="5"/>
  <c r="T86" i="5"/>
  <c r="Z86" i="5" s="1"/>
  <c r="S86" i="5"/>
  <c r="Y86" i="5" s="1"/>
  <c r="R86" i="5"/>
  <c r="U86" i="5" s="1"/>
  <c r="L86" i="5"/>
  <c r="K86" i="5"/>
  <c r="T85" i="5"/>
  <c r="W85" i="5" s="1"/>
  <c r="S85" i="5"/>
  <c r="Y85" i="5" s="1"/>
  <c r="R85" i="5"/>
  <c r="X85" i="5" s="1"/>
  <c r="L85" i="5"/>
  <c r="K85" i="5"/>
  <c r="T84" i="5"/>
  <c r="Z84" i="5" s="1"/>
  <c r="S84" i="5"/>
  <c r="Y84" i="5" s="1"/>
  <c r="R84" i="5"/>
  <c r="X84" i="5" s="1"/>
  <c r="L84" i="5"/>
  <c r="K84" i="5"/>
  <c r="T83" i="5"/>
  <c r="Z83" i="5" s="1"/>
  <c r="S83" i="5"/>
  <c r="V83" i="5" s="1"/>
  <c r="R83" i="5"/>
  <c r="U83" i="5" s="1"/>
  <c r="L83" i="5"/>
  <c r="K83" i="5"/>
  <c r="T82" i="5"/>
  <c r="W82" i="5" s="1"/>
  <c r="S82" i="5"/>
  <c r="Y82" i="5" s="1"/>
  <c r="R82" i="5"/>
  <c r="X82" i="5" s="1"/>
  <c r="L82" i="5"/>
  <c r="K82" i="5"/>
  <c r="T81" i="5"/>
  <c r="Z81" i="5" s="1"/>
  <c r="S81" i="5"/>
  <c r="V81" i="5" s="1"/>
  <c r="R81" i="5"/>
  <c r="X81" i="5" s="1"/>
  <c r="L81" i="5"/>
  <c r="K81" i="5"/>
  <c r="T80" i="5"/>
  <c r="W80" i="5" s="1"/>
  <c r="S80" i="5"/>
  <c r="V80" i="5" s="1"/>
  <c r="R80" i="5"/>
  <c r="U80" i="5" s="1"/>
  <c r="L80" i="5"/>
  <c r="K80" i="5"/>
  <c r="T79" i="5"/>
  <c r="Z79" i="5" s="1"/>
  <c r="S79" i="5"/>
  <c r="Y79" i="5" s="1"/>
  <c r="R79" i="5"/>
  <c r="X79" i="5" s="1"/>
  <c r="L79" i="5"/>
  <c r="K79" i="5"/>
  <c r="T78" i="5"/>
  <c r="W78" i="5" s="1"/>
  <c r="S78" i="5"/>
  <c r="Y78" i="5" s="1"/>
  <c r="R78" i="5"/>
  <c r="U78" i="5" s="1"/>
  <c r="L78" i="5"/>
  <c r="K78" i="5"/>
  <c r="T77" i="5"/>
  <c r="Z77" i="5" s="1"/>
  <c r="S77" i="5"/>
  <c r="V77" i="5" s="1"/>
  <c r="R77" i="5"/>
  <c r="X77" i="5" s="1"/>
  <c r="L77" i="5"/>
  <c r="K77" i="5"/>
  <c r="T76" i="5"/>
  <c r="Z76" i="5" s="1"/>
  <c r="S76" i="5"/>
  <c r="Y76" i="5" s="1"/>
  <c r="R76" i="5"/>
  <c r="X76" i="5" s="1"/>
  <c r="L76" i="5"/>
  <c r="K76" i="5"/>
  <c r="T75" i="5"/>
  <c r="Z75" i="5" s="1"/>
  <c r="S75" i="5"/>
  <c r="V75" i="5" s="1"/>
  <c r="R75" i="5"/>
  <c r="U75" i="5" s="1"/>
  <c r="L75" i="5"/>
  <c r="K75" i="5"/>
  <c r="T74" i="5"/>
  <c r="W74" i="5" s="1"/>
  <c r="S74" i="5"/>
  <c r="Y74" i="5" s="1"/>
  <c r="R74" i="5"/>
  <c r="X74" i="5" s="1"/>
  <c r="L74" i="5"/>
  <c r="K74" i="5"/>
  <c r="T73" i="5"/>
  <c r="Z73" i="5" s="1"/>
  <c r="S73" i="5"/>
  <c r="Y73" i="5" s="1"/>
  <c r="R73" i="5"/>
  <c r="X73" i="5" s="1"/>
  <c r="L73" i="5"/>
  <c r="K73" i="5"/>
  <c r="T72" i="5"/>
  <c r="W72" i="5" s="1"/>
  <c r="S72" i="5"/>
  <c r="V72" i="5" s="1"/>
  <c r="R72" i="5"/>
  <c r="U72" i="5" s="1"/>
  <c r="L72" i="5"/>
  <c r="K72" i="5"/>
  <c r="T71" i="5"/>
  <c r="Z71" i="5" s="1"/>
  <c r="S71" i="5"/>
  <c r="Y71" i="5" s="1"/>
  <c r="R71" i="5"/>
  <c r="X71" i="5" s="1"/>
  <c r="L71" i="5"/>
  <c r="K71" i="5"/>
  <c r="T70" i="5"/>
  <c r="W70" i="5" s="1"/>
  <c r="S70" i="5"/>
  <c r="Y70" i="5" s="1"/>
  <c r="R70" i="5"/>
  <c r="U70" i="5" s="1"/>
  <c r="L70" i="5"/>
  <c r="K70" i="5"/>
  <c r="T69" i="5"/>
  <c r="W69" i="5" s="1"/>
  <c r="S69" i="5"/>
  <c r="V69" i="5" s="1"/>
  <c r="R69" i="5"/>
  <c r="X69" i="5" s="1"/>
  <c r="L69" i="5"/>
  <c r="K69" i="5"/>
  <c r="T68" i="5"/>
  <c r="Z68" i="5" s="1"/>
  <c r="S68" i="5"/>
  <c r="Y68" i="5" s="1"/>
  <c r="R68" i="5"/>
  <c r="X68" i="5" s="1"/>
  <c r="L68" i="5"/>
  <c r="K68" i="5"/>
  <c r="T67" i="5"/>
  <c r="Z67" i="5" s="1"/>
  <c r="S67" i="5"/>
  <c r="Y67" i="5" s="1"/>
  <c r="R67" i="5"/>
  <c r="U67" i="5" s="1"/>
  <c r="L67" i="5"/>
  <c r="K67" i="5"/>
  <c r="T66" i="5"/>
  <c r="W66" i="5" s="1"/>
  <c r="S66" i="5"/>
  <c r="Y66" i="5" s="1"/>
  <c r="R66" i="5"/>
  <c r="X66" i="5" s="1"/>
  <c r="L66" i="5"/>
  <c r="K66" i="5"/>
  <c r="T65" i="5"/>
  <c r="Z65" i="5" s="1"/>
  <c r="S65" i="5"/>
  <c r="Y65" i="5" s="1"/>
  <c r="R65" i="5"/>
  <c r="X65" i="5" s="1"/>
  <c r="L65" i="5"/>
  <c r="K65" i="5"/>
  <c r="T64" i="5"/>
  <c r="Z64" i="5" s="1"/>
  <c r="S64" i="5"/>
  <c r="Y64" i="5" s="1"/>
  <c r="R64" i="5"/>
  <c r="U64" i="5" s="1"/>
  <c r="L64" i="5"/>
  <c r="K64" i="5"/>
  <c r="T63" i="5"/>
  <c r="Z63" i="5" s="1"/>
  <c r="S63" i="5"/>
  <c r="V63" i="5" s="1"/>
  <c r="R63" i="5"/>
  <c r="X63" i="5" s="1"/>
  <c r="L63" i="5"/>
  <c r="K63" i="5"/>
  <c r="T62" i="5"/>
  <c r="W62" i="5" s="1"/>
  <c r="S62" i="5"/>
  <c r="Y62" i="5" s="1"/>
  <c r="R62" i="5"/>
  <c r="X62" i="5" s="1"/>
  <c r="L62" i="5"/>
  <c r="K62" i="5"/>
  <c r="T61" i="5"/>
  <c r="Z61" i="5" s="1"/>
  <c r="S61" i="5"/>
  <c r="V61" i="5" s="1"/>
  <c r="R61" i="5"/>
  <c r="X61" i="5" s="1"/>
  <c r="L61" i="5"/>
  <c r="K61" i="5"/>
  <c r="T60" i="5"/>
  <c r="S60" i="5"/>
  <c r="R60" i="5"/>
  <c r="Q60" i="5"/>
  <c r="L60" i="5"/>
  <c r="K60" i="5"/>
  <c r="T59" i="5"/>
  <c r="S59" i="5"/>
  <c r="V59" i="5" s="1"/>
  <c r="R59" i="5"/>
  <c r="U59" i="5" s="1"/>
  <c r="Q59" i="5"/>
  <c r="L59" i="5"/>
  <c r="K59" i="5"/>
  <c r="T58" i="5"/>
  <c r="Z58" i="5" s="1"/>
  <c r="S58" i="5"/>
  <c r="Y58" i="5" s="1"/>
  <c r="R58" i="5"/>
  <c r="X58" i="5" s="1"/>
  <c r="L58" i="5"/>
  <c r="K58" i="5"/>
  <c r="T57" i="5"/>
  <c r="W57" i="5" s="1"/>
  <c r="S57" i="5"/>
  <c r="V57" i="5" s="1"/>
  <c r="R57" i="5"/>
  <c r="X57" i="5" s="1"/>
  <c r="L57" i="5"/>
  <c r="K57" i="5"/>
  <c r="T56" i="5"/>
  <c r="W56" i="5" s="1"/>
  <c r="S56" i="5"/>
  <c r="Y56" i="5" s="1"/>
  <c r="R56" i="5"/>
  <c r="X56" i="5" s="1"/>
  <c r="L56" i="5"/>
  <c r="K56" i="5"/>
  <c r="T55" i="5"/>
  <c r="Z55" i="5" s="1"/>
  <c r="S55" i="5"/>
  <c r="V55" i="5" s="1"/>
  <c r="R55" i="5"/>
  <c r="X55" i="5" s="1"/>
  <c r="L55" i="5"/>
  <c r="K55" i="5"/>
  <c r="T54" i="5"/>
  <c r="W54" i="5" s="1"/>
  <c r="S54" i="5"/>
  <c r="V54" i="5" s="1"/>
  <c r="R54" i="5"/>
  <c r="U54" i="5" s="1"/>
  <c r="L54" i="5"/>
  <c r="K54" i="5"/>
  <c r="T53" i="5"/>
  <c r="Z53" i="5" s="1"/>
  <c r="S53" i="5"/>
  <c r="Y53" i="5" s="1"/>
  <c r="R53" i="5"/>
  <c r="X53" i="5" s="1"/>
  <c r="L53" i="5"/>
  <c r="K53" i="5"/>
  <c r="T52" i="5"/>
  <c r="W52" i="5" s="1"/>
  <c r="S52" i="5"/>
  <c r="Y52" i="5" s="1"/>
  <c r="R52" i="5"/>
  <c r="X52" i="5" s="1"/>
  <c r="L52" i="5"/>
  <c r="K52" i="5"/>
  <c r="T51" i="5"/>
  <c r="W51" i="5" s="1"/>
  <c r="S51" i="5"/>
  <c r="V51" i="5" s="1"/>
  <c r="R51" i="5"/>
  <c r="X51" i="5" s="1"/>
  <c r="L51" i="5"/>
  <c r="K51" i="5"/>
  <c r="T50" i="5"/>
  <c r="Z50" i="5" s="1"/>
  <c r="S50" i="5"/>
  <c r="Y50" i="5" s="1"/>
  <c r="R50" i="5"/>
  <c r="U50" i="5" s="1"/>
  <c r="L50" i="5"/>
  <c r="K50" i="5"/>
  <c r="T49" i="5"/>
  <c r="Z49" i="5" s="1"/>
  <c r="S49" i="5"/>
  <c r="V49" i="5" s="1"/>
  <c r="R49" i="5"/>
  <c r="U49" i="5" s="1"/>
  <c r="L49" i="5"/>
  <c r="K49" i="5"/>
  <c r="T48" i="5"/>
  <c r="W48" i="5" s="1"/>
  <c r="S48" i="5"/>
  <c r="Y48" i="5" s="1"/>
  <c r="R48" i="5"/>
  <c r="X48" i="5" s="1"/>
  <c r="L48" i="5"/>
  <c r="K48" i="5"/>
  <c r="T47" i="5"/>
  <c r="Z47" i="5" s="1"/>
  <c r="S47" i="5"/>
  <c r="Y47" i="5" s="1"/>
  <c r="R47" i="5"/>
  <c r="X47" i="5" s="1"/>
  <c r="L47" i="5"/>
  <c r="K47" i="5"/>
  <c r="T46" i="5"/>
  <c r="Z46" i="5" s="1"/>
  <c r="S46" i="5"/>
  <c r="V46" i="5" s="1"/>
  <c r="R46" i="5"/>
  <c r="U46" i="5" s="1"/>
  <c r="L46" i="5"/>
  <c r="K46" i="5"/>
  <c r="T45" i="5"/>
  <c r="Z45" i="5" s="1"/>
  <c r="S45" i="5"/>
  <c r="Y45" i="5" s="1"/>
  <c r="R45" i="5"/>
  <c r="X45" i="5" s="1"/>
  <c r="L45" i="5"/>
  <c r="K45" i="5"/>
  <c r="T44" i="5"/>
  <c r="W44" i="5" s="1"/>
  <c r="S44" i="5"/>
  <c r="Y44" i="5" s="1"/>
  <c r="R44" i="5"/>
  <c r="U44" i="5" s="1"/>
  <c r="L44" i="5"/>
  <c r="K44" i="5"/>
  <c r="T43" i="5"/>
  <c r="W43" i="5" s="1"/>
  <c r="S43" i="5"/>
  <c r="V43" i="5" s="1"/>
  <c r="R43" i="5"/>
  <c r="X43" i="5" s="1"/>
  <c r="L43" i="5"/>
  <c r="K43" i="5"/>
  <c r="T42" i="5"/>
  <c r="Z42" i="5" s="1"/>
  <c r="S42" i="5"/>
  <c r="Y42" i="5" s="1"/>
  <c r="R42" i="5"/>
  <c r="X42" i="5" s="1"/>
  <c r="L42" i="5"/>
  <c r="K42" i="5"/>
  <c r="T41" i="5"/>
  <c r="Z41" i="5" s="1"/>
  <c r="S41" i="5"/>
  <c r="V41" i="5" s="1"/>
  <c r="R41" i="5"/>
  <c r="U41" i="5" s="1"/>
  <c r="L41" i="5"/>
  <c r="K41" i="5"/>
  <c r="T40" i="5"/>
  <c r="Z40" i="5" s="1"/>
  <c r="S40" i="5"/>
  <c r="Y40" i="5" s="1"/>
  <c r="R40" i="5"/>
  <c r="X40" i="5" s="1"/>
  <c r="L40" i="5"/>
  <c r="K40" i="5"/>
  <c r="T39" i="5"/>
  <c r="Z39" i="5" s="1"/>
  <c r="S39" i="5"/>
  <c r="Y39" i="5" s="1"/>
  <c r="R39" i="5"/>
  <c r="X39" i="5" s="1"/>
  <c r="L39" i="5"/>
  <c r="K39" i="5"/>
  <c r="T38" i="5"/>
  <c r="W38" i="5" s="1"/>
  <c r="S38" i="5"/>
  <c r="Y38" i="5" s="1"/>
  <c r="R38" i="5"/>
  <c r="U38" i="5" s="1"/>
  <c r="L38" i="5"/>
  <c r="K38" i="5"/>
  <c r="T37" i="5"/>
  <c r="Z37" i="5" s="1"/>
  <c r="S37" i="5"/>
  <c r="Y37" i="5" s="1"/>
  <c r="R37" i="5"/>
  <c r="X37" i="5" s="1"/>
  <c r="L37" i="5"/>
  <c r="K37" i="5"/>
  <c r="T36" i="5"/>
  <c r="W36" i="5" s="1"/>
  <c r="S36" i="5"/>
  <c r="Y36" i="5" s="1"/>
  <c r="R36" i="5"/>
  <c r="U36" i="5" s="1"/>
  <c r="L36" i="5"/>
  <c r="K36" i="5"/>
  <c r="T35" i="5"/>
  <c r="W35" i="5" s="1"/>
  <c r="S35" i="5"/>
  <c r="Y35" i="5" s="1"/>
  <c r="R35" i="5"/>
  <c r="X35" i="5" s="1"/>
  <c r="L35" i="5"/>
  <c r="K35" i="5"/>
  <c r="T34" i="5"/>
  <c r="Z34" i="5" s="1"/>
  <c r="S34" i="5"/>
  <c r="Y34" i="5" s="1"/>
  <c r="R34" i="5"/>
  <c r="X34" i="5" s="1"/>
  <c r="P34" i="5"/>
  <c r="L34" i="5"/>
  <c r="K34" i="5"/>
  <c r="T33" i="5"/>
  <c r="Z33" i="5" s="1"/>
  <c r="S33" i="5"/>
  <c r="Y33" i="5" s="1"/>
  <c r="R33" i="5"/>
  <c r="X33" i="5" s="1"/>
  <c r="P33" i="5"/>
  <c r="L33" i="5"/>
  <c r="K33" i="5"/>
  <c r="T32" i="5"/>
  <c r="Z32" i="5" s="1"/>
  <c r="S32" i="5"/>
  <c r="Y32" i="5" s="1"/>
  <c r="R32" i="5"/>
  <c r="X32" i="5" s="1"/>
  <c r="L32" i="5"/>
  <c r="K32" i="5"/>
  <c r="T31" i="5"/>
  <c r="Z31" i="5" s="1"/>
  <c r="S31" i="5"/>
  <c r="V31" i="5" s="1"/>
  <c r="R31" i="5"/>
  <c r="U31" i="5" s="1"/>
  <c r="L31" i="5"/>
  <c r="K31" i="5"/>
  <c r="T30" i="5"/>
  <c r="W30" i="5" s="1"/>
  <c r="S30" i="5"/>
  <c r="Y30" i="5" s="1"/>
  <c r="R30" i="5"/>
  <c r="X30" i="5" s="1"/>
  <c r="L30" i="5"/>
  <c r="K30" i="5"/>
  <c r="T29" i="5"/>
  <c r="Z29" i="5" s="1"/>
  <c r="S29" i="5"/>
  <c r="Y29" i="5" s="1"/>
  <c r="R29" i="5"/>
  <c r="X29" i="5" s="1"/>
  <c r="L29" i="5"/>
  <c r="K29" i="5"/>
  <c r="T28" i="5"/>
  <c r="W28" i="5" s="1"/>
  <c r="S28" i="5"/>
  <c r="V28" i="5" s="1"/>
  <c r="R28" i="5"/>
  <c r="U28" i="5" s="1"/>
  <c r="L28" i="5"/>
  <c r="K28" i="5"/>
  <c r="T27" i="5"/>
  <c r="Z27" i="5" s="1"/>
  <c r="S27" i="5"/>
  <c r="Y27" i="5" s="1"/>
  <c r="R27" i="5"/>
  <c r="X27" i="5" s="1"/>
  <c r="L27" i="5"/>
  <c r="K27" i="5"/>
  <c r="T26" i="5"/>
  <c r="Z26" i="5" s="1"/>
  <c r="S26" i="5"/>
  <c r="Y26" i="5" s="1"/>
  <c r="R26" i="5"/>
  <c r="U26" i="5" s="1"/>
  <c r="L26" i="5"/>
  <c r="K26" i="5"/>
  <c r="T25" i="5"/>
  <c r="W25" i="5" s="1"/>
  <c r="S25" i="5"/>
  <c r="V25" i="5" s="1"/>
  <c r="R25" i="5"/>
  <c r="X25" i="5" s="1"/>
  <c r="L25" i="5"/>
  <c r="K25" i="5"/>
  <c r="T24" i="5"/>
  <c r="Z24" i="5" s="1"/>
  <c r="S24" i="5"/>
  <c r="Y24" i="5" s="1"/>
  <c r="R24" i="5"/>
  <c r="X24" i="5" s="1"/>
  <c r="L24" i="5"/>
  <c r="K24" i="5"/>
  <c r="T23" i="5"/>
  <c r="Z23" i="5" s="1"/>
  <c r="S23" i="5"/>
  <c r="V23" i="5" s="1"/>
  <c r="R23" i="5"/>
  <c r="U23" i="5" s="1"/>
  <c r="L23" i="5"/>
  <c r="K23" i="5"/>
  <c r="T22" i="5"/>
  <c r="W22" i="5" s="1"/>
  <c r="S22" i="5"/>
  <c r="Y22" i="5" s="1"/>
  <c r="R22" i="5"/>
  <c r="X22" i="5" s="1"/>
  <c r="L22" i="5"/>
  <c r="K22" i="5"/>
  <c r="T21" i="5"/>
  <c r="S21" i="5"/>
  <c r="V21" i="5" s="1"/>
  <c r="R21" i="5"/>
  <c r="Q21" i="5"/>
  <c r="L21" i="5"/>
  <c r="K21" i="5"/>
  <c r="T20" i="5"/>
  <c r="S20" i="5"/>
  <c r="R20" i="5"/>
  <c r="Q20" i="5"/>
  <c r="P20" i="5"/>
  <c r="L20" i="5"/>
  <c r="K20" i="5"/>
  <c r="T19" i="5"/>
  <c r="S19" i="5"/>
  <c r="R19" i="5"/>
  <c r="U19" i="5" s="1"/>
  <c r="Q19" i="5"/>
  <c r="L19" i="5"/>
  <c r="K19" i="5"/>
  <c r="T18" i="5"/>
  <c r="W18" i="5" s="1"/>
  <c r="S18" i="5"/>
  <c r="R18" i="5"/>
  <c r="U18" i="5" s="1"/>
  <c r="Q18" i="5"/>
  <c r="L18" i="5"/>
  <c r="K18" i="5"/>
  <c r="T17" i="5"/>
  <c r="S17" i="5"/>
  <c r="R17" i="5"/>
  <c r="Q17" i="5"/>
  <c r="L17" i="5"/>
  <c r="K17" i="5"/>
  <c r="T16" i="5"/>
  <c r="W16" i="5" s="1"/>
  <c r="S16" i="5"/>
  <c r="R16" i="5"/>
  <c r="Q16" i="5"/>
  <c r="L16" i="5"/>
  <c r="K16" i="5"/>
  <c r="T15" i="5"/>
  <c r="S15" i="5"/>
  <c r="R15" i="5"/>
  <c r="Q15" i="5"/>
  <c r="L15" i="5"/>
  <c r="K15" i="5"/>
  <c r="T14" i="5"/>
  <c r="S14" i="5"/>
  <c r="R14" i="5"/>
  <c r="Q14" i="5"/>
  <c r="L14" i="5"/>
  <c r="K14" i="5"/>
  <c r="T13" i="5"/>
  <c r="S13" i="5"/>
  <c r="R13" i="5"/>
  <c r="Q13" i="5"/>
  <c r="L13" i="5"/>
  <c r="K13" i="5"/>
  <c r="T12" i="5"/>
  <c r="W12" i="5" s="1"/>
  <c r="S12" i="5"/>
  <c r="Y12" i="5" s="1"/>
  <c r="R12" i="5"/>
  <c r="X12" i="5" s="1"/>
  <c r="L12" i="5"/>
  <c r="K12" i="5"/>
  <c r="T11" i="5"/>
  <c r="S11" i="5"/>
  <c r="V11" i="5" s="1"/>
  <c r="R11" i="5"/>
  <c r="Q11" i="5"/>
  <c r="L11" i="5"/>
  <c r="K11" i="5"/>
  <c r="T10" i="5"/>
  <c r="W10" i="5" s="1"/>
  <c r="S10" i="5"/>
  <c r="V10" i="5" s="1"/>
  <c r="R10" i="5"/>
  <c r="X10" i="5" s="1"/>
  <c r="L10" i="5"/>
  <c r="K10" i="5"/>
  <c r="T9" i="5"/>
  <c r="S9" i="5"/>
  <c r="R9" i="5"/>
  <c r="Q9" i="5"/>
  <c r="L9" i="5"/>
  <c r="K9" i="5"/>
  <c r="T8" i="5"/>
  <c r="S8" i="5"/>
  <c r="V8" i="5" s="1"/>
  <c r="R8" i="5"/>
  <c r="U8" i="5" s="1"/>
  <c r="Q8" i="5"/>
  <c r="L8" i="5"/>
  <c r="K8" i="5"/>
  <c r="T7" i="5"/>
  <c r="S7" i="5"/>
  <c r="R7" i="5"/>
  <c r="Q7" i="5"/>
  <c r="L7" i="5"/>
  <c r="K7" i="5"/>
  <c r="T6" i="5"/>
  <c r="Z6" i="5" s="1"/>
  <c r="S6" i="5"/>
  <c r="V6" i="5" s="1"/>
  <c r="R6" i="5"/>
  <c r="U6" i="5" s="1"/>
  <c r="L6" i="5"/>
  <c r="K6" i="5"/>
  <c r="T5" i="5"/>
  <c r="Z5" i="5" s="1"/>
  <c r="S5" i="5"/>
  <c r="Y5" i="5" s="1"/>
  <c r="R5" i="5"/>
  <c r="X5" i="5" s="1"/>
  <c r="L5" i="5"/>
  <c r="K5" i="5"/>
  <c r="T4" i="5"/>
  <c r="W4" i="5" s="1"/>
  <c r="S4" i="5"/>
  <c r="Y4" i="5" s="1"/>
  <c r="R4" i="5"/>
  <c r="X4" i="5" s="1"/>
  <c r="L4" i="5"/>
  <c r="K4" i="5"/>
  <c r="T3" i="5"/>
  <c r="W3" i="5" s="1"/>
  <c r="S3" i="5"/>
  <c r="V3" i="5" s="1"/>
  <c r="R3" i="5"/>
  <c r="X3" i="5" s="1"/>
  <c r="L3" i="5"/>
  <c r="K3" i="5"/>
  <c r="T2" i="5"/>
  <c r="Z2" i="5" s="1"/>
  <c r="S2" i="5"/>
  <c r="Y2" i="5" s="1"/>
  <c r="R2" i="5"/>
  <c r="X2" i="5" s="1"/>
  <c r="L2" i="5"/>
  <c r="K2" i="5"/>
  <c r="C673" i="5" l="1"/>
  <c r="W757" i="5"/>
  <c r="K270" i="5"/>
  <c r="X322" i="5"/>
  <c r="X954" i="5"/>
  <c r="X672" i="5"/>
  <c r="U361" i="5"/>
  <c r="Z402" i="5"/>
  <c r="Z672" i="5"/>
  <c r="U789" i="5"/>
  <c r="Z199" i="5"/>
  <c r="Z228" i="5"/>
  <c r="U526" i="5"/>
  <c r="V708" i="5"/>
  <c r="Z775" i="5"/>
  <c r="X351" i="5"/>
  <c r="X355" i="5"/>
  <c r="Y375" i="5"/>
  <c r="U532" i="5"/>
  <c r="V706" i="5"/>
  <c r="X984" i="5"/>
  <c r="W177" i="5"/>
  <c r="Y241" i="5"/>
  <c r="X265" i="5"/>
  <c r="Z326" i="5"/>
  <c r="Y486" i="5"/>
  <c r="V523" i="5"/>
  <c r="V961" i="5"/>
  <c r="V998" i="5"/>
  <c r="X825" i="5"/>
  <c r="Y713" i="5"/>
  <c r="Y719" i="5"/>
  <c r="X864" i="5"/>
  <c r="X49" i="5"/>
  <c r="Z948" i="5"/>
  <c r="Z461" i="5"/>
  <c r="U52" i="5"/>
  <c r="Y378" i="5"/>
  <c r="W771" i="5"/>
  <c r="Y925" i="5"/>
  <c r="X215" i="5"/>
  <c r="Z248" i="5"/>
  <c r="X287" i="5"/>
  <c r="Z368" i="5"/>
  <c r="Y107" i="5"/>
  <c r="U265" i="5"/>
  <c r="V494" i="5"/>
  <c r="X739" i="5"/>
  <c r="W833" i="5"/>
  <c r="U836" i="5"/>
  <c r="W904" i="5"/>
  <c r="Z957" i="5"/>
  <c r="W981" i="5"/>
  <c r="X9" i="5"/>
  <c r="W115" i="5"/>
  <c r="Z134" i="5"/>
  <c r="Y343" i="5"/>
  <c r="X408" i="5"/>
  <c r="X950" i="5"/>
  <c r="Y9" i="5"/>
  <c r="X218" i="5"/>
  <c r="X328" i="5"/>
  <c r="U351" i="5"/>
  <c r="Z394" i="5"/>
  <c r="Z428" i="5"/>
  <c r="Z459" i="5"/>
  <c r="Z464" i="5"/>
  <c r="X726" i="5"/>
  <c r="X900" i="5"/>
  <c r="W358" i="5"/>
  <c r="X18" i="5"/>
  <c r="X293" i="5"/>
  <c r="Y310" i="5"/>
  <c r="X404" i="5"/>
  <c r="Z450" i="5"/>
  <c r="Z646" i="5"/>
  <c r="V428" i="5"/>
  <c r="W890" i="5"/>
  <c r="V952" i="5"/>
  <c r="Z70" i="5"/>
  <c r="V141" i="5"/>
  <c r="U287" i="5"/>
  <c r="Z305" i="5"/>
  <c r="Z645" i="5"/>
  <c r="X703" i="5"/>
  <c r="W708" i="5"/>
  <c r="W728" i="5"/>
  <c r="X376" i="5"/>
  <c r="W641" i="5"/>
  <c r="W644" i="5"/>
  <c r="W692" i="5"/>
  <c r="Y868" i="5"/>
  <c r="Y976" i="5"/>
  <c r="Y1005" i="5"/>
  <c r="Z1016" i="5"/>
  <c r="S672" i="5"/>
  <c r="Y672" i="5" s="1"/>
  <c r="X283" i="5"/>
  <c r="V139" i="5"/>
  <c r="Y170" i="5"/>
  <c r="U182" i="5"/>
  <c r="U218" i="5"/>
  <c r="U251" i="5"/>
  <c r="X270" i="5"/>
  <c r="X308" i="5"/>
  <c r="Y376" i="5"/>
  <c r="X396" i="5"/>
  <c r="W471" i="5"/>
  <c r="W503" i="5"/>
  <c r="X556" i="5"/>
  <c r="V695" i="5"/>
  <c r="W724" i="5"/>
  <c r="V737" i="5"/>
  <c r="V756" i="5"/>
  <c r="X991" i="5"/>
  <c r="U84" i="5"/>
  <c r="U118" i="5"/>
  <c r="X121" i="5"/>
  <c r="U375" i="5"/>
  <c r="Z397" i="5"/>
  <c r="Y401" i="5"/>
  <c r="V435" i="5"/>
  <c r="V470" i="5"/>
  <c r="W632" i="5"/>
  <c r="Z655" i="5"/>
  <c r="X723" i="5"/>
  <c r="Y732" i="5"/>
  <c r="W748" i="5"/>
  <c r="V823" i="5"/>
  <c r="X838" i="5"/>
  <c r="Y862" i="5"/>
  <c r="W133" i="5"/>
  <c r="W138" i="5"/>
  <c r="Y155" i="5"/>
  <c r="U175" i="5"/>
  <c r="W181" i="5"/>
  <c r="X245" i="5"/>
  <c r="Z266" i="5"/>
  <c r="Z281" i="5"/>
  <c r="X298" i="5"/>
  <c r="X320" i="5"/>
  <c r="V353" i="5"/>
  <c r="V375" i="5"/>
  <c r="Z387" i="5"/>
  <c r="Z391" i="5"/>
  <c r="X466" i="5"/>
  <c r="X496" i="5"/>
  <c r="V502" i="5"/>
  <c r="U564" i="5"/>
  <c r="U578" i="5"/>
  <c r="Z723" i="5"/>
  <c r="X913" i="5"/>
  <c r="Y55" i="5"/>
  <c r="Z105" i="5"/>
  <c r="V184" i="5"/>
  <c r="U187" i="5"/>
  <c r="Z303" i="5"/>
  <c r="U405" i="5"/>
  <c r="U432" i="5"/>
  <c r="Y456" i="5"/>
  <c r="Y465" i="5"/>
  <c r="V505" i="5"/>
  <c r="Z721" i="5"/>
  <c r="Z122" i="5"/>
  <c r="X204" i="5"/>
  <c r="W40" i="5"/>
  <c r="Z43" i="5"/>
  <c r="Y80" i="5"/>
  <c r="V160" i="5"/>
  <c r="W187" i="5"/>
  <c r="V190" i="5"/>
  <c r="U249" i="5"/>
  <c r="Z263" i="5"/>
  <c r="V281" i="5"/>
  <c r="Y301" i="5"/>
  <c r="V432" i="5"/>
  <c r="Z441" i="5"/>
  <c r="Z465" i="5"/>
  <c r="V495" i="5"/>
  <c r="X533" i="5"/>
  <c r="W563" i="5"/>
  <c r="X569" i="5"/>
  <c r="X665" i="5"/>
  <c r="Z763" i="5"/>
  <c r="X846" i="5"/>
  <c r="W900" i="5"/>
  <c r="V936" i="5"/>
  <c r="W949" i="5"/>
  <c r="Z953" i="5"/>
  <c r="X959" i="5"/>
  <c r="X968" i="5"/>
  <c r="Z85" i="5"/>
  <c r="X226" i="5"/>
  <c r="Y231" i="5"/>
  <c r="W249" i="5"/>
  <c r="Y276" i="5"/>
  <c r="V293" i="5"/>
  <c r="X301" i="5"/>
  <c r="W355" i="5"/>
  <c r="Z362" i="5"/>
  <c r="U397" i="5"/>
  <c r="Z404" i="5"/>
  <c r="V498" i="5"/>
  <c r="W518" i="5"/>
  <c r="X693" i="5"/>
  <c r="U708" i="5"/>
  <c r="X879" i="5"/>
  <c r="X916" i="5"/>
  <c r="X949" i="5"/>
  <c r="Y570" i="5"/>
  <c r="X577" i="5"/>
  <c r="X614" i="5"/>
  <c r="Y626" i="5"/>
  <c r="U644" i="5"/>
  <c r="Y645" i="5"/>
  <c r="U699" i="5"/>
  <c r="W712" i="5"/>
  <c r="U724" i="5"/>
  <c r="V725" i="5"/>
  <c r="Y770" i="5"/>
  <c r="Z819" i="5"/>
  <c r="Z822" i="5"/>
  <c r="U835" i="5"/>
  <c r="V858" i="5"/>
  <c r="U861" i="5"/>
  <c r="Y908" i="5"/>
  <c r="Y951" i="5"/>
  <c r="Z952" i="5"/>
  <c r="X993" i="5"/>
  <c r="Z78" i="5"/>
  <c r="V92" i="5"/>
  <c r="W149" i="5"/>
  <c r="X281" i="5"/>
  <c r="W512" i="5"/>
  <c r="W562" i="5"/>
  <c r="Z4" i="5"/>
  <c r="V39" i="5"/>
  <c r="X88" i="5"/>
  <c r="Z96" i="5"/>
  <c r="V117" i="5"/>
  <c r="V176" i="5"/>
  <c r="W184" i="5"/>
  <c r="Y200" i="5"/>
  <c r="X207" i="5"/>
  <c r="X261" i="5"/>
  <c r="U280" i="5"/>
  <c r="Y298" i="5"/>
  <c r="X347" i="5"/>
  <c r="Y390" i="5"/>
  <c r="Z396" i="5"/>
  <c r="Z401" i="5"/>
  <c r="U408" i="5"/>
  <c r="X415" i="5"/>
  <c r="Y417" i="5"/>
  <c r="U422" i="5"/>
  <c r="Y429" i="5"/>
  <c r="U430" i="5"/>
  <c r="W432" i="5"/>
  <c r="Y442" i="5"/>
  <c r="Y463" i="5"/>
  <c r="W465" i="5"/>
  <c r="X468" i="5"/>
  <c r="Z470" i="5"/>
  <c r="V532" i="5"/>
  <c r="W576" i="5"/>
  <c r="W602" i="5"/>
  <c r="W622" i="5"/>
  <c r="Y724" i="5"/>
  <c r="W769" i="5"/>
  <c r="U863" i="5"/>
  <c r="X891" i="5"/>
  <c r="U901" i="5"/>
  <c r="Z979" i="5"/>
  <c r="Z1014" i="5"/>
  <c r="U572" i="5"/>
  <c r="X631" i="5"/>
  <c r="X637" i="5"/>
  <c r="W649" i="5"/>
  <c r="Z670" i="5"/>
  <c r="Z702" i="5"/>
  <c r="X718" i="5"/>
  <c r="W722" i="5"/>
  <c r="Z731" i="5"/>
  <c r="U750" i="5"/>
  <c r="Z753" i="5"/>
  <c r="Y756" i="5"/>
  <c r="Z762" i="5"/>
  <c r="U788" i="5"/>
  <c r="U808" i="5"/>
  <c r="X923" i="5"/>
  <c r="U941" i="5"/>
  <c r="U947" i="5"/>
  <c r="Y954" i="5"/>
  <c r="X1004" i="5"/>
  <c r="N673" i="5"/>
  <c r="N674" i="5" s="1"/>
  <c r="N675" i="5" s="1"/>
  <c r="U142" i="5"/>
  <c r="U179" i="5"/>
  <c r="Z88" i="5"/>
  <c r="X230" i="5"/>
  <c r="Z262" i="5"/>
  <c r="Y290" i="5"/>
  <c r="Z302" i="5"/>
  <c r="Y328" i="5"/>
  <c r="Z400" i="5"/>
  <c r="U416" i="5"/>
  <c r="W430" i="5"/>
  <c r="Y461" i="5"/>
  <c r="Z463" i="5"/>
  <c r="W481" i="5"/>
  <c r="U493" i="5"/>
  <c r="U508" i="5"/>
  <c r="V524" i="5"/>
  <c r="U528" i="5"/>
  <c r="V579" i="5"/>
  <c r="Y582" i="5"/>
  <c r="W607" i="5"/>
  <c r="Y714" i="5"/>
  <c r="X761" i="5"/>
  <c r="V772" i="5"/>
  <c r="W788" i="5"/>
  <c r="U841" i="5"/>
  <c r="Y958" i="5"/>
  <c r="X972" i="5"/>
  <c r="X982" i="5"/>
  <c r="Y984" i="5"/>
  <c r="X996" i="5"/>
  <c r="Y1013" i="5"/>
  <c r="U524" i="5"/>
  <c r="U525" i="5"/>
  <c r="X95" i="5"/>
  <c r="Z9" i="5"/>
  <c r="V20" i="5"/>
  <c r="Z35" i="5"/>
  <c r="V47" i="5"/>
  <c r="U131" i="5"/>
  <c r="W141" i="5"/>
  <c r="V147" i="5"/>
  <c r="Z216" i="5"/>
  <c r="Y267" i="5"/>
  <c r="Z285" i="5"/>
  <c r="Z331" i="5"/>
  <c r="X337" i="5"/>
  <c r="X341" i="5"/>
  <c r="Z370" i="5"/>
  <c r="Y384" i="5"/>
  <c r="Z389" i="5"/>
  <c r="X392" i="5"/>
  <c r="Y399" i="5"/>
  <c r="Y422" i="5"/>
  <c r="Z462" i="5"/>
  <c r="Z483" i="5"/>
  <c r="Y488" i="5"/>
  <c r="Y493" i="5"/>
  <c r="Z494" i="5"/>
  <c r="Z504" i="5"/>
  <c r="X523" i="5"/>
  <c r="W524" i="5"/>
  <c r="Z582" i="5"/>
  <c r="U618" i="5"/>
  <c r="W630" i="5"/>
  <c r="X648" i="5"/>
  <c r="V652" i="5"/>
  <c r="Y679" i="5"/>
  <c r="U690" i="5"/>
  <c r="X697" i="5"/>
  <c r="W746" i="5"/>
  <c r="Y761" i="5"/>
  <c r="X787" i="5"/>
  <c r="V814" i="5"/>
  <c r="W817" i="5"/>
  <c r="Y853" i="5"/>
  <c r="Z883" i="5"/>
  <c r="X995" i="5"/>
  <c r="X1000" i="5"/>
  <c r="X1003" i="5"/>
  <c r="V88" i="5"/>
  <c r="V280" i="5"/>
  <c r="Z324" i="5"/>
  <c r="X20" i="5"/>
  <c r="Z113" i="5"/>
  <c r="V73" i="5"/>
  <c r="W86" i="5"/>
  <c r="Z91" i="5"/>
  <c r="X119" i="5"/>
  <c r="W165" i="5"/>
  <c r="Z168" i="5"/>
  <c r="Y174" i="5"/>
  <c r="V192" i="5"/>
  <c r="Z202" i="5"/>
  <c r="Y277" i="5"/>
  <c r="X278" i="5"/>
  <c r="Z283" i="5"/>
  <c r="U301" i="5"/>
  <c r="Z309" i="5"/>
  <c r="Y318" i="5"/>
  <c r="U328" i="5"/>
  <c r="Y340" i="5"/>
  <c r="U359" i="5"/>
  <c r="Y362" i="5"/>
  <c r="Z376" i="5"/>
  <c r="Y392" i="5"/>
  <c r="X402" i="5"/>
  <c r="U404" i="5"/>
  <c r="Y405" i="5"/>
  <c r="X420" i="5"/>
  <c r="W428" i="5"/>
  <c r="V436" i="5"/>
  <c r="X475" i="5"/>
  <c r="V480" i="5"/>
  <c r="Z491" i="5"/>
  <c r="V519" i="5"/>
  <c r="U522" i="5"/>
  <c r="Z534" i="5"/>
  <c r="V553" i="5"/>
  <c r="X557" i="5"/>
  <c r="W560" i="5"/>
  <c r="U183" i="5"/>
  <c r="Z418" i="5"/>
  <c r="Z21" i="5"/>
  <c r="X7" i="5"/>
  <c r="Z8" i="5"/>
  <c r="Z15" i="5"/>
  <c r="Z19" i="5"/>
  <c r="Z206" i="5"/>
  <c r="Y258" i="5"/>
  <c r="W281" i="5"/>
  <c r="Z300" i="5"/>
  <c r="Z341" i="5"/>
  <c r="Z403" i="5"/>
  <c r="X419" i="5"/>
  <c r="U434" i="5"/>
  <c r="W436" i="5"/>
  <c r="Y450" i="5"/>
  <c r="X453" i="5"/>
  <c r="Y454" i="5"/>
  <c r="V563" i="5"/>
  <c r="W564" i="5"/>
  <c r="U570" i="5"/>
  <c r="Z574" i="5"/>
  <c r="V646" i="5"/>
  <c r="U647" i="5"/>
  <c r="V651" i="5"/>
  <c r="U712" i="5"/>
  <c r="W716" i="5"/>
  <c r="Y718" i="5"/>
  <c r="Y755" i="5"/>
  <c r="Y767" i="5"/>
  <c r="W786" i="5"/>
  <c r="V832" i="5"/>
  <c r="Y878" i="5"/>
  <c r="W899" i="5"/>
  <c r="Y974" i="5"/>
  <c r="Z1006" i="5"/>
  <c r="Y1009" i="5"/>
  <c r="U698" i="5"/>
  <c r="X698" i="5"/>
  <c r="Y7" i="5"/>
  <c r="Y19" i="5"/>
  <c r="W20" i="5"/>
  <c r="V26" i="5"/>
  <c r="U32" i="5"/>
  <c r="U34" i="5"/>
  <c r="W64" i="5"/>
  <c r="V67" i="5"/>
  <c r="W77" i="5"/>
  <c r="Z95" i="5"/>
  <c r="V99" i="5"/>
  <c r="X110" i="5"/>
  <c r="W114" i="5"/>
  <c r="X138" i="5"/>
  <c r="U144" i="5"/>
  <c r="V152" i="5"/>
  <c r="V153" i="5"/>
  <c r="Z160" i="5"/>
  <c r="Z167" i="5"/>
  <c r="V172" i="5"/>
  <c r="W179" i="5"/>
  <c r="V180" i="5"/>
  <c r="X181" i="5"/>
  <c r="V182" i="5"/>
  <c r="Z183" i="5"/>
  <c r="X184" i="5"/>
  <c r="X189" i="5"/>
  <c r="X214" i="5"/>
  <c r="X232" i="5"/>
  <c r="W247" i="5"/>
  <c r="X248" i="5"/>
  <c r="Z273" i="5"/>
  <c r="X292" i="5"/>
  <c r="X299" i="5"/>
  <c r="X303" i="5"/>
  <c r="X304" i="5"/>
  <c r="X309" i="5"/>
  <c r="W342" i="5"/>
  <c r="Z353" i="5"/>
  <c r="W353" i="5"/>
  <c r="Z354" i="5"/>
  <c r="X403" i="5"/>
  <c r="Z406" i="5"/>
  <c r="X429" i="5"/>
  <c r="V501" i="5"/>
  <c r="Y501" i="5"/>
  <c r="Z546" i="5"/>
  <c r="W546" i="5"/>
  <c r="Y561" i="5"/>
  <c r="V561" i="5"/>
  <c r="Z631" i="5"/>
  <c r="W631" i="5"/>
  <c r="V640" i="5"/>
  <c r="Y640" i="5"/>
  <c r="X694" i="5"/>
  <c r="U694" i="5"/>
  <c r="X714" i="5"/>
  <c r="U714" i="5"/>
  <c r="Y625" i="5"/>
  <c r="V625" i="5"/>
  <c r="Z7" i="5"/>
  <c r="W26" i="5"/>
  <c r="X50" i="5"/>
  <c r="Y54" i="5"/>
  <c r="X60" i="5"/>
  <c r="X94" i="5"/>
  <c r="X109" i="5"/>
  <c r="V118" i="5"/>
  <c r="U123" i="5"/>
  <c r="V136" i="5"/>
  <c r="X143" i="5"/>
  <c r="V144" i="5"/>
  <c r="Y151" i="5"/>
  <c r="W152" i="5"/>
  <c r="W171" i="5"/>
  <c r="Y178" i="5"/>
  <c r="Y179" i="5"/>
  <c r="Z180" i="5"/>
  <c r="Y181" i="5"/>
  <c r="U193" i="5"/>
  <c r="W202" i="5"/>
  <c r="Z204" i="5"/>
  <c r="W206" i="5"/>
  <c r="Y215" i="5"/>
  <c r="W216" i="5"/>
  <c r="Y225" i="5"/>
  <c r="Y243" i="5"/>
  <c r="W251" i="5"/>
  <c r="X255" i="5"/>
  <c r="V267" i="5"/>
  <c r="Y274" i="5"/>
  <c r="V276" i="5"/>
  <c r="Y297" i="5"/>
  <c r="Y309" i="5"/>
  <c r="Y320" i="5"/>
  <c r="Z321" i="5"/>
  <c r="Z342" i="5"/>
  <c r="Y370" i="5"/>
  <c r="Y374" i="5"/>
  <c r="U376" i="5"/>
  <c r="Z378" i="5"/>
  <c r="Y386" i="5"/>
  <c r="W387" i="5"/>
  <c r="W498" i="5"/>
  <c r="Z498" i="5"/>
  <c r="Z531" i="5"/>
  <c r="W531" i="5"/>
  <c r="U560" i="5"/>
  <c r="X560" i="5"/>
  <c r="U612" i="5"/>
  <c r="X612" i="5"/>
  <c r="X652" i="5"/>
  <c r="U652" i="5"/>
  <c r="X568" i="5"/>
  <c r="U568" i="5"/>
  <c r="X17" i="5"/>
  <c r="Y59" i="5"/>
  <c r="Z89" i="5"/>
  <c r="Z110" i="5"/>
  <c r="Z123" i="5"/>
  <c r="X135" i="5"/>
  <c r="W136" i="5"/>
  <c r="Y143" i="5"/>
  <c r="W144" i="5"/>
  <c r="W150" i="5"/>
  <c r="Z151" i="5"/>
  <c r="V157" i="5"/>
  <c r="W158" i="5"/>
  <c r="W166" i="5"/>
  <c r="Y201" i="5"/>
  <c r="X202" i="5"/>
  <c r="U204" i="5"/>
  <c r="X220" i="5"/>
  <c r="Z227" i="5"/>
  <c r="W228" i="5"/>
  <c r="U230" i="5"/>
  <c r="Z231" i="5"/>
  <c r="Z232" i="5"/>
  <c r="Z239" i="5"/>
  <c r="Y242" i="5"/>
  <c r="Z245" i="5"/>
  <c r="X246" i="5"/>
  <c r="W262" i="5"/>
  <c r="X263" i="5"/>
  <c r="W266" i="5"/>
  <c r="X269" i="5"/>
  <c r="Z274" i="5"/>
  <c r="Z275" i="5"/>
  <c r="Y279" i="5"/>
  <c r="X296" i="5"/>
  <c r="X300" i="5"/>
  <c r="X326" i="5"/>
  <c r="Y360" i="5"/>
  <c r="V360" i="5"/>
  <c r="Y361" i="5"/>
  <c r="Z374" i="5"/>
  <c r="X380" i="5"/>
  <c r="U380" i="5"/>
  <c r="X426" i="5"/>
  <c r="X436" i="5"/>
  <c r="U492" i="5"/>
  <c r="X492" i="5"/>
  <c r="Z540" i="5"/>
  <c r="W540" i="5"/>
  <c r="U609" i="5"/>
  <c r="X609" i="5"/>
  <c r="W705" i="5"/>
  <c r="Z705" i="5"/>
  <c r="U713" i="5"/>
  <c r="X713" i="5"/>
  <c r="W727" i="5"/>
  <c r="Z727" i="5"/>
  <c r="Z3" i="5"/>
  <c r="Y17" i="5"/>
  <c r="W89" i="5"/>
  <c r="Y135" i="5"/>
  <c r="X150" i="5"/>
  <c r="X157" i="5"/>
  <c r="X158" i="5"/>
  <c r="X176" i="5"/>
  <c r="X177" i="5"/>
  <c r="Y203" i="5"/>
  <c r="X228" i="5"/>
  <c r="Y507" i="5"/>
  <c r="V507" i="5"/>
  <c r="Z522" i="5"/>
  <c r="W522" i="5"/>
  <c r="U651" i="5"/>
  <c r="X651" i="5"/>
  <c r="W717" i="5"/>
  <c r="Z717" i="5"/>
  <c r="V726" i="5"/>
  <c r="Y726" i="5"/>
  <c r="Y599" i="5"/>
  <c r="V599" i="5"/>
  <c r="Z13" i="5"/>
  <c r="Z17" i="5"/>
  <c r="W33" i="5"/>
  <c r="Z69" i="5"/>
  <c r="Y97" i="5"/>
  <c r="W101" i="5"/>
  <c r="Z109" i="5"/>
  <c r="U129" i="5"/>
  <c r="U148" i="5"/>
  <c r="U155" i="5"/>
  <c r="Z156" i="5"/>
  <c r="Z157" i="5"/>
  <c r="Z175" i="5"/>
  <c r="Z176" i="5"/>
  <c r="Y186" i="5"/>
  <c r="V187" i="5"/>
  <c r="U195" i="5"/>
  <c r="X208" i="5"/>
  <c r="X236" i="5"/>
  <c r="Z268" i="5"/>
  <c r="X286" i="5"/>
  <c r="Z294" i="5"/>
  <c r="X349" i="5"/>
  <c r="Z383" i="5"/>
  <c r="Z393" i="5"/>
  <c r="X478" i="5"/>
  <c r="Z556" i="5"/>
  <c r="W556" i="5"/>
  <c r="W570" i="5"/>
  <c r="Z570" i="5"/>
  <c r="Y577" i="5"/>
  <c r="V577" i="5"/>
  <c r="Z606" i="5"/>
  <c r="W606" i="5"/>
  <c r="Y617" i="5"/>
  <c r="V617" i="5"/>
  <c r="W636" i="5"/>
  <c r="V716" i="5"/>
  <c r="Y716" i="5"/>
  <c r="V323" i="5"/>
  <c r="Y323" i="5"/>
  <c r="U2" i="5"/>
  <c r="Y11" i="5"/>
  <c r="W17" i="5"/>
  <c r="V52" i="5"/>
  <c r="Z56" i="5"/>
  <c r="Z97" i="5"/>
  <c r="W104" i="5"/>
  <c r="Y108" i="5"/>
  <c r="V120" i="5"/>
  <c r="Z121" i="5"/>
  <c r="W125" i="5"/>
  <c r="U128" i="5"/>
  <c r="V132" i="5"/>
  <c r="U140" i="5"/>
  <c r="X141" i="5"/>
  <c r="X147" i="5"/>
  <c r="Z148" i="5"/>
  <c r="Z164" i="5"/>
  <c r="W169" i="5"/>
  <c r="Z186" i="5"/>
  <c r="U191" i="5"/>
  <c r="V195" i="5"/>
  <c r="X206" i="5"/>
  <c r="X216" i="5"/>
  <c r="Y223" i="5"/>
  <c r="Y264" i="5"/>
  <c r="X275" i="5"/>
  <c r="Z278" i="5"/>
  <c r="Y288" i="5"/>
  <c r="Z298" i="5"/>
  <c r="Y300" i="5"/>
  <c r="W302" i="5"/>
  <c r="X324" i="5"/>
  <c r="U326" i="5"/>
  <c r="X327" i="5"/>
  <c r="X356" i="5"/>
  <c r="V380" i="5"/>
  <c r="X400" i="5"/>
  <c r="U400" i="5"/>
  <c r="U433" i="5"/>
  <c r="X433" i="5"/>
  <c r="V521" i="5"/>
  <c r="Y521" i="5"/>
  <c r="Y569" i="5"/>
  <c r="V569" i="5"/>
  <c r="V635" i="5"/>
  <c r="Y635" i="5"/>
  <c r="X657" i="5"/>
  <c r="U657" i="5"/>
  <c r="Y699" i="5"/>
  <c r="V699" i="5"/>
  <c r="X520" i="5"/>
  <c r="U520" i="5"/>
  <c r="Z52" i="5"/>
  <c r="U68" i="5"/>
  <c r="V85" i="5"/>
  <c r="X120" i="5"/>
  <c r="V128" i="5"/>
  <c r="V138" i="5"/>
  <c r="U139" i="5"/>
  <c r="X146" i="5"/>
  <c r="X154" i="5"/>
  <c r="Y173" i="5"/>
  <c r="U185" i="5"/>
  <c r="U190" i="5"/>
  <c r="X205" i="5"/>
  <c r="X211" i="5"/>
  <c r="Z214" i="5"/>
  <c r="Y229" i="5"/>
  <c r="X234" i="5"/>
  <c r="Y266" i="5"/>
  <c r="Z271" i="5"/>
  <c r="U281" i="5"/>
  <c r="U283" i="5"/>
  <c r="U285" i="5"/>
  <c r="Y299" i="5"/>
  <c r="V318" i="5"/>
  <c r="Z319" i="5"/>
  <c r="Y324" i="5"/>
  <c r="X362" i="5"/>
  <c r="U362" i="5"/>
  <c r="U372" i="5"/>
  <c r="Y388" i="5"/>
  <c r="Z434" i="5"/>
  <c r="W434" i="5"/>
  <c r="V469" i="5"/>
  <c r="Y469" i="5"/>
  <c r="Z487" i="5"/>
  <c r="Z502" i="5"/>
  <c r="W502" i="5"/>
  <c r="V555" i="5"/>
  <c r="Y555" i="5"/>
  <c r="V576" i="5"/>
  <c r="Y576" i="5"/>
  <c r="U616" i="5"/>
  <c r="X616" i="5"/>
  <c r="Y686" i="5"/>
  <c r="W710" i="5"/>
  <c r="Z718" i="5"/>
  <c r="V727" i="5"/>
  <c r="Z759" i="5"/>
  <c r="X764" i="5"/>
  <c r="V768" i="5"/>
  <c r="Z802" i="5"/>
  <c r="V816" i="5"/>
  <c r="W831" i="5"/>
  <c r="Y835" i="5"/>
  <c r="W840" i="5"/>
  <c r="V844" i="5"/>
  <c r="U872" i="5"/>
  <c r="W873" i="5"/>
  <c r="Z887" i="5"/>
  <c r="U909" i="5"/>
  <c r="W915" i="5"/>
  <c r="W929" i="5"/>
  <c r="X938" i="5"/>
  <c r="U946" i="5"/>
  <c r="X964" i="5"/>
  <c r="V972" i="5"/>
  <c r="V973" i="5"/>
  <c r="Y978" i="5"/>
  <c r="Z1013" i="5"/>
  <c r="Y484" i="5"/>
  <c r="X491" i="5"/>
  <c r="U561" i="5"/>
  <c r="Y562" i="5"/>
  <c r="X571" i="5"/>
  <c r="Y572" i="5"/>
  <c r="V578" i="5"/>
  <c r="X596" i="5"/>
  <c r="X636" i="5"/>
  <c r="X646" i="5"/>
  <c r="W680" i="5"/>
  <c r="X745" i="5"/>
  <c r="V749" i="5"/>
  <c r="Y766" i="5"/>
  <c r="X768" i="5"/>
  <c r="W773" i="5"/>
  <c r="U815" i="5"/>
  <c r="Z816" i="5"/>
  <c r="Z852" i="5"/>
  <c r="Z859" i="5"/>
  <c r="V863" i="5"/>
  <c r="W872" i="5"/>
  <c r="X874" i="5"/>
  <c r="V909" i="5"/>
  <c r="Y932" i="5"/>
  <c r="Y963" i="5"/>
  <c r="W972" i="5"/>
  <c r="V977" i="5"/>
  <c r="W1003" i="5"/>
  <c r="V1016" i="5"/>
  <c r="Z349" i="5"/>
  <c r="Z386" i="5"/>
  <c r="Z392" i="5"/>
  <c r="X398" i="5"/>
  <c r="Z399" i="5"/>
  <c r="Y408" i="5"/>
  <c r="Y409" i="5"/>
  <c r="Y418" i="5"/>
  <c r="Z439" i="5"/>
  <c r="X448" i="5"/>
  <c r="X452" i="5"/>
  <c r="Y468" i="5"/>
  <c r="Z472" i="5"/>
  <c r="X473" i="5"/>
  <c r="Z484" i="5"/>
  <c r="Z485" i="5"/>
  <c r="Y491" i="5"/>
  <c r="W521" i="5"/>
  <c r="W536" i="5"/>
  <c r="V698" i="5"/>
  <c r="V715" i="5"/>
  <c r="U744" i="5"/>
  <c r="U748" i="5"/>
  <c r="W776" i="5"/>
  <c r="X801" i="5"/>
  <c r="V843" i="5"/>
  <c r="Z855" i="5"/>
  <c r="Z881" i="5"/>
  <c r="W907" i="5"/>
  <c r="U914" i="5"/>
  <c r="U918" i="5"/>
  <c r="W922" i="5"/>
  <c r="X958" i="5"/>
  <c r="Y991" i="5"/>
  <c r="Y303" i="5"/>
  <c r="Z304" i="5"/>
  <c r="Z318" i="5"/>
  <c r="Z364" i="5"/>
  <c r="X367" i="5"/>
  <c r="Z395" i="5"/>
  <c r="X397" i="5"/>
  <c r="Z408" i="5"/>
  <c r="X418" i="5"/>
  <c r="Z420" i="5"/>
  <c r="X423" i="5"/>
  <c r="Y446" i="5"/>
  <c r="Y452" i="5"/>
  <c r="X464" i="5"/>
  <c r="Y482" i="5"/>
  <c r="W484" i="5"/>
  <c r="Y490" i="5"/>
  <c r="V567" i="5"/>
  <c r="Z595" i="5"/>
  <c r="X661" i="5"/>
  <c r="W664" i="5"/>
  <c r="Z679" i="5"/>
  <c r="Z699" i="5"/>
  <c r="W714" i="5"/>
  <c r="Z715" i="5"/>
  <c r="X729" i="5"/>
  <c r="X756" i="5"/>
  <c r="X814" i="5"/>
  <c r="W845" i="5"/>
  <c r="V848" i="5"/>
  <c r="W851" i="5"/>
  <c r="W855" i="5"/>
  <c r="Y889" i="5"/>
  <c r="X897" i="5"/>
  <c r="X902" i="5"/>
  <c r="W906" i="5"/>
  <c r="U912" i="5"/>
  <c r="Y918" i="5"/>
  <c r="V997" i="5"/>
  <c r="W1002" i="5"/>
  <c r="Z445" i="5"/>
  <c r="Z448" i="5"/>
  <c r="Z452" i="5"/>
  <c r="X500" i="5"/>
  <c r="U510" i="5"/>
  <c r="Y520" i="5"/>
  <c r="V559" i="5"/>
  <c r="W566" i="5"/>
  <c r="W567" i="5"/>
  <c r="U574" i="5"/>
  <c r="X601" i="5"/>
  <c r="W620" i="5"/>
  <c r="U628" i="5"/>
  <c r="V629" i="5"/>
  <c r="Z634" i="5"/>
  <c r="Y657" i="5"/>
  <c r="X660" i="5"/>
  <c r="Y670" i="5"/>
  <c r="Y678" i="5"/>
  <c r="V688" i="5"/>
  <c r="U710" i="5"/>
  <c r="Z713" i="5"/>
  <c r="U722" i="5"/>
  <c r="Y723" i="5"/>
  <c r="Y797" i="5"/>
  <c r="X800" i="5"/>
  <c r="V822" i="5"/>
  <c r="W823" i="5"/>
  <c r="V875" i="5"/>
  <c r="X883" i="5"/>
  <c r="V921" i="5"/>
  <c r="U934" i="5"/>
  <c r="V1001" i="5"/>
  <c r="X1011" i="5"/>
  <c r="Z411" i="5"/>
  <c r="V431" i="5"/>
  <c r="Z432" i="5"/>
  <c r="V433" i="5"/>
  <c r="Y444" i="5"/>
  <c r="X457" i="5"/>
  <c r="X467" i="5"/>
  <c r="W538" i="5"/>
  <c r="X566" i="5"/>
  <c r="V574" i="5"/>
  <c r="U604" i="5"/>
  <c r="W611" i="5"/>
  <c r="V615" i="5"/>
  <c r="W627" i="5"/>
  <c r="V628" i="5"/>
  <c r="X638" i="5"/>
  <c r="V649" i="5"/>
  <c r="V650" i="5"/>
  <c r="W656" i="5"/>
  <c r="Y660" i="5"/>
  <c r="W677" i="5"/>
  <c r="V710" i="5"/>
  <c r="X720" i="5"/>
  <c r="Y771" i="5"/>
  <c r="W837" i="5"/>
  <c r="Y847" i="5"/>
  <c r="V876" i="5"/>
  <c r="Y883" i="5"/>
  <c r="X901" i="5"/>
  <c r="W911" i="5"/>
  <c r="V944" i="5"/>
  <c r="W961" i="5"/>
  <c r="Z968" i="5"/>
  <c r="V975" i="5"/>
  <c r="W980" i="5"/>
  <c r="X988" i="5"/>
  <c r="X992" i="5"/>
  <c r="Z997" i="5"/>
  <c r="V1006" i="5"/>
  <c r="V1010" i="5"/>
  <c r="Y302" i="5"/>
  <c r="X305" i="5"/>
  <c r="X306" i="5"/>
  <c r="Y311" i="5"/>
  <c r="Y314" i="5"/>
  <c r="W319" i="5"/>
  <c r="Y326" i="5"/>
  <c r="Z327" i="5"/>
  <c r="Z328" i="5"/>
  <c r="X329" i="5"/>
  <c r="Z351" i="5"/>
  <c r="X366" i="5"/>
  <c r="X370" i="5"/>
  <c r="X388" i="5"/>
  <c r="X401" i="5"/>
  <c r="Y403" i="5"/>
  <c r="X422" i="5"/>
  <c r="V429" i="5"/>
  <c r="X430" i="5"/>
  <c r="X437" i="5"/>
  <c r="Y443" i="5"/>
  <c r="X450" i="5"/>
  <c r="Y460" i="5"/>
  <c r="V465" i="5"/>
  <c r="X479" i="5"/>
  <c r="Z489" i="5"/>
  <c r="W505" i="5"/>
  <c r="U509" i="5"/>
  <c r="V518" i="5"/>
  <c r="V526" i="5"/>
  <c r="Z544" i="5"/>
  <c r="V558" i="5"/>
  <c r="V583" i="5"/>
  <c r="X619" i="5"/>
  <c r="X623" i="5"/>
  <c r="Y627" i="5"/>
  <c r="Y633" i="5"/>
  <c r="Z638" i="5"/>
  <c r="X677" i="5"/>
  <c r="W687" i="5"/>
  <c r="Z691" i="5"/>
  <c r="Z701" i="5"/>
  <c r="Z707" i="5"/>
  <c r="W719" i="5"/>
  <c r="Z720" i="5"/>
  <c r="X721" i="5"/>
  <c r="X730" i="5"/>
  <c r="Y760" i="5"/>
  <c r="Z765" i="5"/>
  <c r="Y818" i="5"/>
  <c r="Z984" i="5"/>
  <c r="Y988" i="5"/>
  <c r="W1005" i="5"/>
  <c r="Z1010" i="5"/>
  <c r="U199" i="5"/>
  <c r="X199" i="5"/>
  <c r="U273" i="5"/>
  <c r="X273" i="5"/>
  <c r="Z609" i="5"/>
  <c r="W609" i="5"/>
  <c r="V694" i="5"/>
  <c r="Y694" i="5"/>
  <c r="X15" i="5"/>
  <c r="Y8" i="5"/>
  <c r="Z11" i="5"/>
  <c r="X21" i="5"/>
  <c r="V35" i="5"/>
  <c r="Z36" i="5"/>
  <c r="X54" i="5"/>
  <c r="Z57" i="5"/>
  <c r="Z62" i="5"/>
  <c r="X75" i="5"/>
  <c r="Y81" i="5"/>
  <c r="Y98" i="5"/>
  <c r="Z111" i="5"/>
  <c r="U134" i="5"/>
  <c r="U136" i="5"/>
  <c r="V149" i="5"/>
  <c r="X151" i="5"/>
  <c r="U152" i="5"/>
  <c r="W154" i="5"/>
  <c r="U156" i="5"/>
  <c r="Y159" i="5"/>
  <c r="V161" i="5"/>
  <c r="Y163" i="5"/>
  <c r="X169" i="5"/>
  <c r="Y171" i="5"/>
  <c r="Z172" i="5"/>
  <c r="X174" i="5"/>
  <c r="Y175" i="5"/>
  <c r="X178" i="5"/>
  <c r="W185" i="5"/>
  <c r="W191" i="5"/>
  <c r="Z191" i="5"/>
  <c r="W192" i="5"/>
  <c r="W196" i="5"/>
  <c r="Z196" i="5"/>
  <c r="X210" i="5"/>
  <c r="U210" i="5"/>
  <c r="Z234" i="5"/>
  <c r="W234" i="5"/>
  <c r="X238" i="5"/>
  <c r="U238" i="5"/>
  <c r="Z270" i="5"/>
  <c r="W270" i="5"/>
  <c r="Z306" i="5"/>
  <c r="W306" i="5"/>
  <c r="Y334" i="5"/>
  <c r="V334" i="5"/>
  <c r="Y337" i="5"/>
  <c r="V337" i="5"/>
  <c r="Y341" i="5"/>
  <c r="V341" i="5"/>
  <c r="W137" i="5"/>
  <c r="V209" i="5"/>
  <c r="Y209" i="5"/>
  <c r="X242" i="5"/>
  <c r="U242" i="5"/>
  <c r="Z255" i="5"/>
  <c r="W255" i="5"/>
  <c r="X259" i="5"/>
  <c r="U259" i="5"/>
  <c r="X297" i="5"/>
  <c r="V304" i="5"/>
  <c r="Y304" i="5"/>
  <c r="Y313" i="5"/>
  <c r="V313" i="5"/>
  <c r="W323" i="5"/>
  <c r="Z323" i="5"/>
  <c r="X333" i="5"/>
  <c r="U333" i="5"/>
  <c r="V336" i="5"/>
  <c r="Y336" i="5"/>
  <c r="Y345" i="5"/>
  <c r="V345" i="5"/>
  <c r="X368" i="5"/>
  <c r="Z373" i="5"/>
  <c r="W373" i="5"/>
  <c r="Z410" i="5"/>
  <c r="W410" i="5"/>
  <c r="Y413" i="5"/>
  <c r="V413" i="5"/>
  <c r="Y427" i="5"/>
  <c r="V427" i="5"/>
  <c r="W435" i="5"/>
  <c r="Z435" i="5"/>
  <c r="X440" i="5"/>
  <c r="U440" i="5"/>
  <c r="V441" i="5"/>
  <c r="Y441" i="5"/>
  <c r="Y500" i="5"/>
  <c r="V500" i="5"/>
  <c r="Y516" i="5"/>
  <c r="V516" i="5"/>
  <c r="V530" i="5"/>
  <c r="Y530" i="5"/>
  <c r="Y539" i="5"/>
  <c r="V539" i="5"/>
  <c r="Y542" i="5"/>
  <c r="V542" i="5"/>
  <c r="Z195" i="5"/>
  <c r="W195" i="5"/>
  <c r="W269" i="5"/>
  <c r="Z269" i="5"/>
  <c r="V292" i="5"/>
  <c r="Y292" i="5"/>
  <c r="X441" i="5"/>
  <c r="U441" i="5"/>
  <c r="X755" i="5"/>
  <c r="U755" i="5"/>
  <c r="U9" i="5"/>
  <c r="Y13" i="5"/>
  <c r="X14" i="5"/>
  <c r="Y15" i="5"/>
  <c r="X16" i="5"/>
  <c r="Y18" i="5"/>
  <c r="W19" i="5"/>
  <c r="Z25" i="5"/>
  <c r="X31" i="5"/>
  <c r="V38" i="5"/>
  <c r="Z44" i="5"/>
  <c r="W49" i="5"/>
  <c r="Z51" i="5"/>
  <c r="Y60" i="5"/>
  <c r="W67" i="5"/>
  <c r="V79" i="5"/>
  <c r="Y90" i="5"/>
  <c r="X91" i="5"/>
  <c r="Y106" i="5"/>
  <c r="W117" i="5"/>
  <c r="W129" i="5"/>
  <c r="W130" i="5"/>
  <c r="W131" i="5"/>
  <c r="Z140" i="5"/>
  <c r="W142" i="5"/>
  <c r="V145" i="5"/>
  <c r="W189" i="5"/>
  <c r="W194" i="5"/>
  <c r="Z194" i="5"/>
  <c r="Z220" i="5"/>
  <c r="W220" i="5"/>
  <c r="X224" i="5"/>
  <c r="U224" i="5"/>
  <c r="X241" i="5"/>
  <c r="Z313" i="5"/>
  <c r="W313" i="5"/>
  <c r="X316" i="5"/>
  <c r="U316" i="5"/>
  <c r="X339" i="5"/>
  <c r="U339" i="5"/>
  <c r="V348" i="5"/>
  <c r="Y348" i="5"/>
  <c r="Z233" i="5"/>
  <c r="W233" i="5"/>
  <c r="Y369" i="5"/>
  <c r="V369" i="5"/>
  <c r="W511" i="5"/>
  <c r="Z511" i="5"/>
  <c r="X605" i="5"/>
  <c r="U605" i="5"/>
  <c r="Z10" i="5"/>
  <c r="W6" i="5"/>
  <c r="U7" i="5"/>
  <c r="W8" i="5"/>
  <c r="Y14" i="5"/>
  <c r="Y16" i="5"/>
  <c r="U17" i="5"/>
  <c r="Z20" i="5"/>
  <c r="U24" i="5"/>
  <c r="U29" i="5"/>
  <c r="Z30" i="5"/>
  <c r="U48" i="5"/>
  <c r="W50" i="5"/>
  <c r="Z60" i="5"/>
  <c r="W61" i="5"/>
  <c r="U62" i="5"/>
  <c r="V64" i="5"/>
  <c r="X67" i="5"/>
  <c r="Y72" i="5"/>
  <c r="X83" i="5"/>
  <c r="Y88" i="5"/>
  <c r="X89" i="5"/>
  <c r="X90" i="5"/>
  <c r="U103" i="5"/>
  <c r="V104" i="5"/>
  <c r="Y110" i="5"/>
  <c r="U115" i="5"/>
  <c r="Y116" i="5"/>
  <c r="X127" i="5"/>
  <c r="W145" i="5"/>
  <c r="W188" i="5"/>
  <c r="Z188" i="5"/>
  <c r="Y194" i="5"/>
  <c r="U197" i="5"/>
  <c r="X197" i="5"/>
  <c r="Z254" i="5"/>
  <c r="W254" i="5"/>
  <c r="U271" i="5"/>
  <c r="X271" i="5"/>
  <c r="X295" i="5"/>
  <c r="U295" i="5"/>
  <c r="U312" i="5"/>
  <c r="X312" i="5"/>
  <c r="X335" i="5"/>
  <c r="U335" i="5"/>
  <c r="Y339" i="5"/>
  <c r="V339" i="5"/>
  <c r="Z334" i="5"/>
  <c r="W334" i="5"/>
  <c r="Z507" i="5"/>
  <c r="W507" i="5"/>
  <c r="V612" i="5"/>
  <c r="Y612" i="5"/>
  <c r="X620" i="5"/>
  <c r="U620" i="5"/>
  <c r="X653" i="5"/>
  <c r="U653" i="5"/>
  <c r="V664" i="5"/>
  <c r="Y664" i="5"/>
  <c r="X13" i="5"/>
  <c r="Y6" i="5"/>
  <c r="U13" i="5"/>
  <c r="Z14" i="5"/>
  <c r="U15" i="5"/>
  <c r="V29" i="5"/>
  <c r="U42" i="5"/>
  <c r="U57" i="5"/>
  <c r="Z59" i="5"/>
  <c r="U60" i="5"/>
  <c r="Y61" i="5"/>
  <c r="V62" i="5"/>
  <c r="U65" i="5"/>
  <c r="U100" i="5"/>
  <c r="U102" i="5"/>
  <c r="U113" i="5"/>
  <c r="V125" i="5"/>
  <c r="V126" i="5"/>
  <c r="U163" i="5"/>
  <c r="V165" i="5"/>
  <c r="U166" i="5"/>
  <c r="U167" i="5"/>
  <c r="V168" i="5"/>
  <c r="U171" i="5"/>
  <c r="V188" i="5"/>
  <c r="Z193" i="5"/>
  <c r="W193" i="5"/>
  <c r="Y197" i="5"/>
  <c r="V197" i="5"/>
  <c r="X201" i="5"/>
  <c r="U201" i="5"/>
  <c r="Z208" i="5"/>
  <c r="W208" i="5"/>
  <c r="Z218" i="5"/>
  <c r="W218" i="5"/>
  <c r="Z219" i="5"/>
  <c r="W219" i="5"/>
  <c r="Z236" i="5"/>
  <c r="W236" i="5"/>
  <c r="X240" i="5"/>
  <c r="U240" i="5"/>
  <c r="Z253" i="5"/>
  <c r="W253" i="5"/>
  <c r="X257" i="5"/>
  <c r="U257" i="5"/>
  <c r="Y271" i="5"/>
  <c r="V271" i="5"/>
  <c r="X294" i="5"/>
  <c r="U294" i="5"/>
  <c r="Y295" i="5"/>
  <c r="V295" i="5"/>
  <c r="X307" i="5"/>
  <c r="U307" i="5"/>
  <c r="V312" i="5"/>
  <c r="Y312" i="5"/>
  <c r="X315" i="5"/>
  <c r="U315" i="5"/>
  <c r="X332" i="5"/>
  <c r="U332" i="5"/>
  <c r="Z344" i="5"/>
  <c r="W344" i="5"/>
  <c r="Y358" i="5"/>
  <c r="V358" i="5"/>
  <c r="Y497" i="5"/>
  <c r="V497" i="5"/>
  <c r="Z514" i="5"/>
  <c r="W514" i="5"/>
  <c r="X670" i="5"/>
  <c r="U670" i="5"/>
  <c r="X685" i="5"/>
  <c r="U685" i="5"/>
  <c r="U877" i="5"/>
  <c r="X877" i="5"/>
  <c r="W31" i="5"/>
  <c r="X11" i="5"/>
  <c r="W13" i="5"/>
  <c r="W14" i="5"/>
  <c r="W15" i="5"/>
  <c r="X23" i="5"/>
  <c r="Y28" i="5"/>
  <c r="W46" i="5"/>
  <c r="U58" i="5"/>
  <c r="W59" i="5"/>
  <c r="Y63" i="5"/>
  <c r="X64" i="5"/>
  <c r="V65" i="5"/>
  <c r="U76" i="5"/>
  <c r="U82" i="5"/>
  <c r="X87" i="5"/>
  <c r="Z90" i="5"/>
  <c r="W91" i="5"/>
  <c r="V100" i="5"/>
  <c r="X101" i="5"/>
  <c r="Z103" i="5"/>
  <c r="U112" i="5"/>
  <c r="U160" i="5"/>
  <c r="W162" i="5"/>
  <c r="U164" i="5"/>
  <c r="Y167" i="5"/>
  <c r="X170" i="5"/>
  <c r="W173" i="5"/>
  <c r="Z197" i="5"/>
  <c r="W197" i="5"/>
  <c r="Z207" i="5"/>
  <c r="W207" i="5"/>
  <c r="Z217" i="5"/>
  <c r="W217" i="5"/>
  <c r="X222" i="5"/>
  <c r="U222" i="5"/>
  <c r="Y244" i="5"/>
  <c r="X244" i="5"/>
  <c r="Z252" i="5"/>
  <c r="W252" i="5"/>
  <c r="Y315" i="5"/>
  <c r="V315" i="5"/>
  <c r="Y332" i="5"/>
  <c r="V332" i="5"/>
  <c r="U342" i="5"/>
  <c r="X342" i="5"/>
  <c r="Z347" i="5"/>
  <c r="W347" i="5"/>
  <c r="Z337" i="5"/>
  <c r="W337" i="5"/>
  <c r="X592" i="5"/>
  <c r="U592" i="5"/>
  <c r="U4" i="5"/>
  <c r="Y21" i="5"/>
  <c r="V33" i="5"/>
  <c r="X41" i="5"/>
  <c r="Y46" i="5"/>
  <c r="U55" i="5"/>
  <c r="V70" i="5"/>
  <c r="W75" i="5"/>
  <c r="Y87" i="5"/>
  <c r="X111" i="5"/>
  <c r="Y124" i="5"/>
  <c r="X162" i="5"/>
  <c r="X168" i="5"/>
  <c r="X173" i="5"/>
  <c r="Y196" i="5"/>
  <c r="V196" i="5"/>
  <c r="Z235" i="5"/>
  <c r="W235" i="5"/>
  <c r="V239" i="5"/>
  <c r="Y239" i="5"/>
  <c r="V306" i="5"/>
  <c r="Y306" i="5"/>
  <c r="Z311" i="5"/>
  <c r="W311" i="5"/>
  <c r="V346" i="5"/>
  <c r="Y346" i="5"/>
  <c r="X209" i="5"/>
  <c r="Y221" i="5"/>
  <c r="Y237" i="5"/>
  <c r="Y240" i="5"/>
  <c r="Y256" i="5"/>
  <c r="Y293" i="5"/>
  <c r="X348" i="5"/>
  <c r="Z422" i="5"/>
  <c r="W422" i="5"/>
  <c r="X428" i="5"/>
  <c r="U428" i="5"/>
  <c r="X442" i="5"/>
  <c r="U442" i="5"/>
  <c r="X497" i="5"/>
  <c r="U497" i="5"/>
  <c r="Y511" i="5"/>
  <c r="V511" i="5"/>
  <c r="Y514" i="5"/>
  <c r="V514" i="5"/>
  <c r="Z528" i="5"/>
  <c r="W528" i="5"/>
  <c r="Z571" i="5"/>
  <c r="W571" i="5"/>
  <c r="Y609" i="5"/>
  <c r="V609" i="5"/>
  <c r="W613" i="5"/>
  <c r="Z613" i="5"/>
  <c r="W625" i="5"/>
  <c r="Z625" i="5"/>
  <c r="Z654" i="5"/>
  <c r="W654" i="5"/>
  <c r="W665" i="5"/>
  <c r="Z665" i="5"/>
  <c r="X689" i="5"/>
  <c r="U689" i="5"/>
  <c r="Z695" i="5"/>
  <c r="W695" i="5"/>
  <c r="X767" i="5"/>
  <c r="U767" i="5"/>
  <c r="U834" i="5"/>
  <c r="X834" i="5"/>
  <c r="Z882" i="5"/>
  <c r="W882" i="5"/>
  <c r="X919" i="5"/>
  <c r="U919" i="5"/>
  <c r="X942" i="5"/>
  <c r="U942" i="5"/>
  <c r="Z967" i="5"/>
  <c r="W967" i="5"/>
  <c r="Y983" i="5"/>
  <c r="V983" i="5"/>
  <c r="Y189" i="5"/>
  <c r="X192" i="5"/>
  <c r="Y198" i="5"/>
  <c r="Y199" i="5"/>
  <c r="U208" i="5"/>
  <c r="X213" i="5"/>
  <c r="U220" i="5"/>
  <c r="Z221" i="5"/>
  <c r="Z222" i="5"/>
  <c r="Y227" i="5"/>
  <c r="U236" i="5"/>
  <c r="Z237" i="5"/>
  <c r="Z238" i="5"/>
  <c r="X243" i="5"/>
  <c r="Y245" i="5"/>
  <c r="Y246" i="5"/>
  <c r="U255" i="5"/>
  <c r="Z256" i="5"/>
  <c r="Z257" i="5"/>
  <c r="Y262" i="5"/>
  <c r="U270" i="5"/>
  <c r="Y273" i="5"/>
  <c r="Z293" i="5"/>
  <c r="V303" i="5"/>
  <c r="Y307" i="5"/>
  <c r="X310" i="5"/>
  <c r="V311" i="5"/>
  <c r="U313" i="5"/>
  <c r="X318" i="5"/>
  <c r="X319" i="5"/>
  <c r="U324" i="5"/>
  <c r="Y325" i="5"/>
  <c r="U337" i="5"/>
  <c r="Z339" i="5"/>
  <c r="U341" i="5"/>
  <c r="Z343" i="5"/>
  <c r="Z345" i="5"/>
  <c r="X346" i="5"/>
  <c r="U347" i="5"/>
  <c r="U349" i="5"/>
  <c r="Z413" i="5"/>
  <c r="W413" i="5"/>
  <c r="Z426" i="5"/>
  <c r="W426" i="5"/>
  <c r="W427" i="5"/>
  <c r="Z427" i="5"/>
  <c r="Z500" i="5"/>
  <c r="W500" i="5"/>
  <c r="X504" i="5"/>
  <c r="U504" i="5"/>
  <c r="Z510" i="5"/>
  <c r="W510" i="5"/>
  <c r="Y513" i="5"/>
  <c r="V513" i="5"/>
  <c r="Z527" i="5"/>
  <c r="W527" i="5"/>
  <c r="Z530" i="5"/>
  <c r="W530" i="5"/>
  <c r="Y535" i="5"/>
  <c r="V535" i="5"/>
  <c r="Z539" i="5"/>
  <c r="W539" i="5"/>
  <c r="W542" i="5"/>
  <c r="Z542" i="5"/>
  <c r="X203" i="5"/>
  <c r="Y207" i="5"/>
  <c r="Z210" i="5"/>
  <c r="Z223" i="5"/>
  <c r="Z224" i="5"/>
  <c r="Z258" i="5"/>
  <c r="Z259" i="5"/>
  <c r="Y272" i="5"/>
  <c r="Y275" i="5"/>
  <c r="Y305" i="5"/>
  <c r="W307" i="5"/>
  <c r="Y308" i="5"/>
  <c r="X317" i="5"/>
  <c r="X330" i="5"/>
  <c r="X344" i="5"/>
  <c r="Y356" i="5"/>
  <c r="V356" i="5"/>
  <c r="X384" i="5"/>
  <c r="U384" i="5"/>
  <c r="Z385" i="5"/>
  <c r="W385" i="5"/>
  <c r="Z425" i="5"/>
  <c r="W425" i="5"/>
  <c r="X438" i="5"/>
  <c r="U438" i="5"/>
  <c r="X470" i="5"/>
  <c r="U470" i="5"/>
  <c r="U476" i="5"/>
  <c r="X476" i="5"/>
  <c r="U499" i="5"/>
  <c r="X499" i="5"/>
  <c r="V504" i="5"/>
  <c r="Y504" i="5"/>
  <c r="U512" i="5"/>
  <c r="X512" i="5"/>
  <c r="Z519" i="5"/>
  <c r="W519" i="5"/>
  <c r="W535" i="5"/>
  <c r="Z535" i="5"/>
  <c r="X541" i="5"/>
  <c r="U541" i="5"/>
  <c r="Z554" i="5"/>
  <c r="W554" i="5"/>
  <c r="Z212" i="5"/>
  <c r="Z225" i="5"/>
  <c r="Z226" i="5"/>
  <c r="W250" i="5"/>
  <c r="Z260" i="5"/>
  <c r="Z261" i="5"/>
  <c r="X268" i="5"/>
  <c r="Z272" i="5"/>
  <c r="Z282" i="5"/>
  <c r="Z284" i="5"/>
  <c r="Z286" i="5"/>
  <c r="Z287" i="5"/>
  <c r="Z314" i="5"/>
  <c r="Y317" i="5"/>
  <c r="Z320" i="5"/>
  <c r="X321" i="5"/>
  <c r="Y330" i="5"/>
  <c r="Z333" i="5"/>
  <c r="X334" i="5"/>
  <c r="Y338" i="5"/>
  <c r="W345" i="5"/>
  <c r="W357" i="5"/>
  <c r="X364" i="5"/>
  <c r="Z367" i="5"/>
  <c r="W367" i="5"/>
  <c r="Z424" i="5"/>
  <c r="W424" i="5"/>
  <c r="X498" i="5"/>
  <c r="U498" i="5"/>
  <c r="X502" i="5"/>
  <c r="U502" i="5"/>
  <c r="W509" i="5"/>
  <c r="Z509" i="5"/>
  <c r="Y515" i="5"/>
  <c r="V515" i="5"/>
  <c r="Y529" i="5"/>
  <c r="V529" i="5"/>
  <c r="U547" i="5"/>
  <c r="X547" i="5"/>
  <c r="W553" i="5"/>
  <c r="Z553" i="5"/>
  <c r="Z198" i="5"/>
  <c r="W201" i="5"/>
  <c r="W210" i="5"/>
  <c r="Y217" i="5"/>
  <c r="W223" i="5"/>
  <c r="W224" i="5"/>
  <c r="Y233" i="5"/>
  <c r="Z241" i="5"/>
  <c r="Y252" i="5"/>
  <c r="W258" i="5"/>
  <c r="W259" i="5"/>
  <c r="Y269" i="5"/>
  <c r="V272" i="5"/>
  <c r="W277" i="5"/>
  <c r="Y280" i="5"/>
  <c r="X282" i="5"/>
  <c r="X284" i="5"/>
  <c r="Z288" i="5"/>
  <c r="Z289" i="5"/>
  <c r="Z291" i="5"/>
  <c r="X302" i="5"/>
  <c r="Y316" i="5"/>
  <c r="Z317" i="5"/>
  <c r="U319" i="5"/>
  <c r="X325" i="5"/>
  <c r="Z330" i="5"/>
  <c r="V335" i="5"/>
  <c r="Z366" i="5"/>
  <c r="W366" i="5"/>
  <c r="Y367" i="5"/>
  <c r="Z412" i="5"/>
  <c r="W412" i="5"/>
  <c r="Z423" i="5"/>
  <c r="W423" i="5"/>
  <c r="Z431" i="5"/>
  <c r="X431" i="5"/>
  <c r="X454" i="5"/>
  <c r="U454" i="5"/>
  <c r="W461" i="5"/>
  <c r="X469" i="5"/>
  <c r="U469" i="5"/>
  <c r="W480" i="5"/>
  <c r="Z480" i="5"/>
  <c r="U531" i="5"/>
  <c r="X531" i="5"/>
  <c r="Y537" i="5"/>
  <c r="V537" i="5"/>
  <c r="X540" i="5"/>
  <c r="U540" i="5"/>
  <c r="X546" i="5"/>
  <c r="U546" i="5"/>
  <c r="Z550" i="5"/>
  <c r="W550" i="5"/>
  <c r="V200" i="5"/>
  <c r="Z203" i="5"/>
  <c r="W212" i="5"/>
  <c r="Z215" i="5"/>
  <c r="Y219" i="5"/>
  <c r="W225" i="5"/>
  <c r="W226" i="5"/>
  <c r="Z229" i="5"/>
  <c r="Z230" i="5"/>
  <c r="Y235" i="5"/>
  <c r="Z243" i="5"/>
  <c r="U247" i="5"/>
  <c r="V248" i="5"/>
  <c r="V250" i="5"/>
  <c r="V251" i="5"/>
  <c r="Y254" i="5"/>
  <c r="W260" i="5"/>
  <c r="W261" i="5"/>
  <c r="Z264" i="5"/>
  <c r="Z265" i="5"/>
  <c r="Z267" i="5"/>
  <c r="V274" i="5"/>
  <c r="Z276" i="5"/>
  <c r="X277" i="5"/>
  <c r="Z279" i="5"/>
  <c r="Z280" i="5"/>
  <c r="Y282" i="5"/>
  <c r="Y284" i="5"/>
  <c r="Y286" i="5"/>
  <c r="X288" i="5"/>
  <c r="X289" i="5"/>
  <c r="Z290" i="5"/>
  <c r="X291" i="5"/>
  <c r="U293" i="5"/>
  <c r="Z299" i="5"/>
  <c r="Z301" i="5"/>
  <c r="Z307" i="5"/>
  <c r="X311" i="5"/>
  <c r="Z316" i="5"/>
  <c r="U330" i="5"/>
  <c r="Y350" i="5"/>
  <c r="U353" i="5"/>
  <c r="U366" i="5"/>
  <c r="Y381" i="5"/>
  <c r="Z381" i="5"/>
  <c r="V437" i="5"/>
  <c r="Y437" i="5"/>
  <c r="X443" i="5"/>
  <c r="U443" i="5"/>
  <c r="Y474" i="5"/>
  <c r="Z474" i="5"/>
  <c r="X501" i="5"/>
  <c r="U501" i="5"/>
  <c r="Z508" i="5"/>
  <c r="W508" i="5"/>
  <c r="Y531" i="5"/>
  <c r="V531" i="5"/>
  <c r="U536" i="5"/>
  <c r="X536" i="5"/>
  <c r="W537" i="5"/>
  <c r="Z537" i="5"/>
  <c r="Y543" i="5"/>
  <c r="V543" i="5"/>
  <c r="Y368" i="5"/>
  <c r="V372" i="5"/>
  <c r="X382" i="5"/>
  <c r="Z384" i="5"/>
  <c r="X394" i="5"/>
  <c r="Y396" i="5"/>
  <c r="X399" i="5"/>
  <c r="U431" i="5"/>
  <c r="U436" i="5"/>
  <c r="U437" i="5"/>
  <c r="Z438" i="5"/>
  <c r="Z440" i="5"/>
  <c r="X444" i="5"/>
  <c r="X446" i="5"/>
  <c r="X447" i="5"/>
  <c r="Y448" i="5"/>
  <c r="Z449" i="5"/>
  <c r="Z451" i="5"/>
  <c r="Z454" i="5"/>
  <c r="X477" i="5"/>
  <c r="V509" i="5"/>
  <c r="U511" i="5"/>
  <c r="U513" i="5"/>
  <c r="U516" i="5"/>
  <c r="X517" i="5"/>
  <c r="Y522" i="5"/>
  <c r="W526" i="5"/>
  <c r="U530" i="5"/>
  <c r="U535" i="5"/>
  <c r="U537" i="5"/>
  <c r="U542" i="5"/>
  <c r="Y546" i="5"/>
  <c r="V546" i="5"/>
  <c r="U550" i="5"/>
  <c r="Y601" i="5"/>
  <c r="V601" i="5"/>
  <c r="V605" i="5"/>
  <c r="Y605" i="5"/>
  <c r="Z616" i="5"/>
  <c r="W616" i="5"/>
  <c r="V624" i="5"/>
  <c r="Y624" i="5"/>
  <c r="X642" i="5"/>
  <c r="U642" i="5"/>
  <c r="Z652" i="5"/>
  <c r="W652" i="5"/>
  <c r="X656" i="5"/>
  <c r="U656" i="5"/>
  <c r="U667" i="5"/>
  <c r="X667" i="5"/>
  <c r="X682" i="5"/>
  <c r="U682" i="5"/>
  <c r="U737" i="5"/>
  <c r="X737" i="5"/>
  <c r="Y928" i="5"/>
  <c r="V928" i="5"/>
  <c r="X931" i="5"/>
  <c r="U931" i="5"/>
  <c r="X961" i="5"/>
  <c r="U961" i="5"/>
  <c r="Y379" i="5"/>
  <c r="Y382" i="5"/>
  <c r="Z390" i="5"/>
  <c r="Y394" i="5"/>
  <c r="Z407" i="5"/>
  <c r="Y419" i="5"/>
  <c r="Z429" i="5"/>
  <c r="Z430" i="5"/>
  <c r="Y431" i="5"/>
  <c r="Z442" i="5"/>
  <c r="Z443" i="5"/>
  <c r="U461" i="5"/>
  <c r="Y472" i="5"/>
  <c r="Y477" i="5"/>
  <c r="Y479" i="5"/>
  <c r="X515" i="5"/>
  <c r="X527" i="5"/>
  <c r="Y528" i="5"/>
  <c r="X529" i="5"/>
  <c r="U545" i="5"/>
  <c r="X545" i="5"/>
  <c r="Y549" i="5"/>
  <c r="V549" i="5"/>
  <c r="V608" i="5"/>
  <c r="Y608" i="5"/>
  <c r="Y611" i="5"/>
  <c r="V611" i="5"/>
  <c r="Y642" i="5"/>
  <c r="V642" i="5"/>
  <c r="U655" i="5"/>
  <c r="X655" i="5"/>
  <c r="V656" i="5"/>
  <c r="Y656" i="5"/>
  <c r="Z693" i="5"/>
  <c r="W693" i="5"/>
  <c r="Z709" i="5"/>
  <c r="Y754" i="5"/>
  <c r="X754" i="5"/>
  <c r="Y363" i="5"/>
  <c r="Y365" i="5"/>
  <c r="W375" i="5"/>
  <c r="Y377" i="5"/>
  <c r="X378" i="5"/>
  <c r="Z382" i="5"/>
  <c r="X390" i="5"/>
  <c r="V396" i="5"/>
  <c r="V397" i="5"/>
  <c r="X417" i="5"/>
  <c r="W431" i="5"/>
  <c r="X434" i="5"/>
  <c r="Z444" i="5"/>
  <c r="Z446" i="5"/>
  <c r="Z447" i="5"/>
  <c r="X458" i="5"/>
  <c r="X462" i="5"/>
  <c r="W476" i="5"/>
  <c r="X539" i="5"/>
  <c r="W549" i="5"/>
  <c r="Z549" i="5"/>
  <c r="Z575" i="5"/>
  <c r="W575" i="5"/>
  <c r="X582" i="5"/>
  <c r="U582" i="5"/>
  <c r="X600" i="5"/>
  <c r="U600" i="5"/>
  <c r="Z604" i="5"/>
  <c r="W604" i="5"/>
  <c r="U607" i="5"/>
  <c r="X607" i="5"/>
  <c r="Z608" i="5"/>
  <c r="W608" i="5"/>
  <c r="Y619" i="5"/>
  <c r="V619" i="5"/>
  <c r="Y623" i="5"/>
  <c r="V623" i="5"/>
  <c r="Z650" i="5"/>
  <c r="W650" i="5"/>
  <c r="X669" i="5"/>
  <c r="U669" i="5"/>
  <c r="X691" i="5"/>
  <c r="U691" i="5"/>
  <c r="U803" i="5"/>
  <c r="X803" i="5"/>
  <c r="Y806" i="5"/>
  <c r="V806" i="5"/>
  <c r="X927" i="5"/>
  <c r="U927" i="5"/>
  <c r="Z409" i="5"/>
  <c r="X588" i="5"/>
  <c r="U588" i="5"/>
  <c r="V600" i="5"/>
  <c r="Y600" i="5"/>
  <c r="U603" i="5"/>
  <c r="X603" i="5"/>
  <c r="X610" i="5"/>
  <c r="U610" i="5"/>
  <c r="Z614" i="5"/>
  <c r="W614" i="5"/>
  <c r="W619" i="5"/>
  <c r="Z619" i="5"/>
  <c r="Z623" i="5"/>
  <c r="W623" i="5"/>
  <c r="Y641" i="5"/>
  <c r="V641" i="5"/>
  <c r="X666" i="5"/>
  <c r="U666" i="5"/>
  <c r="Y687" i="5"/>
  <c r="V687" i="5"/>
  <c r="Y691" i="5"/>
  <c r="V691" i="5"/>
  <c r="Z711" i="5"/>
  <c r="W711" i="5"/>
  <c r="Y924" i="5"/>
  <c r="V924" i="5"/>
  <c r="X1009" i="5"/>
  <c r="U1009" i="5"/>
  <c r="Y371" i="5"/>
  <c r="W391" i="5"/>
  <c r="W392" i="5"/>
  <c r="Y410" i="5"/>
  <c r="Y412" i="5"/>
  <c r="Y421" i="5"/>
  <c r="X425" i="5"/>
  <c r="Y433" i="5"/>
  <c r="Y434" i="5"/>
  <c r="Z436" i="5"/>
  <c r="Z437" i="5"/>
  <c r="W444" i="5"/>
  <c r="W446" i="5"/>
  <c r="W447" i="5"/>
  <c r="U448" i="5"/>
  <c r="U450" i="5"/>
  <c r="U452" i="5"/>
  <c r="X455" i="5"/>
  <c r="X456" i="5"/>
  <c r="Y458" i="5"/>
  <c r="W459" i="5"/>
  <c r="X460" i="5"/>
  <c r="V461" i="5"/>
  <c r="Z467" i="5"/>
  <c r="Z473" i="5"/>
  <c r="Z475" i="5"/>
  <c r="Z486" i="5"/>
  <c r="Z488" i="5"/>
  <c r="Z490" i="5"/>
  <c r="V544" i="5"/>
  <c r="Y544" i="5"/>
  <c r="Y545" i="5"/>
  <c r="Y551" i="5"/>
  <c r="V551" i="5"/>
  <c r="Z558" i="5"/>
  <c r="X585" i="5"/>
  <c r="U585" i="5"/>
  <c r="X593" i="5"/>
  <c r="U593" i="5"/>
  <c r="W626" i="5"/>
  <c r="Z626" i="5"/>
  <c r="X686" i="5"/>
  <c r="U686" i="5"/>
  <c r="Y690" i="5"/>
  <c r="V690" i="5"/>
  <c r="Y696" i="5"/>
  <c r="V696" i="5"/>
  <c r="X742" i="5"/>
  <c r="U742" i="5"/>
  <c r="V786" i="5"/>
  <c r="Y786" i="5"/>
  <c r="U840" i="5"/>
  <c r="X840" i="5"/>
  <c r="Z850" i="5"/>
  <c r="W850" i="5"/>
  <c r="W361" i="5"/>
  <c r="Y364" i="5"/>
  <c r="Y366" i="5"/>
  <c r="X374" i="5"/>
  <c r="X386" i="5"/>
  <c r="Z388" i="5"/>
  <c r="W399" i="5"/>
  <c r="W400" i="5"/>
  <c r="W402" i="5"/>
  <c r="W404" i="5"/>
  <c r="X410" i="5"/>
  <c r="X412" i="5"/>
  <c r="Z415" i="5"/>
  <c r="Y424" i="5"/>
  <c r="Y426" i="5"/>
  <c r="Y435" i="5"/>
  <c r="Y438" i="5"/>
  <c r="Y440" i="5"/>
  <c r="Y447" i="5"/>
  <c r="W448" i="5"/>
  <c r="W450" i="5"/>
  <c r="Y451" i="5"/>
  <c r="U456" i="5"/>
  <c r="Z457" i="5"/>
  <c r="X459" i="5"/>
  <c r="V463" i="5"/>
  <c r="Y478" i="5"/>
  <c r="Z482" i="5"/>
  <c r="V484" i="5"/>
  <c r="V486" i="5"/>
  <c r="V488" i="5"/>
  <c r="V490" i="5"/>
  <c r="W492" i="5"/>
  <c r="W495" i="5"/>
  <c r="Z548" i="5"/>
  <c r="W548" i="5"/>
  <c r="Y585" i="5"/>
  <c r="V585" i="5"/>
  <c r="X602" i="5"/>
  <c r="U602" i="5"/>
  <c r="Y606" i="5"/>
  <c r="V606" i="5"/>
  <c r="Z618" i="5"/>
  <c r="W618" i="5"/>
  <c r="X621" i="5"/>
  <c r="U621" i="5"/>
  <c r="Y654" i="5"/>
  <c r="V654" i="5"/>
  <c r="Y665" i="5"/>
  <c r="V665" i="5"/>
  <c r="X668" i="5"/>
  <c r="U668" i="5"/>
  <c r="Z696" i="5"/>
  <c r="W696" i="5"/>
  <c r="Z778" i="5"/>
  <c r="W778" i="5"/>
  <c r="V831" i="5"/>
  <c r="Y831" i="5"/>
  <c r="X903" i="5"/>
  <c r="U903" i="5"/>
  <c r="Y946" i="5"/>
  <c r="V946" i="5"/>
  <c r="U554" i="5"/>
  <c r="X555" i="5"/>
  <c r="V556" i="5"/>
  <c r="X559" i="5"/>
  <c r="Y560" i="5"/>
  <c r="V564" i="5"/>
  <c r="U565" i="5"/>
  <c r="Y568" i="5"/>
  <c r="X573" i="5"/>
  <c r="W578" i="5"/>
  <c r="V604" i="5"/>
  <c r="X613" i="5"/>
  <c r="V614" i="5"/>
  <c r="X617" i="5"/>
  <c r="V618" i="5"/>
  <c r="U624" i="5"/>
  <c r="Z708" i="5"/>
  <c r="Z726" i="5"/>
  <c r="Y738" i="5"/>
  <c r="Y751" i="5"/>
  <c r="V751" i="5"/>
  <c r="Z780" i="5"/>
  <c r="W780" i="5"/>
  <c r="U802" i="5"/>
  <c r="X802" i="5"/>
  <c r="Y819" i="5"/>
  <c r="V819" i="5"/>
  <c r="Z827" i="5"/>
  <c r="W827" i="5"/>
  <c r="P830" i="5"/>
  <c r="W830" i="5" s="1"/>
  <c r="V829" i="5"/>
  <c r="X886" i="5"/>
  <c r="W898" i="5"/>
  <c r="Z898" i="5"/>
  <c r="W747" i="5"/>
  <c r="Z747" i="5"/>
  <c r="X771" i="5"/>
  <c r="U771" i="5"/>
  <c r="Z799" i="5"/>
  <c r="W799" i="5"/>
  <c r="Z813" i="5"/>
  <c r="W813" i="5"/>
  <c r="Z853" i="5"/>
  <c r="W853" i="5"/>
  <c r="Z860" i="5"/>
  <c r="W860" i="5"/>
  <c r="U894" i="5"/>
  <c r="X894" i="5"/>
  <c r="Y913" i="5"/>
  <c r="W962" i="5"/>
  <c r="Z962" i="5"/>
  <c r="W598" i="5"/>
  <c r="W667" i="5"/>
  <c r="Q734" i="5"/>
  <c r="Q735" i="5" s="1"/>
  <c r="Z735" i="5" s="1"/>
  <c r="Z738" i="5"/>
  <c r="W745" i="5"/>
  <c r="Z745" i="5"/>
  <c r="Y753" i="5"/>
  <c r="V753" i="5"/>
  <c r="Z782" i="5"/>
  <c r="W782" i="5"/>
  <c r="Y792" i="5"/>
  <c r="V792" i="5"/>
  <c r="X808" i="5"/>
  <c r="Q809" i="5"/>
  <c r="Y809" i="5" s="1"/>
  <c r="Y833" i="5"/>
  <c r="V833" i="5"/>
  <c r="V852" i="5"/>
  <c r="Y852" i="5"/>
  <c r="Z871" i="5"/>
  <c r="X871" i="5"/>
  <c r="Y884" i="5"/>
  <c r="V884" i="5"/>
  <c r="Z886" i="5"/>
  <c r="W955" i="5"/>
  <c r="Z966" i="5"/>
  <c r="Z987" i="5"/>
  <c r="W987" i="5"/>
  <c r="X1012" i="5"/>
  <c r="U1012" i="5"/>
  <c r="U544" i="5"/>
  <c r="U548" i="5"/>
  <c r="U551" i="5"/>
  <c r="V581" i="5"/>
  <c r="W585" i="5"/>
  <c r="U586" i="5"/>
  <c r="X587" i="5"/>
  <c r="V588" i="5"/>
  <c r="U589" i="5"/>
  <c r="V590" i="5"/>
  <c r="V591" i="5"/>
  <c r="V593" i="5"/>
  <c r="W594" i="5"/>
  <c r="V595" i="5"/>
  <c r="Y598" i="5"/>
  <c r="W599" i="5"/>
  <c r="W610" i="5"/>
  <c r="Z621" i="5"/>
  <c r="Z640" i="5"/>
  <c r="W659" i="5"/>
  <c r="V663" i="5"/>
  <c r="W666" i="5"/>
  <c r="W668" i="5"/>
  <c r="V682" i="5"/>
  <c r="U683" i="5"/>
  <c r="W684" i="5"/>
  <c r="W685" i="5"/>
  <c r="W688" i="5"/>
  <c r="V705" i="5"/>
  <c r="X708" i="5"/>
  <c r="X733" i="5"/>
  <c r="W742" i="5"/>
  <c r="V743" i="5"/>
  <c r="V745" i="5"/>
  <c r="U746" i="5"/>
  <c r="Z750" i="5"/>
  <c r="W750" i="5"/>
  <c r="U795" i="5"/>
  <c r="Z805" i="5"/>
  <c r="W805" i="5"/>
  <c r="V825" i="5"/>
  <c r="Y825" i="5"/>
  <c r="V826" i="5"/>
  <c r="Z839" i="5"/>
  <c r="W839" i="5"/>
  <c r="X847" i="5"/>
  <c r="U847" i="5"/>
  <c r="Y875" i="5"/>
  <c r="V880" i="5"/>
  <c r="U885" i="5"/>
  <c r="X893" i="5"/>
  <c r="U893" i="5"/>
  <c r="Z937" i="5"/>
  <c r="W937" i="5"/>
  <c r="V954" i="5"/>
  <c r="V960" i="5"/>
  <c r="W976" i="5"/>
  <c r="Z976" i="5"/>
  <c r="Y980" i="5"/>
  <c r="V980" i="5"/>
  <c r="Q986" i="5"/>
  <c r="Y986" i="5" s="1"/>
  <c r="Y985" i="5"/>
  <c r="U580" i="5"/>
  <c r="Z581" i="5"/>
  <c r="V586" i="5"/>
  <c r="Y587" i="5"/>
  <c r="W588" i="5"/>
  <c r="W590" i="5"/>
  <c r="Z591" i="5"/>
  <c r="Y592" i="5"/>
  <c r="Y594" i="5"/>
  <c r="U597" i="5"/>
  <c r="U633" i="5"/>
  <c r="V634" i="5"/>
  <c r="Y658" i="5"/>
  <c r="X659" i="5"/>
  <c r="W662" i="5"/>
  <c r="Y669" i="5"/>
  <c r="X681" i="5"/>
  <c r="V683" i="5"/>
  <c r="U704" i="5"/>
  <c r="W706" i="5"/>
  <c r="Y708" i="5"/>
  <c r="Y721" i="5"/>
  <c r="U731" i="5"/>
  <c r="Y742" i="5"/>
  <c r="X743" i="5"/>
  <c r="W744" i="5"/>
  <c r="X760" i="5"/>
  <c r="X766" i="5"/>
  <c r="Y787" i="5"/>
  <c r="V787" i="5"/>
  <c r="Y798" i="5"/>
  <c r="Y812" i="5"/>
  <c r="W875" i="5"/>
  <c r="Y904" i="5"/>
  <c r="V904" i="5"/>
  <c r="V926" i="5"/>
  <c r="Y929" i="5"/>
  <c r="V929" i="5"/>
  <c r="Z944" i="5"/>
  <c r="W944" i="5"/>
  <c r="Z958" i="5"/>
  <c r="W958" i="5"/>
  <c r="Z965" i="5"/>
  <c r="W986" i="5"/>
  <c r="Y1008" i="5"/>
  <c r="W543" i="5"/>
  <c r="U583" i="5"/>
  <c r="Z586" i="5"/>
  <c r="Y589" i="5"/>
  <c r="Z593" i="5"/>
  <c r="X595" i="5"/>
  <c r="W596" i="5"/>
  <c r="U630" i="5"/>
  <c r="V631" i="5"/>
  <c r="U632" i="5"/>
  <c r="X635" i="5"/>
  <c r="V636" i="5"/>
  <c r="U649" i="5"/>
  <c r="Z658" i="5"/>
  <c r="W660" i="5"/>
  <c r="W671" i="5"/>
  <c r="U678" i="5"/>
  <c r="V680" i="5"/>
  <c r="Z683" i="5"/>
  <c r="W703" i="5"/>
  <c r="Y704" i="5"/>
  <c r="U706" i="5"/>
  <c r="Y711" i="5"/>
  <c r="U716" i="5"/>
  <c r="V717" i="5"/>
  <c r="U719" i="5"/>
  <c r="V720" i="5"/>
  <c r="U728" i="5"/>
  <c r="V730" i="5"/>
  <c r="U735" i="5"/>
  <c r="Z743" i="5"/>
  <c r="Y774" i="5"/>
  <c r="V774" i="5"/>
  <c r="W781" i="5"/>
  <c r="Z781" i="5"/>
  <c r="U784" i="5"/>
  <c r="W794" i="5"/>
  <c r="Z794" i="5"/>
  <c r="Z797" i="5"/>
  <c r="W797" i="5"/>
  <c r="Y807" i="5"/>
  <c r="V807" i="5"/>
  <c r="X817" i="5"/>
  <c r="Z828" i="5"/>
  <c r="W828" i="5"/>
  <c r="X848" i="5"/>
  <c r="U851" i="5"/>
  <c r="X863" i="5"/>
  <c r="V867" i="5"/>
  <c r="Y888" i="5"/>
  <c r="V888" i="5"/>
  <c r="U892" i="5"/>
  <c r="X892" i="5"/>
  <c r="Z933" i="5"/>
  <c r="W933" i="5"/>
  <c r="Y943" i="5"/>
  <c r="V943" i="5"/>
  <c r="W951" i="5"/>
  <c r="U959" i="5"/>
  <c r="Z998" i="5"/>
  <c r="X1005" i="5"/>
  <c r="U1005" i="5"/>
  <c r="Z755" i="5"/>
  <c r="Z767" i="5"/>
  <c r="Z768" i="5"/>
  <c r="X769" i="5"/>
  <c r="V790" i="5"/>
  <c r="U797" i="5"/>
  <c r="Y800" i="5"/>
  <c r="Z803" i="5"/>
  <c r="U829" i="5"/>
  <c r="X839" i="5"/>
  <c r="V842" i="5"/>
  <c r="W843" i="5"/>
  <c r="V854" i="5"/>
  <c r="W861" i="5"/>
  <c r="X868" i="5"/>
  <c r="W883" i="5"/>
  <c r="Z884" i="5"/>
  <c r="Z888" i="5"/>
  <c r="U898" i="5"/>
  <c r="X911" i="5"/>
  <c r="V914" i="5"/>
  <c r="Y915" i="5"/>
  <c r="V916" i="5"/>
  <c r="U917" i="5"/>
  <c r="U951" i="5"/>
  <c r="Z954" i="5"/>
  <c r="Q955" i="5"/>
  <c r="Y955" i="5" s="1"/>
  <c r="Z964" i="5"/>
  <c r="U965" i="5"/>
  <c r="V966" i="5"/>
  <c r="U968" i="5"/>
  <c r="Z974" i="5"/>
  <c r="W975" i="5"/>
  <c r="W977" i="5"/>
  <c r="U978" i="5"/>
  <c r="V979" i="5"/>
  <c r="X985" i="5"/>
  <c r="Z988" i="5"/>
  <c r="Y993" i="5"/>
  <c r="Y1000" i="5"/>
  <c r="U776" i="5"/>
  <c r="U786" i="5"/>
  <c r="W808" i="5"/>
  <c r="Y813" i="5"/>
  <c r="U826" i="5"/>
  <c r="U831" i="5"/>
  <c r="V836" i="5"/>
  <c r="U837" i="5"/>
  <c r="W838" i="5"/>
  <c r="U858" i="5"/>
  <c r="U859" i="5"/>
  <c r="U867" i="5"/>
  <c r="X878" i="5"/>
  <c r="U880" i="5"/>
  <c r="U881" i="5"/>
  <c r="U883" i="5"/>
  <c r="W885" i="5"/>
  <c r="Y886" i="5"/>
  <c r="U887" i="5"/>
  <c r="V897" i="5"/>
  <c r="W916" i="5"/>
  <c r="W918" i="5"/>
  <c r="U921" i="5"/>
  <c r="V923" i="5"/>
  <c r="U924" i="5"/>
  <c r="W925" i="5"/>
  <c r="U926" i="5"/>
  <c r="U928" i="5"/>
  <c r="Z959" i="5"/>
  <c r="U960" i="5"/>
  <c r="X963" i="5"/>
  <c r="Y965" i="5"/>
  <c r="X975" i="5"/>
  <c r="X977" i="5"/>
  <c r="V982" i="5"/>
  <c r="U983" i="5"/>
  <c r="V747" i="5"/>
  <c r="U778" i="5"/>
  <c r="V779" i="5"/>
  <c r="U780" i="5"/>
  <c r="V781" i="5"/>
  <c r="U782" i="5"/>
  <c r="V783" i="5"/>
  <c r="W784" i="5"/>
  <c r="V785" i="5"/>
  <c r="X791" i="5"/>
  <c r="V794" i="5"/>
  <c r="W795" i="5"/>
  <c r="U805" i="5"/>
  <c r="U821" i="5"/>
  <c r="X824" i="5"/>
  <c r="U827" i="5"/>
  <c r="U845" i="5"/>
  <c r="X856" i="5"/>
  <c r="X857" i="5"/>
  <c r="W867" i="5"/>
  <c r="Z878" i="5"/>
  <c r="Z885" i="5"/>
  <c r="X905" i="5"/>
  <c r="W921" i="5"/>
  <c r="W926" i="5"/>
  <c r="W928" i="5"/>
  <c r="V931" i="5"/>
  <c r="U932" i="5"/>
  <c r="V934" i="5"/>
  <c r="U935" i="5"/>
  <c r="W936" i="5"/>
  <c r="U937" i="5"/>
  <c r="Y938" i="5"/>
  <c r="W941" i="5"/>
  <c r="X943" i="5"/>
  <c r="U944" i="5"/>
  <c r="V947" i="5"/>
  <c r="W984" i="5"/>
  <c r="V987" i="5"/>
  <c r="Y746" i="5"/>
  <c r="X749" i="5"/>
  <c r="U752" i="5"/>
  <c r="U773" i="5"/>
  <c r="U775" i="5"/>
  <c r="X779" i="5"/>
  <c r="X781" i="5"/>
  <c r="Y784" i="5"/>
  <c r="U793" i="5"/>
  <c r="W820" i="5"/>
  <c r="X829" i="5"/>
  <c r="V845" i="5"/>
  <c r="Y856" i="5"/>
  <c r="U864" i="5"/>
  <c r="Y870" i="5"/>
  <c r="Y871" i="5"/>
  <c r="Y874" i="5"/>
  <c r="U875" i="5"/>
  <c r="Z894" i="5"/>
  <c r="Y905" i="5"/>
  <c r="U907" i="5"/>
  <c r="U929" i="5"/>
  <c r="W934" i="5"/>
  <c r="V937" i="5"/>
  <c r="Z960" i="5"/>
  <c r="U1008" i="5"/>
  <c r="U1013" i="5"/>
  <c r="Y748" i="5"/>
  <c r="Y750" i="5"/>
  <c r="X751" i="5"/>
  <c r="W752" i="5"/>
  <c r="X753" i="5"/>
  <c r="U756" i="5"/>
  <c r="V765" i="5"/>
  <c r="X774" i="5"/>
  <c r="V777" i="5"/>
  <c r="Z791" i="5"/>
  <c r="X792" i="5"/>
  <c r="V802" i="5"/>
  <c r="Y805" i="5"/>
  <c r="X807" i="5"/>
  <c r="Z808" i="5"/>
  <c r="Z826" i="5"/>
  <c r="Y846" i="5"/>
  <c r="Z849" i="5"/>
  <c r="W865" i="5"/>
  <c r="X870" i="5"/>
  <c r="Z874" i="5"/>
  <c r="W878" i="5"/>
  <c r="Y891" i="5"/>
  <c r="W892" i="5"/>
  <c r="W894" i="5"/>
  <c r="Z905" i="5"/>
  <c r="X906" i="5"/>
  <c r="Z908" i="5"/>
  <c r="Z751" i="5"/>
  <c r="U757" i="5"/>
  <c r="V759" i="5"/>
  <c r="W760" i="5"/>
  <c r="U762" i="5"/>
  <c r="V763" i="5"/>
  <c r="W764" i="5"/>
  <c r="W791" i="5"/>
  <c r="Z807" i="5"/>
  <c r="W864" i="5"/>
  <c r="Z875" i="5"/>
  <c r="X889" i="5"/>
  <c r="Z891" i="5"/>
  <c r="W893" i="5"/>
  <c r="W901" i="5"/>
  <c r="V902" i="5"/>
  <c r="Z903" i="5"/>
  <c r="V905" i="5"/>
  <c r="V910" i="5"/>
  <c r="Y920" i="5"/>
  <c r="X920" i="5"/>
  <c r="Y968" i="5"/>
  <c r="U973" i="5"/>
  <c r="Z992" i="5"/>
  <c r="Z994" i="5"/>
  <c r="Z996" i="5"/>
  <c r="U997" i="5"/>
  <c r="U1001" i="5"/>
  <c r="V1002" i="5"/>
  <c r="W1011" i="5"/>
  <c r="V1014" i="5"/>
  <c r="R673" i="5"/>
  <c r="S674" i="5"/>
  <c r="Y674" i="5" s="1"/>
  <c r="T673" i="5"/>
  <c r="Z673" i="5" s="1"/>
  <c r="O674" i="5"/>
  <c r="U672" i="5"/>
  <c r="V791" i="5"/>
  <c r="Y3" i="5"/>
  <c r="V4" i="5"/>
  <c r="X6" i="5"/>
  <c r="X8" i="5"/>
  <c r="Y10" i="5"/>
  <c r="U11" i="5"/>
  <c r="Z12" i="5"/>
  <c r="V13" i="5"/>
  <c r="V15" i="5"/>
  <c r="Z16" i="5"/>
  <c r="V17" i="5"/>
  <c r="Z18" i="5"/>
  <c r="V19" i="5"/>
  <c r="Y20" i="5"/>
  <c r="U21" i="5"/>
  <c r="Z22" i="5"/>
  <c r="W23" i="5"/>
  <c r="Y25" i="5"/>
  <c r="X28" i="5"/>
  <c r="V36" i="5"/>
  <c r="X38" i="5"/>
  <c r="U39" i="5"/>
  <c r="W41" i="5"/>
  <c r="Y43" i="5"/>
  <c r="V44" i="5"/>
  <c r="X46" i="5"/>
  <c r="U47" i="5"/>
  <c r="Z48" i="5"/>
  <c r="Y51" i="5"/>
  <c r="X59" i="5"/>
  <c r="Z66" i="5"/>
  <c r="Y69" i="5"/>
  <c r="X72" i="5"/>
  <c r="U73" i="5"/>
  <c r="Z74" i="5"/>
  <c r="Y77" i="5"/>
  <c r="V78" i="5"/>
  <c r="X80" i="5"/>
  <c r="U81" i="5"/>
  <c r="Z82" i="5"/>
  <c r="W83" i="5"/>
  <c r="V86" i="5"/>
  <c r="Z87" i="5"/>
  <c r="U88" i="5"/>
  <c r="Y89" i="5"/>
  <c r="U90" i="5"/>
  <c r="Y91" i="5"/>
  <c r="U92" i="5"/>
  <c r="Z93" i="5"/>
  <c r="W94" i="5"/>
  <c r="Y96" i="5"/>
  <c r="X99" i="5"/>
  <c r="W102" i="5"/>
  <c r="V105" i="5"/>
  <c r="X107" i="5"/>
  <c r="U108" i="5"/>
  <c r="Y109" i="5"/>
  <c r="U110" i="5"/>
  <c r="W112" i="5"/>
  <c r="Y114" i="5"/>
  <c r="V115" i="5"/>
  <c r="X117" i="5"/>
  <c r="Z119" i="5"/>
  <c r="W120" i="5"/>
  <c r="Y122" i="5"/>
  <c r="V123" i="5"/>
  <c r="X125" i="5"/>
  <c r="U126" i="5"/>
  <c r="Z127" i="5"/>
  <c r="W128" i="5"/>
  <c r="Y130" i="5"/>
  <c r="V131" i="5"/>
  <c r="W135" i="5"/>
  <c r="U137" i="5"/>
  <c r="X137" i="5"/>
  <c r="Y140" i="5"/>
  <c r="U145" i="5"/>
  <c r="X145" i="5"/>
  <c r="Z153" i="5"/>
  <c r="Y154" i="5"/>
  <c r="Y156" i="5"/>
  <c r="X159" i="5"/>
  <c r="W163" i="5"/>
  <c r="Z163" i="5"/>
  <c r="Z170" i="5"/>
  <c r="U180" i="5"/>
  <c r="X180" i="5"/>
  <c r="U198" i="5"/>
  <c r="X198" i="5"/>
  <c r="Z205" i="5"/>
  <c r="Y211" i="5"/>
  <c r="V166" i="5"/>
  <c r="Y166" i="5"/>
  <c r="W182" i="5"/>
  <c r="Z182" i="5"/>
  <c r="V208" i="5"/>
  <c r="Y208" i="5"/>
  <c r="V216" i="5"/>
  <c r="Y216" i="5"/>
  <c r="V2" i="5"/>
  <c r="U5" i="5"/>
  <c r="V7" i="5"/>
  <c r="V9" i="5"/>
  <c r="W11" i="5"/>
  <c r="X19" i="5"/>
  <c r="W21" i="5"/>
  <c r="Y23" i="5"/>
  <c r="V24" i="5"/>
  <c r="X26" i="5"/>
  <c r="U27" i="5"/>
  <c r="Z28" i="5"/>
  <c r="W29" i="5"/>
  <c r="Y31" i="5"/>
  <c r="V32" i="5"/>
  <c r="V34" i="5"/>
  <c r="X36" i="5"/>
  <c r="U37" i="5"/>
  <c r="Z38" i="5"/>
  <c r="W39" i="5"/>
  <c r="Y41" i="5"/>
  <c r="V42" i="5"/>
  <c r="X44" i="5"/>
  <c r="U45" i="5"/>
  <c r="W47" i="5"/>
  <c r="Y49" i="5"/>
  <c r="V50" i="5"/>
  <c r="U53" i="5"/>
  <c r="Z54" i="5"/>
  <c r="W55" i="5"/>
  <c r="Y57" i="5"/>
  <c r="V58" i="5"/>
  <c r="V60" i="5"/>
  <c r="U63" i="5"/>
  <c r="W65" i="5"/>
  <c r="V68" i="5"/>
  <c r="X70" i="5"/>
  <c r="U71" i="5"/>
  <c r="Z72" i="5"/>
  <c r="W73" i="5"/>
  <c r="Y75" i="5"/>
  <c r="V76" i="5"/>
  <c r="X78" i="5"/>
  <c r="U79" i="5"/>
  <c r="Z80" i="5"/>
  <c r="W81" i="5"/>
  <c r="Y83" i="5"/>
  <c r="V84" i="5"/>
  <c r="X86" i="5"/>
  <c r="W88" i="5"/>
  <c r="W90" i="5"/>
  <c r="W92" i="5"/>
  <c r="Y94" i="5"/>
  <c r="V95" i="5"/>
  <c r="X97" i="5"/>
  <c r="U98" i="5"/>
  <c r="Z99" i="5"/>
  <c r="W100" i="5"/>
  <c r="Y102" i="5"/>
  <c r="V103" i="5"/>
  <c r="X105" i="5"/>
  <c r="U106" i="5"/>
  <c r="Z107" i="5"/>
  <c r="W108" i="5"/>
  <c r="W110" i="5"/>
  <c r="Y112" i="5"/>
  <c r="V113" i="5"/>
  <c r="U116" i="5"/>
  <c r="W118" i="5"/>
  <c r="V121" i="5"/>
  <c r="U124" i="5"/>
  <c r="W126" i="5"/>
  <c r="V129" i="5"/>
  <c r="U132" i="5"/>
  <c r="W147" i="5"/>
  <c r="Z147" i="5"/>
  <c r="Z159" i="5"/>
  <c r="V185" i="5"/>
  <c r="Y185" i="5"/>
  <c r="U200" i="5"/>
  <c r="X200" i="5"/>
  <c r="Y205" i="5"/>
  <c r="Y213" i="5"/>
  <c r="V218" i="5"/>
  <c r="Y218" i="5"/>
  <c r="W2" i="5"/>
  <c r="V5" i="5"/>
  <c r="W7" i="5"/>
  <c r="W9" i="5"/>
  <c r="U12" i="5"/>
  <c r="U14" i="5"/>
  <c r="U16" i="5"/>
  <c r="U22" i="5"/>
  <c r="W24" i="5"/>
  <c r="V27" i="5"/>
  <c r="U30" i="5"/>
  <c r="W32" i="5"/>
  <c r="W34" i="5"/>
  <c r="V37" i="5"/>
  <c r="U40" i="5"/>
  <c r="W42" i="5"/>
  <c r="V45" i="5"/>
  <c r="V53" i="5"/>
  <c r="U56" i="5"/>
  <c r="W58" i="5"/>
  <c r="W60" i="5"/>
  <c r="U66" i="5"/>
  <c r="W68" i="5"/>
  <c r="V71" i="5"/>
  <c r="U74" i="5"/>
  <c r="W76" i="5"/>
  <c r="W84" i="5"/>
  <c r="U87" i="5"/>
  <c r="U93" i="5"/>
  <c r="V137" i="5"/>
  <c r="Z143" i="5"/>
  <c r="W146" i="5"/>
  <c r="V150" i="5"/>
  <c r="Y150" i="5"/>
  <c r="Z161" i="5"/>
  <c r="Y162" i="5"/>
  <c r="Y164" i="5"/>
  <c r="Z178" i="5"/>
  <c r="U188" i="5"/>
  <c r="X188" i="5"/>
  <c r="Z209" i="5"/>
  <c r="V210" i="5"/>
  <c r="Y210" i="5"/>
  <c r="V220" i="5"/>
  <c r="Y220" i="5"/>
  <c r="U3" i="5"/>
  <c r="W5" i="5"/>
  <c r="U10" i="5"/>
  <c r="V12" i="5"/>
  <c r="V14" i="5"/>
  <c r="V16" i="5"/>
  <c r="V18" i="5"/>
  <c r="U20" i="5"/>
  <c r="V22" i="5"/>
  <c r="U25" i="5"/>
  <c r="W27" i="5"/>
  <c r="V30" i="5"/>
  <c r="U35" i="5"/>
  <c r="W37" i="5"/>
  <c r="V40" i="5"/>
  <c r="U43" i="5"/>
  <c r="W45" i="5"/>
  <c r="V48" i="5"/>
  <c r="U51" i="5"/>
  <c r="W53" i="5"/>
  <c r="V56" i="5"/>
  <c r="U61" i="5"/>
  <c r="W63" i="5"/>
  <c r="V66" i="5"/>
  <c r="U69" i="5"/>
  <c r="W71" i="5"/>
  <c r="V74" i="5"/>
  <c r="U77" i="5"/>
  <c r="W79" i="5"/>
  <c r="V82" i="5"/>
  <c r="U85" i="5"/>
  <c r="V87" i="5"/>
  <c r="U89" i="5"/>
  <c r="U91" i="5"/>
  <c r="V93" i="5"/>
  <c r="U96" i="5"/>
  <c r="W98" i="5"/>
  <c r="V101" i="5"/>
  <c r="U104" i="5"/>
  <c r="W106" i="5"/>
  <c r="U109" i="5"/>
  <c r="V111" i="5"/>
  <c r="U114" i="5"/>
  <c r="W116" i="5"/>
  <c r="V119" i="5"/>
  <c r="U122" i="5"/>
  <c r="W124" i="5"/>
  <c r="V127" i="5"/>
  <c r="U130" i="5"/>
  <c r="U133" i="5"/>
  <c r="V134" i="5"/>
  <c r="Y134" i="5"/>
  <c r="W139" i="5"/>
  <c r="Z139" i="5"/>
  <c r="U153" i="5"/>
  <c r="X153" i="5"/>
  <c r="X165" i="5"/>
  <c r="V169" i="5"/>
  <c r="Y169" i="5"/>
  <c r="Y183" i="5"/>
  <c r="X186" i="5"/>
  <c r="W190" i="5"/>
  <c r="Z190" i="5"/>
  <c r="V202" i="5"/>
  <c r="Y202" i="5"/>
  <c r="U33" i="5"/>
  <c r="V133" i="5"/>
  <c r="Y146" i="5"/>
  <c r="Y148" i="5"/>
  <c r="W155" i="5"/>
  <c r="Z155" i="5"/>
  <c r="U172" i="5"/>
  <c r="X172" i="5"/>
  <c r="V193" i="5"/>
  <c r="Y193" i="5"/>
  <c r="Z211" i="5"/>
  <c r="V212" i="5"/>
  <c r="Y212" i="5"/>
  <c r="Z132" i="5"/>
  <c r="V142" i="5"/>
  <c r="Y142" i="5"/>
  <c r="X149" i="5"/>
  <c r="V158" i="5"/>
  <c r="Y158" i="5"/>
  <c r="W174" i="5"/>
  <c r="Z174" i="5"/>
  <c r="U196" i="5"/>
  <c r="X196" i="5"/>
  <c r="Z200" i="5"/>
  <c r="V204" i="5"/>
  <c r="Y204" i="5"/>
  <c r="U161" i="5"/>
  <c r="X161" i="5"/>
  <c r="V177" i="5"/>
  <c r="Y177" i="5"/>
  <c r="Y191" i="5"/>
  <c r="X194" i="5"/>
  <c r="V206" i="5"/>
  <c r="Y206" i="5"/>
  <c r="Z213" i="5"/>
  <c r="V214" i="5"/>
  <c r="Y214" i="5"/>
  <c r="Y268" i="5"/>
  <c r="Y281" i="5"/>
  <c r="Y283" i="5"/>
  <c r="Y285" i="5"/>
  <c r="Y287" i="5"/>
  <c r="Y289" i="5"/>
  <c r="Y291" i="5"/>
  <c r="W292" i="5"/>
  <c r="Z297" i="5"/>
  <c r="W297" i="5"/>
  <c r="W300" i="5"/>
  <c r="W304" i="5"/>
  <c r="V308" i="5"/>
  <c r="X323" i="5"/>
  <c r="U323" i="5"/>
  <c r="Y331" i="5"/>
  <c r="Z336" i="5"/>
  <c r="Y344" i="5"/>
  <c r="V344" i="5"/>
  <c r="Z352" i="5"/>
  <c r="W352" i="5"/>
  <c r="V354" i="5"/>
  <c r="W359" i="5"/>
  <c r="V374" i="5"/>
  <c r="Y404" i="5"/>
  <c r="V404" i="5"/>
  <c r="Z417" i="5"/>
  <c r="W417" i="5"/>
  <c r="Y423" i="5"/>
  <c r="V423" i="5"/>
  <c r="Y425" i="5"/>
  <c r="V425" i="5"/>
  <c r="X427" i="5"/>
  <c r="U427" i="5"/>
  <c r="X435" i="5"/>
  <c r="U435" i="5"/>
  <c r="Z456" i="5"/>
  <c r="W456" i="5"/>
  <c r="U239" i="5"/>
  <c r="U241" i="5"/>
  <c r="U243" i="5"/>
  <c r="U245" i="5"/>
  <c r="V247" i="5"/>
  <c r="W267" i="5"/>
  <c r="W272" i="5"/>
  <c r="W274" i="5"/>
  <c r="W276" i="5"/>
  <c r="W280" i="5"/>
  <c r="V282" i="5"/>
  <c r="V284" i="5"/>
  <c r="V286" i="5"/>
  <c r="V288" i="5"/>
  <c r="V290" i="5"/>
  <c r="U292" i="5"/>
  <c r="Y296" i="5"/>
  <c r="U309" i="5"/>
  <c r="U317" i="5"/>
  <c r="W335" i="5"/>
  <c r="Z346" i="5"/>
  <c r="W346" i="5"/>
  <c r="Z350" i="5"/>
  <c r="W350" i="5"/>
  <c r="Z365" i="5"/>
  <c r="X407" i="5"/>
  <c r="U412" i="5"/>
  <c r="Z419" i="5"/>
  <c r="W419" i="5"/>
  <c r="Z433" i="5"/>
  <c r="W433" i="5"/>
  <c r="Y455" i="5"/>
  <c r="Y222" i="5"/>
  <c r="Y224" i="5"/>
  <c r="Y226" i="5"/>
  <c r="Y228" i="5"/>
  <c r="Y230" i="5"/>
  <c r="Y232" i="5"/>
  <c r="Y234" i="5"/>
  <c r="Y236" i="5"/>
  <c r="Y238" i="5"/>
  <c r="Z240" i="5"/>
  <c r="Z242" i="5"/>
  <c r="Z244" i="5"/>
  <c r="Z246" i="5"/>
  <c r="Y249" i="5"/>
  <c r="U250" i="5"/>
  <c r="Y251" i="5"/>
  <c r="Y253" i="5"/>
  <c r="Y255" i="5"/>
  <c r="Y257" i="5"/>
  <c r="Y259" i="5"/>
  <c r="Y261" i="5"/>
  <c r="Y263" i="5"/>
  <c r="Y265" i="5"/>
  <c r="X267" i="5"/>
  <c r="Y270" i="5"/>
  <c r="X272" i="5"/>
  <c r="X274" i="5"/>
  <c r="X276" i="5"/>
  <c r="Y278" i="5"/>
  <c r="X280" i="5"/>
  <c r="Z295" i="5"/>
  <c r="Z296" i="5"/>
  <c r="W310" i="5"/>
  <c r="Z310" i="5"/>
  <c r="W317" i="5"/>
  <c r="Z338" i="5"/>
  <c r="Y342" i="5"/>
  <c r="V342" i="5"/>
  <c r="Z348" i="5"/>
  <c r="W348" i="5"/>
  <c r="U364" i="5"/>
  <c r="X387" i="5"/>
  <c r="U387" i="5"/>
  <c r="X389" i="5"/>
  <c r="U389" i="5"/>
  <c r="X391" i="5"/>
  <c r="U391" i="5"/>
  <c r="X393" i="5"/>
  <c r="U393" i="5"/>
  <c r="W401" i="5"/>
  <c r="Y411" i="5"/>
  <c r="W414" i="5"/>
  <c r="Z421" i="5"/>
  <c r="W421" i="5"/>
  <c r="U429" i="5"/>
  <c r="Y432" i="5"/>
  <c r="X439" i="5"/>
  <c r="Y445" i="5"/>
  <c r="Y453" i="5"/>
  <c r="Y471" i="5"/>
  <c r="V471" i="5"/>
  <c r="X290" i="5"/>
  <c r="Y294" i="5"/>
  <c r="U298" i="5"/>
  <c r="U302" i="5"/>
  <c r="U306" i="5"/>
  <c r="V310" i="5"/>
  <c r="W314" i="5"/>
  <c r="Z315" i="5"/>
  <c r="U318" i="5"/>
  <c r="Y322" i="5"/>
  <c r="Z325" i="5"/>
  <c r="Z340" i="5"/>
  <c r="Z371" i="5"/>
  <c r="X371" i="5"/>
  <c r="X383" i="5"/>
  <c r="U383" i="5"/>
  <c r="X385" i="5"/>
  <c r="U385" i="5"/>
  <c r="X395" i="5"/>
  <c r="U395" i="5"/>
  <c r="W403" i="5"/>
  <c r="U406" i="5"/>
  <c r="Y430" i="5"/>
  <c r="V430" i="5"/>
  <c r="Y473" i="5"/>
  <c r="V473" i="5"/>
  <c r="Y475" i="5"/>
  <c r="V475" i="5"/>
  <c r="Z477" i="5"/>
  <c r="W477" i="5"/>
  <c r="W318" i="5"/>
  <c r="Y319" i="5"/>
  <c r="V319" i="5"/>
  <c r="Y333" i="5"/>
  <c r="V333" i="5"/>
  <c r="X336" i="5"/>
  <c r="U336" i="5"/>
  <c r="X358" i="5"/>
  <c r="U358" i="5"/>
  <c r="Z375" i="5"/>
  <c r="X375" i="5"/>
  <c r="X381" i="5"/>
  <c r="U381" i="5"/>
  <c r="W398" i="5"/>
  <c r="U398" i="5"/>
  <c r="Y449" i="5"/>
  <c r="Z460" i="5"/>
  <c r="W460" i="5"/>
  <c r="Y462" i="5"/>
  <c r="V462" i="5"/>
  <c r="X217" i="5"/>
  <c r="X219" i="5"/>
  <c r="X221" i="5"/>
  <c r="X223" i="5"/>
  <c r="X225" i="5"/>
  <c r="X227" i="5"/>
  <c r="X229" i="5"/>
  <c r="X231" i="5"/>
  <c r="X233" i="5"/>
  <c r="X235" i="5"/>
  <c r="X237" i="5"/>
  <c r="X252" i="5"/>
  <c r="X254" i="5"/>
  <c r="X256" i="5"/>
  <c r="X258" i="5"/>
  <c r="X260" i="5"/>
  <c r="X262" i="5"/>
  <c r="X264" i="5"/>
  <c r="X266" i="5"/>
  <c r="X279" i="5"/>
  <c r="Z292" i="5"/>
  <c r="W324" i="5"/>
  <c r="Y355" i="5"/>
  <c r="V355" i="5"/>
  <c r="Z360" i="5"/>
  <c r="W360" i="5"/>
  <c r="X363" i="5"/>
  <c r="X373" i="5"/>
  <c r="U373" i="5"/>
  <c r="V388" i="5"/>
  <c r="V390" i="5"/>
  <c r="V392" i="5"/>
  <c r="V394" i="5"/>
  <c r="X432" i="5"/>
  <c r="X445" i="5"/>
  <c r="Y464" i="5"/>
  <c r="V464" i="5"/>
  <c r="Z468" i="5"/>
  <c r="W468" i="5"/>
  <c r="W312" i="5"/>
  <c r="Z312" i="5"/>
  <c r="Y321" i="5"/>
  <c r="V321" i="5"/>
  <c r="W326" i="5"/>
  <c r="X338" i="5"/>
  <c r="U338" i="5"/>
  <c r="V386" i="5"/>
  <c r="Y400" i="5"/>
  <c r="V400" i="5"/>
  <c r="Z458" i="5"/>
  <c r="W458" i="5"/>
  <c r="Z466" i="5"/>
  <c r="W466" i="5"/>
  <c r="W293" i="5"/>
  <c r="U300" i="5"/>
  <c r="U304" i="5"/>
  <c r="W308" i="5"/>
  <c r="Z308" i="5"/>
  <c r="X314" i="5"/>
  <c r="Z322" i="5"/>
  <c r="Y327" i="5"/>
  <c r="W328" i="5"/>
  <c r="Y329" i="5"/>
  <c r="W330" i="5"/>
  <c r="X331" i="5"/>
  <c r="X340" i="5"/>
  <c r="U340" i="5"/>
  <c r="X350" i="5"/>
  <c r="V352" i="5"/>
  <c r="U357" i="5"/>
  <c r="Z363" i="5"/>
  <c r="X365" i="5"/>
  <c r="U368" i="5"/>
  <c r="U370" i="5"/>
  <c r="V382" i="5"/>
  <c r="V384" i="5"/>
  <c r="U396" i="5"/>
  <c r="Y398" i="5"/>
  <c r="V398" i="5"/>
  <c r="Y402" i="5"/>
  <c r="V402" i="5"/>
  <c r="Y407" i="5"/>
  <c r="X413" i="5"/>
  <c r="U413" i="5"/>
  <c r="Y415" i="5"/>
  <c r="V415" i="5"/>
  <c r="Y439" i="5"/>
  <c r="X449" i="5"/>
  <c r="W299" i="5"/>
  <c r="W301" i="5"/>
  <c r="W303" i="5"/>
  <c r="W305" i="5"/>
  <c r="V307" i="5"/>
  <c r="V309" i="5"/>
  <c r="W315" i="5"/>
  <c r="V317" i="5"/>
  <c r="V324" i="5"/>
  <c r="V326" i="5"/>
  <c r="V328" i="5"/>
  <c r="Z329" i="5"/>
  <c r="V330" i="5"/>
  <c r="W332" i="5"/>
  <c r="W339" i="5"/>
  <c r="W341" i="5"/>
  <c r="V343" i="5"/>
  <c r="W349" i="5"/>
  <c r="W351" i="5"/>
  <c r="U354" i="5"/>
  <c r="W356" i="5"/>
  <c r="V359" i="5"/>
  <c r="X369" i="5"/>
  <c r="Y373" i="5"/>
  <c r="U374" i="5"/>
  <c r="X377" i="5"/>
  <c r="X379" i="5"/>
  <c r="U382" i="5"/>
  <c r="Y383" i="5"/>
  <c r="Y385" i="5"/>
  <c r="U386" i="5"/>
  <c r="Y387" i="5"/>
  <c r="U388" i="5"/>
  <c r="Y389" i="5"/>
  <c r="U390" i="5"/>
  <c r="Y391" i="5"/>
  <c r="U392" i="5"/>
  <c r="Y393" i="5"/>
  <c r="U394" i="5"/>
  <c r="Y395" i="5"/>
  <c r="W397" i="5"/>
  <c r="V399" i="5"/>
  <c r="V401" i="5"/>
  <c r="V403" i="5"/>
  <c r="W405" i="5"/>
  <c r="X409" i="5"/>
  <c r="X411" i="5"/>
  <c r="V414" i="5"/>
  <c r="W416" i="5"/>
  <c r="W418" i="5"/>
  <c r="W420" i="5"/>
  <c r="V422" i="5"/>
  <c r="V424" i="5"/>
  <c r="V426" i="5"/>
  <c r="W429" i="5"/>
  <c r="V434" i="5"/>
  <c r="X451" i="5"/>
  <c r="X343" i="5"/>
  <c r="X345" i="5"/>
  <c r="Y347" i="5"/>
  <c r="Y349" i="5"/>
  <c r="U350" i="5"/>
  <c r="Y351" i="5"/>
  <c r="U352" i="5"/>
  <c r="V357" i="5"/>
  <c r="U360" i="5"/>
  <c r="V362" i="5"/>
  <c r="V364" i="5"/>
  <c r="V366" i="5"/>
  <c r="V368" i="5"/>
  <c r="Z369" i="5"/>
  <c r="V370" i="5"/>
  <c r="W372" i="5"/>
  <c r="W374" i="5"/>
  <c r="V376" i="5"/>
  <c r="Z377" i="5"/>
  <c r="V378" i="5"/>
  <c r="Z379" i="5"/>
  <c r="W380" i="5"/>
  <c r="W382" i="5"/>
  <c r="W384" i="5"/>
  <c r="W386" i="5"/>
  <c r="Y397" i="5"/>
  <c r="V406" i="5"/>
  <c r="V408" i="5"/>
  <c r="X414" i="5"/>
  <c r="Y416" i="5"/>
  <c r="Y420" i="5"/>
  <c r="V450" i="5"/>
  <c r="V452" i="5"/>
  <c r="Z453" i="5"/>
  <c r="V454" i="5"/>
  <c r="Z455" i="5"/>
  <c r="Y457" i="5"/>
  <c r="Y459" i="5"/>
  <c r="X461" i="5"/>
  <c r="X463" i="5"/>
  <c r="X465" i="5"/>
  <c r="Y467" i="5"/>
  <c r="Z469" i="5"/>
  <c r="X472" i="5"/>
  <c r="X474" i="5"/>
  <c r="Y476" i="5"/>
  <c r="U477" i="5"/>
  <c r="W452" i="5"/>
  <c r="W454" i="5"/>
  <c r="V456" i="5"/>
  <c r="V458" i="5"/>
  <c r="V460" i="5"/>
  <c r="U462" i="5"/>
  <c r="U464" i="5"/>
  <c r="V466" i="5"/>
  <c r="V468" i="5"/>
  <c r="U471" i="5"/>
  <c r="U473" i="5"/>
  <c r="U475" i="5"/>
  <c r="V477" i="5"/>
  <c r="X481" i="5"/>
  <c r="U481" i="5"/>
  <c r="X483" i="5"/>
  <c r="U483" i="5"/>
  <c r="X485" i="5"/>
  <c r="U485" i="5"/>
  <c r="X487" i="5"/>
  <c r="U487" i="5"/>
  <c r="X489" i="5"/>
  <c r="U489" i="5"/>
  <c r="Y481" i="5"/>
  <c r="V481" i="5"/>
  <c r="Y483" i="5"/>
  <c r="V483" i="5"/>
  <c r="Y485" i="5"/>
  <c r="V485" i="5"/>
  <c r="Y487" i="5"/>
  <c r="V487" i="5"/>
  <c r="Y489" i="5"/>
  <c r="V489" i="5"/>
  <c r="X421" i="5"/>
  <c r="Y428" i="5"/>
  <c r="Y436" i="5"/>
  <c r="Z478" i="5"/>
  <c r="W478" i="5"/>
  <c r="U478" i="5"/>
  <c r="U480" i="5"/>
  <c r="V482" i="5"/>
  <c r="Z637" i="5"/>
  <c r="W643" i="5"/>
  <c r="V653" i="5"/>
  <c r="W657" i="5"/>
  <c r="V667" i="5"/>
  <c r="U671" i="5"/>
  <c r="Z559" i="5"/>
  <c r="Y573" i="5"/>
  <c r="Z577" i="5"/>
  <c r="W584" i="5"/>
  <c r="Z587" i="5"/>
  <c r="V597" i="5"/>
  <c r="U598" i="5"/>
  <c r="V602" i="5"/>
  <c r="Z605" i="5"/>
  <c r="Y610" i="5"/>
  <c r="X615" i="5"/>
  <c r="V621" i="5"/>
  <c r="Z624" i="5"/>
  <c r="X629" i="5"/>
  <c r="Z633" i="5"/>
  <c r="U639" i="5"/>
  <c r="Z642" i="5"/>
  <c r="X643" i="5"/>
  <c r="U645" i="5"/>
  <c r="Z647" i="5"/>
  <c r="Y648" i="5"/>
  <c r="U654" i="5"/>
  <c r="U658" i="5"/>
  <c r="Z661" i="5"/>
  <c r="X662" i="5"/>
  <c r="U663" i="5"/>
  <c r="Y666" i="5"/>
  <c r="V671" i="5"/>
  <c r="Z479" i="5"/>
  <c r="X482" i="5"/>
  <c r="X484" i="5"/>
  <c r="X486" i="5"/>
  <c r="X488" i="5"/>
  <c r="X490" i="5"/>
  <c r="Y492" i="5"/>
  <c r="X495" i="5"/>
  <c r="Z497" i="5"/>
  <c r="V499" i="5"/>
  <c r="Z501" i="5"/>
  <c r="X505" i="5"/>
  <c r="U506" i="5"/>
  <c r="Y508" i="5"/>
  <c r="Y512" i="5"/>
  <c r="Z515" i="5"/>
  <c r="W516" i="5"/>
  <c r="X519" i="5"/>
  <c r="W520" i="5"/>
  <c r="W532" i="5"/>
  <c r="Y536" i="5"/>
  <c r="U538" i="5"/>
  <c r="Y540" i="5"/>
  <c r="Y541" i="5"/>
  <c r="Z545" i="5"/>
  <c r="V547" i="5"/>
  <c r="Y550" i="5"/>
  <c r="W552" i="5"/>
  <c r="Z555" i="5"/>
  <c r="V565" i="5"/>
  <c r="Z573" i="5"/>
  <c r="W579" i="5"/>
  <c r="X584" i="5"/>
  <c r="Z592" i="5"/>
  <c r="Y596" i="5"/>
  <c r="Z601" i="5"/>
  <c r="V603" i="5"/>
  <c r="X606" i="5"/>
  <c r="X611" i="5"/>
  <c r="W612" i="5"/>
  <c r="Z615" i="5"/>
  <c r="Y616" i="5"/>
  <c r="Y620" i="5"/>
  <c r="U622" i="5"/>
  <c r="X625" i="5"/>
  <c r="U626" i="5"/>
  <c r="Z629" i="5"/>
  <c r="W635" i="5"/>
  <c r="Y638" i="5"/>
  <c r="V639" i="5"/>
  <c r="U640" i="5"/>
  <c r="Z648" i="5"/>
  <c r="V659" i="5"/>
  <c r="Y662" i="5"/>
  <c r="U491" i="5"/>
  <c r="W493" i="5"/>
  <c r="V496" i="5"/>
  <c r="W499" i="5"/>
  <c r="U503" i="5"/>
  <c r="V506" i="5"/>
  <c r="V510" i="5"/>
  <c r="W513" i="5"/>
  <c r="V517" i="5"/>
  <c r="U521" i="5"/>
  <c r="Z523" i="5"/>
  <c r="V533" i="5"/>
  <c r="U534" i="5"/>
  <c r="V538" i="5"/>
  <c r="Z541" i="5"/>
  <c r="W547" i="5"/>
  <c r="X552" i="5"/>
  <c r="U553" i="5"/>
  <c r="V557" i="5"/>
  <c r="W561" i="5"/>
  <c r="Z569" i="5"/>
  <c r="V571" i="5"/>
  <c r="U575" i="5"/>
  <c r="X579" i="5"/>
  <c r="W580" i="5"/>
  <c r="U581" i="5"/>
  <c r="Z583" i="5"/>
  <c r="Y584" i="5"/>
  <c r="U590" i="5"/>
  <c r="U594" i="5"/>
  <c r="Z597" i="5"/>
  <c r="U599" i="5"/>
  <c r="W603" i="5"/>
  <c r="V607" i="5"/>
  <c r="U608" i="5"/>
  <c r="V613" i="5"/>
  <c r="W617" i="5"/>
  <c r="V622" i="5"/>
  <c r="Y630" i="5"/>
  <c r="W639" i="5"/>
  <c r="Y644" i="5"/>
  <c r="U650" i="5"/>
  <c r="Z653" i="5"/>
  <c r="V655" i="5"/>
  <c r="W663" i="5"/>
  <c r="U664" i="5"/>
  <c r="V668" i="5"/>
  <c r="V491" i="5"/>
  <c r="U494" i="5"/>
  <c r="W496" i="5"/>
  <c r="V503" i="5"/>
  <c r="W506" i="5"/>
  <c r="U514" i="5"/>
  <c r="U518" i="5"/>
  <c r="V525" i="5"/>
  <c r="W529" i="5"/>
  <c r="U543" i="5"/>
  <c r="U549" i="5"/>
  <c r="Z551" i="5"/>
  <c r="Y552" i="5"/>
  <c r="U558" i="5"/>
  <c r="U562" i="5"/>
  <c r="Z565" i="5"/>
  <c r="U567" i="5"/>
  <c r="V575" i="5"/>
  <c r="U576" i="5"/>
  <c r="Z533" i="5"/>
  <c r="Y566" i="5"/>
  <c r="Y580" i="5"/>
  <c r="Z589" i="5"/>
  <c r="X627" i="5"/>
  <c r="X641" i="5"/>
  <c r="X507" i="5"/>
  <c r="Z517" i="5"/>
  <c r="Y534" i="5"/>
  <c r="Y548" i="5"/>
  <c r="Z557" i="5"/>
  <c r="W600" i="5"/>
  <c r="Z525" i="5"/>
  <c r="V527" i="5"/>
  <c r="V554" i="5"/>
  <c r="X563" i="5"/>
  <c r="W568" i="5"/>
  <c r="W572" i="5"/>
  <c r="X591" i="5"/>
  <c r="W628" i="5"/>
  <c r="Y632" i="5"/>
  <c r="U634" i="5"/>
  <c r="Y637" i="5"/>
  <c r="V643" i="5"/>
  <c r="V647" i="5"/>
  <c r="Z651" i="5"/>
  <c r="V661" i="5"/>
  <c r="Z669" i="5"/>
  <c r="W672" i="5"/>
  <c r="X701" i="5"/>
  <c r="Y701" i="5"/>
  <c r="V677" i="5"/>
  <c r="X679" i="5"/>
  <c r="U680" i="5"/>
  <c r="Z681" i="5"/>
  <c r="W682" i="5"/>
  <c r="Y684" i="5"/>
  <c r="V685" i="5"/>
  <c r="X687" i="5"/>
  <c r="U688" i="5"/>
  <c r="Z689" i="5"/>
  <c r="W690" i="5"/>
  <c r="Y692" i="5"/>
  <c r="V693" i="5"/>
  <c r="X695" i="5"/>
  <c r="U696" i="5"/>
  <c r="Z697" i="5"/>
  <c r="W698" i="5"/>
  <c r="X700" i="5"/>
  <c r="Y702" i="5"/>
  <c r="V703" i="5"/>
  <c r="X705" i="5"/>
  <c r="Y707" i="5"/>
  <c r="X709" i="5"/>
  <c r="Y712" i="5"/>
  <c r="X715" i="5"/>
  <c r="X717" i="5"/>
  <c r="Y729" i="5"/>
  <c r="Z730" i="5"/>
  <c r="Y731" i="5"/>
  <c r="Z734" i="5"/>
  <c r="X738" i="5"/>
  <c r="Y758" i="5"/>
  <c r="Y762" i="5"/>
  <c r="X763" i="5"/>
  <c r="X765" i="5"/>
  <c r="Z766" i="5"/>
  <c r="W766" i="5"/>
  <c r="V776" i="5"/>
  <c r="W789" i="5"/>
  <c r="Y801" i="5"/>
  <c r="V801" i="5"/>
  <c r="Z806" i="5"/>
  <c r="W806" i="5"/>
  <c r="V810" i="5"/>
  <c r="Z812" i="5"/>
  <c r="W812" i="5"/>
  <c r="Z844" i="5"/>
  <c r="W844" i="5"/>
  <c r="Z846" i="5"/>
  <c r="W846" i="5"/>
  <c r="Y700" i="5"/>
  <c r="Y709" i="5"/>
  <c r="Z772" i="5"/>
  <c r="W772" i="5"/>
  <c r="Z777" i="5"/>
  <c r="W777" i="5"/>
  <c r="Z785" i="5"/>
  <c r="W785" i="5"/>
  <c r="Y808" i="5"/>
  <c r="V808" i="5"/>
  <c r="Y837" i="5"/>
  <c r="V837" i="5"/>
  <c r="W842" i="5"/>
  <c r="Z842" i="5"/>
  <c r="Y859" i="5"/>
  <c r="V859" i="5"/>
  <c r="Z700" i="5"/>
  <c r="Z754" i="5"/>
  <c r="W754" i="5"/>
  <c r="X796" i="5"/>
  <c r="U796" i="5"/>
  <c r="Z804" i="5"/>
  <c r="X819" i="5"/>
  <c r="U819" i="5"/>
  <c r="W832" i="5"/>
  <c r="Z832" i="5"/>
  <c r="Y941" i="5"/>
  <c r="V941" i="5"/>
  <c r="U962" i="5"/>
  <c r="X962" i="5"/>
  <c r="Y722" i="5"/>
  <c r="X725" i="5"/>
  <c r="Y734" i="5"/>
  <c r="X758" i="5"/>
  <c r="X759" i="5"/>
  <c r="U759" i="5"/>
  <c r="Z770" i="5"/>
  <c r="Y773" i="5"/>
  <c r="Y778" i="5"/>
  <c r="Z783" i="5"/>
  <c r="Y793" i="5"/>
  <c r="V793" i="5"/>
  <c r="Z798" i="5"/>
  <c r="W798" i="5"/>
  <c r="Z829" i="5"/>
  <c r="W829" i="5"/>
  <c r="V834" i="5"/>
  <c r="Y839" i="5"/>
  <c r="V839" i="5"/>
  <c r="Y866" i="5"/>
  <c r="W678" i="5"/>
  <c r="V681" i="5"/>
  <c r="U684" i="5"/>
  <c r="W686" i="5"/>
  <c r="V689" i="5"/>
  <c r="U692" i="5"/>
  <c r="W694" i="5"/>
  <c r="V697" i="5"/>
  <c r="U702" i="5"/>
  <c r="W704" i="5"/>
  <c r="U707" i="5"/>
  <c r="Z725" i="5"/>
  <c r="Q740" i="5"/>
  <c r="Y740" i="5" s="1"/>
  <c r="Y739" i="5"/>
  <c r="Y744" i="5"/>
  <c r="V744" i="5"/>
  <c r="Z756" i="5"/>
  <c r="W756" i="5"/>
  <c r="Y799" i="5"/>
  <c r="X818" i="5"/>
  <c r="U818" i="5"/>
  <c r="X727" i="5"/>
  <c r="Z729" i="5"/>
  <c r="X732" i="5"/>
  <c r="Q736" i="5"/>
  <c r="Y736" i="5" s="1"/>
  <c r="W741" i="5"/>
  <c r="X747" i="5"/>
  <c r="U747" i="5"/>
  <c r="Z761" i="5"/>
  <c r="W761" i="5"/>
  <c r="Y764" i="5"/>
  <c r="V764" i="5"/>
  <c r="X794" i="5"/>
  <c r="Z796" i="5"/>
  <c r="Y815" i="5"/>
  <c r="V815" i="5"/>
  <c r="Y728" i="5"/>
  <c r="Z739" i="5"/>
  <c r="W739" i="5"/>
  <c r="Y757" i="5"/>
  <c r="X770" i="5"/>
  <c r="U770" i="5"/>
  <c r="X783" i="5"/>
  <c r="U783" i="5"/>
  <c r="Y788" i="5"/>
  <c r="V788" i="5"/>
  <c r="V789" i="5"/>
  <c r="W818" i="5"/>
  <c r="Z818" i="5"/>
  <c r="U855" i="5"/>
  <c r="X855" i="5"/>
  <c r="X711" i="5"/>
  <c r="Z732" i="5"/>
  <c r="Y733" i="5"/>
  <c r="V733" i="5"/>
  <c r="Y735" i="5"/>
  <c r="V735" i="5"/>
  <c r="Z737" i="5"/>
  <c r="W737" i="5"/>
  <c r="Z749" i="5"/>
  <c r="W749" i="5"/>
  <c r="Y752" i="5"/>
  <c r="V752" i="5"/>
  <c r="Y775" i="5"/>
  <c r="V775" i="5"/>
  <c r="Y780" i="5"/>
  <c r="V780" i="5"/>
  <c r="Z790" i="5"/>
  <c r="W790" i="5"/>
  <c r="Y791" i="5"/>
  <c r="X804" i="5"/>
  <c r="U804" i="5"/>
  <c r="X816" i="5"/>
  <c r="X842" i="5"/>
  <c r="U842" i="5"/>
  <c r="V769" i="5"/>
  <c r="U772" i="5"/>
  <c r="W774" i="5"/>
  <c r="U777" i="5"/>
  <c r="W779" i="5"/>
  <c r="V782" i="5"/>
  <c r="U785" i="5"/>
  <c r="W787" i="5"/>
  <c r="U790" i="5"/>
  <c r="W792" i="5"/>
  <c r="V795" i="5"/>
  <c r="U798" i="5"/>
  <c r="W800" i="5"/>
  <c r="V803" i="5"/>
  <c r="U806" i="5"/>
  <c r="U812" i="5"/>
  <c r="W814" i="5"/>
  <c r="V817" i="5"/>
  <c r="X828" i="5"/>
  <c r="Z834" i="5"/>
  <c r="W834" i="5"/>
  <c r="U849" i="5"/>
  <c r="X850" i="5"/>
  <c r="Z870" i="5"/>
  <c r="W870" i="5"/>
  <c r="U922" i="5"/>
  <c r="X922" i="5"/>
  <c r="X936" i="5"/>
  <c r="U936" i="5"/>
  <c r="X952" i="5"/>
  <c r="U952" i="5"/>
  <c r="X822" i="5"/>
  <c r="U822" i="5"/>
  <c r="P866" i="5"/>
  <c r="U866" i="5" s="1"/>
  <c r="U865" i="5"/>
  <c r="Z868" i="5"/>
  <c r="W868" i="5"/>
  <c r="X895" i="5"/>
  <c r="Y896" i="5"/>
  <c r="V896" i="5"/>
  <c r="X904" i="5"/>
  <c r="U904" i="5"/>
  <c r="Y933" i="5"/>
  <c r="V933" i="5"/>
  <c r="U736" i="5"/>
  <c r="V738" i="5"/>
  <c r="U791" i="5"/>
  <c r="W793" i="5"/>
  <c r="V796" i="5"/>
  <c r="U799" i="5"/>
  <c r="W801" i="5"/>
  <c r="V804" i="5"/>
  <c r="W810" i="5"/>
  <c r="U813" i="5"/>
  <c r="W815" i="5"/>
  <c r="U839" i="5"/>
  <c r="X852" i="5"/>
  <c r="U852" i="5"/>
  <c r="Z856" i="5"/>
  <c r="W856" i="5"/>
  <c r="Y857" i="5"/>
  <c r="Y879" i="5"/>
  <c r="V879" i="5"/>
  <c r="Y895" i="5"/>
  <c r="Y906" i="5"/>
  <c r="V906" i="5"/>
  <c r="V940" i="5"/>
  <c r="U830" i="5"/>
  <c r="W841" i="5"/>
  <c r="Z854" i="5"/>
  <c r="W854" i="5"/>
  <c r="V856" i="5"/>
  <c r="X873" i="5"/>
  <c r="U873" i="5"/>
  <c r="Y877" i="5"/>
  <c r="V877" i="5"/>
  <c r="Y892" i="5"/>
  <c r="V892" i="5"/>
  <c r="Y894" i="5"/>
  <c r="V894" i="5"/>
  <c r="Z895" i="5"/>
  <c r="Z824" i="5"/>
  <c r="W824" i="5"/>
  <c r="Y827" i="5"/>
  <c r="V827" i="5"/>
  <c r="X832" i="5"/>
  <c r="U832" i="5"/>
  <c r="X860" i="5"/>
  <c r="U860" i="5"/>
  <c r="Z862" i="5"/>
  <c r="W862" i="5"/>
  <c r="Y864" i="5"/>
  <c r="V864" i="5"/>
  <c r="X890" i="5"/>
  <c r="U890" i="5"/>
  <c r="X899" i="5"/>
  <c r="U899" i="5"/>
  <c r="V912" i="5"/>
  <c r="Y912" i="5"/>
  <c r="Z930" i="5"/>
  <c r="W930" i="5"/>
  <c r="Q970" i="5"/>
  <c r="Y970" i="5" s="1"/>
  <c r="Z969" i="5"/>
  <c r="X820" i="5"/>
  <c r="W821" i="5"/>
  <c r="V824" i="5"/>
  <c r="Y849" i="5"/>
  <c r="V849" i="5"/>
  <c r="X882" i="5"/>
  <c r="U882" i="5"/>
  <c r="Y901" i="5"/>
  <c r="V901" i="5"/>
  <c r="X966" i="5"/>
  <c r="U966" i="5"/>
  <c r="V886" i="5"/>
  <c r="U886" i="5"/>
  <c r="U981" i="5"/>
  <c r="X981" i="5"/>
  <c r="Y820" i="5"/>
  <c r="V821" i="5"/>
  <c r="X823" i="5"/>
  <c r="Z825" i="5"/>
  <c r="Y828" i="5"/>
  <c r="Y830" i="5"/>
  <c r="X833" i="5"/>
  <c r="Z835" i="5"/>
  <c r="W836" i="5"/>
  <c r="Y838" i="5"/>
  <c r="Y840" i="5"/>
  <c r="V841" i="5"/>
  <c r="X843" i="5"/>
  <c r="U844" i="5"/>
  <c r="Y845" i="5"/>
  <c r="U846" i="5"/>
  <c r="Z847" i="5"/>
  <c r="W848" i="5"/>
  <c r="Y850" i="5"/>
  <c r="V851" i="5"/>
  <c r="X853" i="5"/>
  <c r="U854" i="5"/>
  <c r="Y855" i="5"/>
  <c r="U856" i="5"/>
  <c r="Z857" i="5"/>
  <c r="W858" i="5"/>
  <c r="Y860" i="5"/>
  <c r="V861" i="5"/>
  <c r="W863" i="5"/>
  <c r="Z864" i="5"/>
  <c r="V865" i="5"/>
  <c r="Z866" i="5"/>
  <c r="W869" i="5"/>
  <c r="Y873" i="5"/>
  <c r="X875" i="5"/>
  <c r="U876" i="5"/>
  <c r="Z877" i="5"/>
  <c r="V878" i="5"/>
  <c r="Z879" i="5"/>
  <c r="W880" i="5"/>
  <c r="Y882" i="5"/>
  <c r="X884" i="5"/>
  <c r="W886" i="5"/>
  <c r="X888" i="5"/>
  <c r="Y890" i="5"/>
  <c r="U891" i="5"/>
  <c r="V893" i="5"/>
  <c r="V895" i="5"/>
  <c r="Z896" i="5"/>
  <c r="W897" i="5"/>
  <c r="Y899" i="5"/>
  <c r="V900" i="5"/>
  <c r="Z901" i="5"/>
  <c r="W902" i="5"/>
  <c r="U905" i="5"/>
  <c r="W909" i="5"/>
  <c r="Z909" i="5"/>
  <c r="W919" i="5"/>
  <c r="Z919" i="5"/>
  <c r="Z945" i="5"/>
  <c r="W946" i="5"/>
  <c r="V948" i="5"/>
  <c r="V950" i="5"/>
  <c r="Y950" i="5"/>
  <c r="V955" i="5"/>
  <c r="V959" i="5"/>
  <c r="Y959" i="5"/>
  <c r="W978" i="5"/>
  <c r="Z978" i="5"/>
  <c r="V988" i="5"/>
  <c r="Y995" i="5"/>
  <c r="W999" i="5"/>
  <c r="W1007" i="5"/>
  <c r="U862" i="5"/>
  <c r="U868" i="5"/>
  <c r="Q869" i="5"/>
  <c r="X869" i="5" s="1"/>
  <c r="U870" i="5"/>
  <c r="V872" i="5"/>
  <c r="W874" i="5"/>
  <c r="W876" i="5"/>
  <c r="V881" i="5"/>
  <c r="V883" i="5"/>
  <c r="V885" i="5"/>
  <c r="V887" i="5"/>
  <c r="V889" i="5"/>
  <c r="W891" i="5"/>
  <c r="V898" i="5"/>
  <c r="V903" i="5"/>
  <c r="W905" i="5"/>
  <c r="X908" i="5"/>
  <c r="Z913" i="5"/>
  <c r="W932" i="5"/>
  <c r="Z932" i="5"/>
  <c r="V942" i="5"/>
  <c r="Y942" i="5"/>
  <c r="V949" i="5"/>
  <c r="U953" i="5"/>
  <c r="X953" i="5"/>
  <c r="V964" i="5"/>
  <c r="Y964" i="5"/>
  <c r="U967" i="5"/>
  <c r="X967" i="5"/>
  <c r="Z982" i="5"/>
  <c r="W982" i="5"/>
  <c r="V907" i="5"/>
  <c r="Y907" i="5"/>
  <c r="V911" i="5"/>
  <c r="W914" i="5"/>
  <c r="Z914" i="5"/>
  <c r="Y919" i="5"/>
  <c r="W931" i="5"/>
  <c r="V935" i="5"/>
  <c r="Y935" i="5"/>
  <c r="W963" i="5"/>
  <c r="U969" i="5"/>
  <c r="X969" i="5"/>
  <c r="U971" i="5"/>
  <c r="U980" i="5"/>
  <c r="V917" i="5"/>
  <c r="Y917" i="5"/>
  <c r="W924" i="5"/>
  <c r="Z924" i="5"/>
  <c r="U945" i="5"/>
  <c r="X945" i="5"/>
  <c r="Z955" i="5"/>
  <c r="Q956" i="5"/>
  <c r="Z956" i="5" s="1"/>
  <c r="Y969" i="5"/>
  <c r="X987" i="5"/>
  <c r="U987" i="5"/>
  <c r="U989" i="5"/>
  <c r="Z991" i="5"/>
  <c r="W991" i="5"/>
  <c r="Z920" i="5"/>
  <c r="W923" i="5"/>
  <c r="V927" i="5"/>
  <c r="Y927" i="5"/>
  <c r="Z938" i="5"/>
  <c r="Q939" i="5"/>
  <c r="Y939" i="5" s="1"/>
  <c r="X955" i="5"/>
  <c r="W973" i="5"/>
  <c r="Z973" i="5"/>
  <c r="U976" i="5"/>
  <c r="X976" i="5"/>
  <c r="U984" i="5"/>
  <c r="Z993" i="5"/>
  <c r="W993" i="5"/>
  <c r="Z995" i="5"/>
  <c r="W995" i="5"/>
  <c r="X998" i="5"/>
  <c r="U998" i="5"/>
  <c r="Z1000" i="5"/>
  <c r="W1000" i="5"/>
  <c r="Y1003" i="5"/>
  <c r="V1003" i="5"/>
  <c r="X1006" i="5"/>
  <c r="U1006" i="5"/>
  <c r="Z1008" i="5"/>
  <c r="W1008" i="5"/>
  <c r="Y1011" i="5"/>
  <c r="V1011" i="5"/>
  <c r="X1014" i="5"/>
  <c r="U1014" i="5"/>
  <c r="X910" i="5"/>
  <c r="U910" i="5"/>
  <c r="U957" i="5"/>
  <c r="X957" i="5"/>
  <c r="U930" i="5"/>
  <c r="X930" i="5"/>
  <c r="W947" i="5"/>
  <c r="Z947" i="5"/>
  <c r="W990" i="5"/>
  <c r="W912" i="5"/>
  <c r="U915" i="5"/>
  <c r="W917" i="5"/>
  <c r="V922" i="5"/>
  <c r="U925" i="5"/>
  <c r="W927" i="5"/>
  <c r="V930" i="5"/>
  <c r="U933" i="5"/>
  <c r="W935" i="5"/>
  <c r="U938" i="5"/>
  <c r="U940" i="5"/>
  <c r="W942" i="5"/>
  <c r="V945" i="5"/>
  <c r="U948" i="5"/>
  <c r="W950" i="5"/>
  <c r="V953" i="5"/>
  <c r="U955" i="5"/>
  <c r="V957" i="5"/>
  <c r="W959" i="5"/>
  <c r="V962" i="5"/>
  <c r="W964" i="5"/>
  <c r="V967" i="5"/>
  <c r="V969" i="5"/>
  <c r="V971" i="5"/>
  <c r="U974" i="5"/>
  <c r="V976" i="5"/>
  <c r="U979" i="5"/>
  <c r="V981" i="5"/>
  <c r="U988" i="5"/>
  <c r="Q989" i="5"/>
  <c r="Z989" i="5" s="1"/>
  <c r="V990" i="5"/>
  <c r="W992" i="5"/>
  <c r="W994" i="5"/>
  <c r="W996" i="5"/>
  <c r="V999" i="5"/>
  <c r="U1002" i="5"/>
  <c r="W1004" i="5"/>
  <c r="V1007" i="5"/>
  <c r="U1010" i="5"/>
  <c r="W1012" i="5"/>
  <c r="V1015" i="5"/>
  <c r="W1015" i="5"/>
  <c r="Z983" i="5"/>
  <c r="Z985" i="5"/>
  <c r="X990" i="5"/>
  <c r="Y992" i="5"/>
  <c r="Y994" i="5"/>
  <c r="Y996" i="5"/>
  <c r="X999" i="5"/>
  <c r="Z1001" i="5"/>
  <c r="Y1004" i="5"/>
  <c r="X1007" i="5"/>
  <c r="Z1009" i="5"/>
  <c r="Y1012" i="5"/>
  <c r="X1015" i="5"/>
  <c r="U1016" i="5"/>
  <c r="X735" i="5" l="1"/>
  <c r="V672" i="5"/>
  <c r="H673" i="5"/>
  <c r="C674" i="5"/>
  <c r="X809" i="5"/>
  <c r="S673" i="5"/>
  <c r="W866" i="5"/>
  <c r="X734" i="5"/>
  <c r="Q810" i="5"/>
  <c r="Z810" i="5" s="1"/>
  <c r="V866" i="5"/>
  <c r="V830" i="5"/>
  <c r="Y956" i="5"/>
  <c r="Z986" i="5"/>
  <c r="Z736" i="5"/>
  <c r="X986" i="5"/>
  <c r="X989" i="5"/>
  <c r="Z809" i="5"/>
  <c r="Y869" i="5"/>
  <c r="W673" i="5"/>
  <c r="O675" i="5"/>
  <c r="T674" i="5"/>
  <c r="V674" i="5"/>
  <c r="N676" i="5"/>
  <c r="R674" i="5"/>
  <c r="X673" i="5"/>
  <c r="U673" i="5"/>
  <c r="Z970" i="5"/>
  <c r="Q741" i="5"/>
  <c r="X740" i="5"/>
  <c r="Z740" i="5"/>
  <c r="Y989" i="5"/>
  <c r="Q940" i="5"/>
  <c r="Z939" i="5"/>
  <c r="Z869" i="5"/>
  <c r="X810" i="5"/>
  <c r="Q811" i="5"/>
  <c r="Q971" i="5"/>
  <c r="X970" i="5"/>
  <c r="X939" i="5"/>
  <c r="X736" i="5"/>
  <c r="X956" i="5"/>
  <c r="H674" i="5" l="1"/>
  <c r="C675" i="5"/>
  <c r="Y673" i="5"/>
  <c r="V673" i="5"/>
  <c r="Y810" i="5"/>
  <c r="T675" i="5"/>
  <c r="O676" i="5"/>
  <c r="R676" i="5"/>
  <c r="R675" i="5"/>
  <c r="S676" i="5"/>
  <c r="S675" i="5"/>
  <c r="X674" i="5"/>
  <c r="U674" i="5"/>
  <c r="Z674" i="5"/>
  <c r="W674" i="5"/>
  <c r="Z971" i="5"/>
  <c r="Y971" i="5"/>
  <c r="X971" i="5"/>
  <c r="Z940" i="5"/>
  <c r="Y940" i="5"/>
  <c r="X940" i="5"/>
  <c r="Z811" i="5"/>
  <c r="Y811" i="5"/>
  <c r="X811" i="5"/>
  <c r="Y741" i="5"/>
  <c r="X741" i="5"/>
  <c r="Z741" i="5"/>
  <c r="H675" i="5" l="1"/>
  <c r="C676" i="5"/>
  <c r="H676" i="5" s="1"/>
  <c r="T676" i="5"/>
  <c r="W676" i="5" s="1"/>
  <c r="W675" i="5"/>
  <c r="Z675" i="5"/>
  <c r="V676" i="5"/>
  <c r="Y676" i="5"/>
  <c r="Y675" i="5"/>
  <c r="V675" i="5"/>
  <c r="X675" i="5"/>
  <c r="U675" i="5"/>
  <c r="X676" i="5"/>
  <c r="U676" i="5"/>
  <c r="Z67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36" authorId="0" shapeId="0" xr:uid="{4FEF3374-7A08-4DAF-A92F-476B3801E68B}">
      <text>
        <r>
          <rPr>
            <sz val="10"/>
            <color rgb="FF000000"/>
            <rFont val="Arial"/>
            <scheme val="minor"/>
          </rPr>
          <t xml:space="preserve">39,3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636" authorId="0" shapeId="0" xr:uid="{00000000-0006-0000-0400-000001000000}">
      <text>
        <r>
          <rPr>
            <sz val="10"/>
            <color rgb="FF000000"/>
            <rFont val="Arial"/>
            <scheme val="minor"/>
          </rPr>
          <t xml:space="preserve">39,3
</t>
        </r>
      </text>
    </comment>
  </commentList>
</comments>
</file>

<file path=xl/sharedStrings.xml><?xml version="1.0" encoding="utf-8"?>
<sst xmlns="http://schemas.openxmlformats.org/spreadsheetml/2006/main" count="2548" uniqueCount="230">
  <si>
    <t>NAME</t>
  </si>
  <si>
    <t>YEAR</t>
  </si>
  <si>
    <t>NI/TA</t>
  </si>
  <si>
    <t>TL/TA</t>
  </si>
  <si>
    <t>CA/CL</t>
  </si>
  <si>
    <t>FD</t>
  </si>
  <si>
    <t>FL</t>
  </si>
  <si>
    <t>CFO</t>
  </si>
  <si>
    <t>CFI</t>
  </si>
  <si>
    <t>CFF</t>
  </si>
  <si>
    <t>FO (cổ đông nước ngoài)</t>
  </si>
  <si>
    <t>BO (giám đốc, kế toán trưởng)</t>
  </si>
  <si>
    <t>CFO_FO</t>
  </si>
  <si>
    <t>CFI_FO</t>
  </si>
  <si>
    <t>CFF_FO</t>
  </si>
  <si>
    <t>CFO_BO</t>
  </si>
  <si>
    <t>CFI_BO</t>
  </si>
  <si>
    <t>CFF_BO</t>
  </si>
  <si>
    <t>AAA</t>
  </si>
  <si>
    <t>ACC</t>
  </si>
  <si>
    <t>AAM</t>
  </si>
  <si>
    <t>ABR</t>
  </si>
  <si>
    <t>ABT</t>
  </si>
  <si>
    <t>ACL</t>
  </si>
  <si>
    <t>AGM</t>
  </si>
  <si>
    <t>AMD</t>
  </si>
  <si>
    <t>ANV</t>
  </si>
  <si>
    <t>APC</t>
  </si>
  <si>
    <t>ASM</t>
  </si>
  <si>
    <t>ASP</t>
  </si>
  <si>
    <t>BCG</t>
  </si>
  <si>
    <t>BMC</t>
  </si>
  <si>
    <t>BMP</t>
  </si>
  <si>
    <t>BRC</t>
  </si>
  <si>
    <t>BWE</t>
  </si>
  <si>
    <t>C32</t>
  </si>
  <si>
    <t>CAV</t>
  </si>
  <si>
    <t>CCL</t>
  </si>
  <si>
    <t>CDC</t>
  </si>
  <si>
    <t>CII</t>
  </si>
  <si>
    <t>CLC</t>
  </si>
  <si>
    <t>CLL</t>
  </si>
  <si>
    <t>CLW</t>
  </si>
  <si>
    <t>CMX</t>
  </si>
  <si>
    <t>COM</t>
  </si>
  <si>
    <t>CRC</t>
  </si>
  <si>
    <t>CSM</t>
  </si>
  <si>
    <t>CSV</t>
  </si>
  <si>
    <t>CTD</t>
  </si>
  <si>
    <t>CTI</t>
  </si>
  <si>
    <t>CMG</t>
  </si>
  <si>
    <t>D2D</t>
  </si>
  <si>
    <t>DAH</t>
  </si>
  <si>
    <t>DAT</t>
  </si>
  <si>
    <t>DBC</t>
  </si>
  <si>
    <t>DBT</t>
  </si>
  <si>
    <t>DC4</t>
  </si>
  <si>
    <t>DCL</t>
  </si>
  <si>
    <t>DCM</t>
  </si>
  <si>
    <t>DGC</t>
  </si>
  <si>
    <t>DGW</t>
  </si>
  <si>
    <t>DHA</t>
  </si>
  <si>
    <t>DHC</t>
  </si>
  <si>
    <t>DHG</t>
  </si>
  <si>
    <t>DHM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</si>
  <si>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</si>
  <si>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</si>
  <si>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</si>
  <si>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</si>
  <si>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</si>
  <si>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</si>
  <si>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</si>
  <si>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</si>
  <si>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</si>
  <si>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</si>
  <si>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</si>
  <si>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</si>
  <si>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</si>
  <si>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</si>
  <si>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</si>
  <si>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</si>
  <si>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</si>
  <si>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</si>
  <si>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</si>
  <si>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</si>
  <si>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EVG</t>
  </si>
  <si>
    <t>FCM</t>
  </si>
  <si>
    <t>FCN</t>
  </si>
  <si>
    <t>FDC</t>
  </si>
  <si>
    <t>FIT</t>
  </si>
  <si>
    <t>FMC</t>
  </si>
  <si>
    <t>FPT</t>
  </si>
  <si>
    <t>FRT</t>
  </si>
  <si>
    <t>GAS</t>
  </si>
  <si>
    <t>GDT</t>
  </si>
  <si>
    <t>GEG</t>
  </si>
  <si>
    <t>GEX</t>
  </si>
  <si>
    <t>GIL</t>
  </si>
  <si>
    <t>GMC</t>
  </si>
  <si>
    <t>GMD</t>
  </si>
  <si>
    <t>GSP</t>
  </si>
  <si>
    <t>GTA</t>
  </si>
  <si>
    <t>HAG</t>
  </si>
  <si>
    <t>HAH</t>
  </si>
  <si>
    <t>HAP</t>
  </si>
  <si>
    <t>HAR</t>
  </si>
  <si>
    <t>HAX</t>
  </si>
  <si>
    <t>HBC</t>
  </si>
  <si>
    <t>HDC</t>
  </si>
  <si>
    <t>HDG</t>
  </si>
  <si>
    <t>HHS</t>
  </si>
  <si>
    <t>HII</t>
  </si>
  <si>
    <t>HMC</t>
  </si>
  <si>
    <t>HNG</t>
  </si>
  <si>
    <t>HOT</t>
  </si>
  <si>
    <t>HPG</t>
  </si>
  <si>
    <t>HQC</t>
  </si>
  <si>
    <t>HSG</t>
  </si>
  <si>
    <t>HTI</t>
  </si>
  <si>
    <t>HU3</t>
  </si>
  <si>
    <t>HUB</t>
  </si>
  <si>
    <t>IBC</t>
  </si>
  <si>
    <t>IDI</t>
  </si>
  <si>
    <t>IJC</t>
  </si>
  <si>
    <t>ITC</t>
  </si>
  <si>
    <t>KBC</t>
  </si>
  <si>
    <t>KDH</t>
  </si>
  <si>
    <t>KHP</t>
  </si>
  <si>
    <t>KMR</t>
  </si>
  <si>
    <t>KPF</t>
  </si>
  <si>
    <t>KSB</t>
  </si>
  <si>
    <t>L10</t>
  </si>
  <si>
    <t>LAF</t>
  </si>
  <si>
    <t>LBM</t>
  </si>
  <si>
    <t>LCG</t>
  </si>
  <si>
    <t>LDG</t>
  </si>
  <si>
    <t>LEC</t>
  </si>
  <si>
    <t>LGC</t>
  </si>
  <si>
    <t>LGL</t>
  </si>
  <si>
    <t>LIX</t>
  </si>
  <si>
    <t>LM8</t>
  </si>
  <si>
    <t>LSS</t>
  </si>
  <si>
    <t>MDG</t>
  </si>
  <si>
    <t>MSN</t>
  </si>
  <si>
    <t>NAF</t>
  </si>
  <si>
    <t>NBB</t>
  </si>
  <si>
    <t>NKG</t>
  </si>
  <si>
    <t>NLG</t>
  </si>
  <si>
    <t>NNC</t>
  </si>
  <si>
    <t>NSC</t>
  </si>
  <si>
    <t>NT2</t>
  </si>
  <si>
    <t>NTL</t>
  </si>
  <si>
    <t>OGC</t>
  </si>
  <si>
    <t>PAC</t>
  </si>
  <si>
    <t>PAN</t>
  </si>
  <si>
    <t>PC1</t>
  </si>
  <si>
    <t>PDN</t>
  </si>
  <si>
    <t>PDR</t>
  </si>
  <si>
    <t>PGC</t>
  </si>
  <si>
    <t>PHC</t>
  </si>
  <si>
    <t>PHR</t>
  </si>
  <si>
    <t>PIT</t>
  </si>
  <si>
    <t>PJT</t>
  </si>
  <si>
    <t>PLX</t>
  </si>
  <si>
    <t>PMG</t>
  </si>
  <si>
    <t>PTB</t>
  </si>
  <si>
    <t>PTC</t>
  </si>
  <si>
    <t>PVP</t>
  </si>
  <si>
    <t>RAL</t>
  </si>
  <si>
    <t>RDP</t>
  </si>
  <si>
    <t>S4A</t>
  </si>
  <si>
    <t>SAM</t>
  </si>
  <si>
    <t>SBV</t>
  </si>
  <si>
    <t>SC5</t>
  </si>
  <si>
    <t>SFG</t>
  </si>
  <si>
    <t>SFI</t>
  </si>
  <si>
    <t>SGN</t>
  </si>
  <si>
    <t>SGR</t>
  </si>
  <si>
    <t>SGT</t>
  </si>
  <si>
    <t>SHA</t>
  </si>
  <si>
    <t>SHI</t>
  </si>
  <si>
    <t>SHP</t>
  </si>
  <si>
    <t>SII</t>
  </si>
  <si>
    <t>SJF</t>
  </si>
  <si>
    <t>SJS</t>
  </si>
  <si>
    <t>SKG</t>
  </si>
  <si>
    <t>SMC</t>
  </si>
  <si>
    <t>SRF</t>
  </si>
  <si>
    <t>SSC</t>
  </si>
  <si>
    <t>ST8</t>
  </si>
  <si>
    <t>STG</t>
  </si>
  <si>
    <t>STK</t>
  </si>
  <si>
    <t>SVI</t>
  </si>
  <si>
    <t>SVT</t>
  </si>
  <si>
    <t>SZL</t>
  </si>
  <si>
    <t>TBC</t>
  </si>
  <si>
    <t>TCD</t>
  </si>
  <si>
    <t>TCH</t>
  </si>
  <si>
    <t>TCL</t>
  </si>
  <si>
    <t>TCM</t>
  </si>
  <si>
    <t>TCO</t>
  </si>
  <si>
    <t>TCT</t>
  </si>
  <si>
    <t>TDG</t>
  </si>
  <si>
    <t>TDM</t>
  </si>
  <si>
    <t>TDW</t>
  </si>
  <si>
    <t>TEG</t>
  </si>
  <si>
    <t>TIX</t>
  </si>
  <si>
    <t>TLD</t>
  </si>
  <si>
    <t>THG</t>
  </si>
  <si>
    <t>THI</t>
  </si>
  <si>
    <t>VNM</t>
  </si>
  <si>
    <t>VRE</t>
  </si>
  <si>
    <t>VOS</t>
  </si>
  <si>
    <t>VPD</t>
  </si>
  <si>
    <t>VIC</t>
  </si>
  <si>
    <t>VPG</t>
  </si>
  <si>
    <t>FO</t>
  </si>
  <si>
    <t>VPH</t>
  </si>
  <si>
    <t>VRC</t>
  </si>
  <si>
    <t>VSI</t>
  </si>
  <si>
    <t>VTO</t>
  </si>
  <si>
    <t>NI</t>
  </si>
  <si>
    <t>TL</t>
  </si>
  <si>
    <t>TA</t>
  </si>
  <si>
    <t>CA</t>
  </si>
  <si>
    <t>CL</t>
  </si>
  <si>
    <t xml:space="preserve">BO </t>
  </si>
  <si>
    <t>CFO_FL</t>
  </si>
  <si>
    <t>CFF_FL</t>
  </si>
  <si>
    <t>CFI_FL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</si>
</sst>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00"/>
  </numFmts>
  <fonts count="2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15096"/>
      <name val="Arial"/>
    </font>
    <font>
      <sz val="10"/>
      <color rgb="FF015096"/>
      <name val="Arial"/>
    </font>
    <font>
      <sz val="8"/>
      <color rgb="FF000000"/>
      <name val="&quot;Trebuchet MS&quot;"/>
    </font>
    <font>
      <sz val="10"/>
      <color theme="1"/>
      <name val="Arial"/>
    </font>
    <font>
      <sz val="10"/>
      <color rgb="FF424143"/>
      <name val="UTMNokiaStandardBold"/>
    </font>
    <font>
      <u/>
      <sz val="11"/>
      <color rgb="FF015096"/>
      <name val="Helvetica"/>
    </font>
    <font>
      <u/>
      <sz val="11"/>
      <color rgb="FFFF0000"/>
      <name val="Helvetica"/>
    </font>
    <font>
      <u/>
      <sz val="11"/>
      <color rgb="FFFF0000"/>
      <name val="Helvetica"/>
    </font>
    <font>
      <sz val="11"/>
      <color rgb="FF333333"/>
      <name val="Helvetica"/>
    </font>
    <font>
      <sz val="11"/>
      <color rgb="FF015096"/>
      <name val="Helvetica"/>
    </font>
    <font>
      <b/>
      <sz val="10"/>
      <color theme="1"/>
      <name val="Arial"/>
      <scheme val="minor"/>
    </font>
    <font>
      <sz val="12"/>
      <color theme="1"/>
      <name val="Times New Roman"/>
    </font>
    <font>
      <strike/>
      <u/>
      <sz val="10"/>
      <color rgb="FF015096"/>
      <name val="Arial"/>
    </font>
    <font>
      <strike/>
      <u/>
      <sz val="10"/>
      <color theme="1"/>
      <name val="Arial"/>
    </font>
    <font>
      <strike/>
      <u/>
      <sz val="10"/>
      <color theme="1"/>
      <name val="Arial"/>
    </font>
    <font>
      <strike/>
      <u/>
      <sz val="10"/>
      <color rgb="FF000000"/>
      <name val="Arial"/>
    </font>
    <font>
      <b/>
      <strike/>
      <u/>
      <sz val="10"/>
      <color theme="1"/>
      <name val="Arial"/>
    </font>
    <font>
      <strike/>
      <u/>
      <sz val="10"/>
      <color theme="1"/>
      <name val="Arial"/>
    </font>
    <font>
      <strike/>
      <u/>
      <sz val="10"/>
      <color theme="1"/>
      <name val="Arial"/>
    </font>
    <font>
      <strike/>
      <u/>
      <sz val="10"/>
      <color theme="1"/>
      <name val="Arial"/>
    </font>
    <font>
      <strike/>
      <u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 applyAlignment="1">
      <alignment wrapText="1"/>
    </xf>
    <xf numFmtId="164" fontId="1" fillId="3" borderId="0" xfId="0" applyNumberFormat="1" applyFont="1" applyFill="1"/>
    <xf numFmtId="0" fontId="1" fillId="4" borderId="0" xfId="0" applyFont="1" applyFill="1"/>
    <xf numFmtId="10" fontId="1" fillId="4" borderId="0" xfId="0" applyNumberFormat="1" applyFont="1" applyFill="1"/>
    <xf numFmtId="10" fontId="1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/>
    <xf numFmtId="164" fontId="2" fillId="0" borderId="0" xfId="0" applyNumberFormat="1" applyFont="1"/>
    <xf numFmtId="10" fontId="2" fillId="4" borderId="0" xfId="0" applyNumberFormat="1" applyFont="1" applyFill="1"/>
    <xf numFmtId="10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5" borderId="0" xfId="0" applyNumberFormat="1" applyFont="1" applyFill="1"/>
    <xf numFmtId="164" fontId="2" fillId="5" borderId="0" xfId="0" applyNumberFormat="1" applyFont="1" applyFill="1"/>
    <xf numFmtId="164" fontId="2" fillId="6" borderId="0" xfId="0" applyNumberFormat="1" applyFont="1" applyFill="1"/>
    <xf numFmtId="164" fontId="3" fillId="5" borderId="0" xfId="0" applyNumberFormat="1" applyFont="1" applyFill="1" applyAlignment="1">
      <alignment horizontal="right"/>
    </xf>
    <xf numFmtId="10" fontId="3" fillId="4" borderId="0" xfId="0" applyNumberFormat="1" applyFont="1" applyFill="1"/>
    <xf numFmtId="164" fontId="3" fillId="0" borderId="0" xfId="0" applyNumberFormat="1" applyFont="1" applyAlignment="1">
      <alignment horizontal="right"/>
    </xf>
    <xf numFmtId="10" fontId="2" fillId="4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0" fontId="4" fillId="0" borderId="0" xfId="0" applyNumberFormat="1" applyFont="1"/>
    <xf numFmtId="9" fontId="2" fillId="4" borderId="0" xfId="0" applyNumberFormat="1" applyFont="1" applyFill="1"/>
    <xf numFmtId="164" fontId="8" fillId="0" borderId="0" xfId="0" applyNumberFormat="1" applyFont="1" applyAlignment="1">
      <alignment horizontal="right"/>
    </xf>
    <xf numFmtId="10" fontId="9" fillId="0" borderId="0" xfId="0" applyNumberFormat="1" applyFont="1"/>
    <xf numFmtId="164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3" fillId="5" borderId="0" xfId="0" applyNumberFormat="1" applyFont="1" applyFill="1"/>
    <xf numFmtId="164" fontId="14" fillId="7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/>
    </xf>
    <xf numFmtId="0" fontId="2" fillId="4" borderId="0" xfId="0" applyFont="1" applyFill="1"/>
    <xf numFmtId="0" fontId="15" fillId="2" borderId="0" xfId="0" applyFont="1" applyFill="1"/>
    <xf numFmtId="0" fontId="16" fillId="0" borderId="0" xfId="0" applyFont="1"/>
    <xf numFmtId="164" fontId="17" fillId="2" borderId="1" xfId="0" applyNumberFormat="1" applyFont="1" applyFill="1" applyBorder="1" applyAlignment="1">
      <alignment horizontal="center"/>
    </xf>
    <xf numFmtId="164" fontId="19" fillId="0" borderId="0" xfId="0" applyNumberFormat="1" applyFont="1"/>
    <xf numFmtId="164" fontId="20" fillId="0" borderId="0" xfId="0" applyNumberFormat="1" applyFont="1" applyAlignment="1">
      <alignment horizontal="right"/>
    </xf>
    <xf numFmtId="164" fontId="21" fillId="3" borderId="0" xfId="0" applyNumberFormat="1" applyFont="1" applyFill="1"/>
    <xf numFmtId="164" fontId="22" fillId="0" borderId="0" xfId="0" applyNumberFormat="1" applyFont="1"/>
    <xf numFmtId="10" fontId="23" fillId="4" borderId="0" xfId="0" applyNumberFormat="1" applyFont="1" applyFill="1"/>
    <xf numFmtId="10" fontId="24" fillId="4" borderId="0" xfId="0" applyNumberFormat="1" applyFont="1" applyFill="1"/>
    <xf numFmtId="0" fontId="25" fillId="0" borderId="0" xfId="0" applyFont="1"/>
    <xf numFmtId="164" fontId="18" fillId="2" borderId="0" xfId="0" applyNumberFormat="1" applyFont="1" applyFill="1"/>
    <xf numFmtId="10" fontId="1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vietstock.vn/KMR-ctcp-mirae.htm" TargetMode="External"/><Relationship Id="rId18" Type="http://schemas.openxmlformats.org/officeDocument/2006/relationships/hyperlink" Target="https://finance.vietstock.vn/LBM-ctcp-khoang-san-va-vat-lieu-xay-dung-lam-dong.htm" TargetMode="External"/><Relationship Id="rId26" Type="http://schemas.openxmlformats.org/officeDocument/2006/relationships/hyperlink" Target="https://finance.vietstock.vn/LSS-ctcp-mia-duong-lam-son.htm" TargetMode="External"/><Relationship Id="rId39" Type="http://schemas.openxmlformats.org/officeDocument/2006/relationships/hyperlink" Target="https://finance.vietstock.vn/SSC-ctcp-giong-cay-trong-mien-nam.htm" TargetMode="External"/><Relationship Id="rId21" Type="http://schemas.openxmlformats.org/officeDocument/2006/relationships/hyperlink" Target="https://finance.vietstock.vn/LEC-ctcp-bat-dong-san-dien-luc-mien-trung.htm" TargetMode="External"/><Relationship Id="rId34" Type="http://schemas.openxmlformats.org/officeDocument/2006/relationships/hyperlink" Target="https://finance.vietstock.vn/NSC-ctcp-tap-doan-giong-cay-trong-viet-nam.htm" TargetMode="External"/><Relationship Id="rId42" Type="http://schemas.openxmlformats.org/officeDocument/2006/relationships/hyperlink" Target="https://finance.vietstock.vn/STK-ctcp-soi-the-ky.htm" TargetMode="External"/><Relationship Id="rId7" Type="http://schemas.openxmlformats.org/officeDocument/2006/relationships/hyperlink" Target="https://finance.vietstock.vn/IDI-ctcp-dau-tu-va-phat-trien-da-quoc-gia-idi.htm" TargetMode="External"/><Relationship Id="rId2" Type="http://schemas.openxmlformats.org/officeDocument/2006/relationships/hyperlink" Target="https://finance.vietstock.vn/HSG-ctcp-tap-doan-hoa-sen.htm" TargetMode="External"/><Relationship Id="rId16" Type="http://schemas.openxmlformats.org/officeDocument/2006/relationships/hyperlink" Target="https://finance.vietstock.vn/L10-ctcp-lilama-10.htm" TargetMode="External"/><Relationship Id="rId20" Type="http://schemas.openxmlformats.org/officeDocument/2006/relationships/hyperlink" Target="https://finance.vietstock.vn/LDG-ctcp-dau-tu-ldg.htm" TargetMode="External"/><Relationship Id="rId29" Type="http://schemas.openxmlformats.org/officeDocument/2006/relationships/hyperlink" Target="https://finance.vietstock.vn/NAF-ctcp-nafoods-group.htm" TargetMode="External"/><Relationship Id="rId41" Type="http://schemas.openxmlformats.org/officeDocument/2006/relationships/hyperlink" Target="https://finance.vietstock.vn/STG-ctcp-kho-van-mien-nam.htm" TargetMode="External"/><Relationship Id="rId1" Type="http://schemas.openxmlformats.org/officeDocument/2006/relationships/hyperlink" Target="https://finance.vietstock.vn/HQC-ctcp-tu-van-thuong-mai-dich-vu-dia-oc-hoang-quan.htm" TargetMode="External"/><Relationship Id="rId6" Type="http://schemas.openxmlformats.org/officeDocument/2006/relationships/hyperlink" Target="https://finance.vietstock.vn/IBC-ctcp-dau-tu-apax-holdings.htm" TargetMode="External"/><Relationship Id="rId11" Type="http://schemas.openxmlformats.org/officeDocument/2006/relationships/hyperlink" Target="https://finance.vietstock.vn/KDH-ctcp-dau-tu-va-kinh-doanh-nha-khang-dien.htm" TargetMode="External"/><Relationship Id="rId24" Type="http://schemas.openxmlformats.org/officeDocument/2006/relationships/hyperlink" Target="https://finance.vietstock.vn/LIX-ctcp-bot-giat-lix.htm" TargetMode="External"/><Relationship Id="rId32" Type="http://schemas.openxmlformats.org/officeDocument/2006/relationships/hyperlink" Target="https://finance.vietstock.vn/NLG-ctcp-dau-tu-nam-long.htm" TargetMode="External"/><Relationship Id="rId37" Type="http://schemas.openxmlformats.org/officeDocument/2006/relationships/hyperlink" Target="https://finance.vietstock.vn/OGC-ctcp-tap-doan-dai-duong.htm" TargetMode="External"/><Relationship Id="rId40" Type="http://schemas.openxmlformats.org/officeDocument/2006/relationships/hyperlink" Target="https://finance.vietstock.vn/ST8-ctcp-sieu-thanh.htm" TargetMode="External"/><Relationship Id="rId5" Type="http://schemas.openxmlformats.org/officeDocument/2006/relationships/hyperlink" Target="https://finance.vietstock.vn/HUB-ctcp-xay-lap-thua-thien-hue.htm" TargetMode="External"/><Relationship Id="rId15" Type="http://schemas.openxmlformats.org/officeDocument/2006/relationships/hyperlink" Target="https://finance.vietstock.vn/KSB-ctcp-khoang-san-va-xay-dung-binh-duong.htm" TargetMode="External"/><Relationship Id="rId23" Type="http://schemas.openxmlformats.org/officeDocument/2006/relationships/hyperlink" Target="https://finance.vietstock.vn/LGL-ctcp-dau-tu-va-phat-trien-do-thi-long-giang.htm" TargetMode="External"/><Relationship Id="rId28" Type="http://schemas.openxmlformats.org/officeDocument/2006/relationships/hyperlink" Target="https://finance.vietstock.vn/MSN-ctcp-tap-doan-masan.htm" TargetMode="External"/><Relationship Id="rId36" Type="http://schemas.openxmlformats.org/officeDocument/2006/relationships/hyperlink" Target="https://finance.vietstock.vn/NTL-ctcp-phat-trien-do-thi-tu-liem.htm" TargetMode="External"/><Relationship Id="rId10" Type="http://schemas.openxmlformats.org/officeDocument/2006/relationships/hyperlink" Target="https://finance.vietstock.vn/KBC-tong-cong-ty-phat-trien-do-thi-kinh-bac-ctcp.htm" TargetMode="External"/><Relationship Id="rId19" Type="http://schemas.openxmlformats.org/officeDocument/2006/relationships/hyperlink" Target="https://finance.vietstock.vn/LCG-ctcp-lizen.htm" TargetMode="External"/><Relationship Id="rId31" Type="http://schemas.openxmlformats.org/officeDocument/2006/relationships/hyperlink" Target="https://finance.vietstock.vn/NKG-ctcp-thep-nam-kim.htm" TargetMode="External"/><Relationship Id="rId44" Type="http://schemas.openxmlformats.org/officeDocument/2006/relationships/comments" Target="../comments2.xml"/><Relationship Id="rId4" Type="http://schemas.openxmlformats.org/officeDocument/2006/relationships/hyperlink" Target="https://finance.vietstock.vn/HU3-ctcp-dau-tu-va-xay-dung-hud3.htm" TargetMode="External"/><Relationship Id="rId9" Type="http://schemas.openxmlformats.org/officeDocument/2006/relationships/hyperlink" Target="https://finance.vietstock.vn/ITC-ctcp-dau-tu-va-kinh-doanh-nha.htm" TargetMode="External"/><Relationship Id="rId14" Type="http://schemas.openxmlformats.org/officeDocument/2006/relationships/hyperlink" Target="https://finance.vietstock.vn/KPF-ctcp-dau-tu-tai-san-koji.htm" TargetMode="External"/><Relationship Id="rId22" Type="http://schemas.openxmlformats.org/officeDocument/2006/relationships/hyperlink" Target="https://finance.vietstock.vn/LGC-ctcp-dau-tu-cau-duong-cii.htm" TargetMode="External"/><Relationship Id="rId27" Type="http://schemas.openxmlformats.org/officeDocument/2006/relationships/hyperlink" Target="https://finance.vietstock.vn/MDG-ctcp-mien-dong.htm" TargetMode="External"/><Relationship Id="rId30" Type="http://schemas.openxmlformats.org/officeDocument/2006/relationships/hyperlink" Target="https://finance.vietstock.vn/NBB-ctcp-dau-tu-nam-bay-bay.htm" TargetMode="External"/><Relationship Id="rId35" Type="http://schemas.openxmlformats.org/officeDocument/2006/relationships/hyperlink" Target="https://finance.vietstock.vn/NT2-ctcp-dien-luc-dau-khi-nhon-trach-2.htm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https://finance.vietstock.vn/IJC-ctcp-phat-trien-ha-tang-ky-thuat.htm" TargetMode="External"/><Relationship Id="rId3" Type="http://schemas.openxmlformats.org/officeDocument/2006/relationships/hyperlink" Target="https://finance.vietstock.vn/HTI-ctcp-dau-tu-phat-trien-ha-tang-idico.htm" TargetMode="External"/><Relationship Id="rId12" Type="http://schemas.openxmlformats.org/officeDocument/2006/relationships/hyperlink" Target="https://finance.vietstock.vn/KHP-ctcp-dien-luc-khanh-hoa.htm" TargetMode="External"/><Relationship Id="rId17" Type="http://schemas.openxmlformats.org/officeDocument/2006/relationships/hyperlink" Target="https://finance.vietstock.vn/LAF-ctcp-che-bien-hang-xuat-khau-long-an.htm" TargetMode="External"/><Relationship Id="rId25" Type="http://schemas.openxmlformats.org/officeDocument/2006/relationships/hyperlink" Target="https://finance.vietstock.vn/LM8-ctcp-lilama-18.htm" TargetMode="External"/><Relationship Id="rId33" Type="http://schemas.openxmlformats.org/officeDocument/2006/relationships/hyperlink" Target="https://finance.vietstock.vn/NNC-ctcp-da-nui-nho.htm" TargetMode="External"/><Relationship Id="rId38" Type="http://schemas.openxmlformats.org/officeDocument/2006/relationships/hyperlink" Target="https://finance.vietstock.vn/SRF-ctcp-searefico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BA31-98A5-4F54-AB8C-1A8EBDE816FB}">
  <sheetPr>
    <outlinePr summaryBelow="0" summaryRight="0"/>
  </sheetPr>
  <dimension ref="A1:S1461"/>
  <sheetViews>
    <sheetView tabSelected="1" workbookViewId="0">
      <pane xSplit="2" ySplit="1" topLeftCell="H65" activePane="bottomRight" state="frozen"/>
      <selection pane="topRight" activeCell="C1" sqref="C1"/>
      <selection pane="bottomLeft" activeCell="A2" sqref="A2"/>
      <selection pane="bottomRight" activeCell="S10" sqref="S10"/>
    </sheetView>
  </sheetViews>
  <sheetFormatPr defaultColWidth="12.6328125" defaultRowHeight="15.75" customHeight="1"/>
  <cols>
    <col min="1" max="1" width="5.26953125" customWidth="1"/>
    <col min="2" max="2" width="5.453125" customWidth="1"/>
    <col min="5" max="5" width="11.453125" customWidth="1"/>
    <col min="6" max="6" width="7" bestFit="1" customWidth="1"/>
  </cols>
  <sheetData>
    <row r="1" spans="1:19" ht="13">
      <c r="A1" s="1" t="s">
        <v>0</v>
      </c>
      <c r="B1" s="2" t="s">
        <v>1</v>
      </c>
      <c r="C1" s="4" t="s">
        <v>5</v>
      </c>
      <c r="D1" s="1" t="s">
        <v>6</v>
      </c>
      <c r="E1" s="5" t="s">
        <v>216</v>
      </c>
      <c r="F1" s="6" t="s">
        <v>226</v>
      </c>
      <c r="G1" s="7" t="s">
        <v>7</v>
      </c>
      <c r="H1" s="7" t="s">
        <v>8</v>
      </c>
      <c r="I1" s="7" t="s">
        <v>9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38" t="s">
        <v>227</v>
      </c>
      <c r="Q1" s="7" t="s">
        <v>229</v>
      </c>
      <c r="R1" s="7" t="s">
        <v>228</v>
      </c>
    </row>
    <row r="2" spans="1:19" ht="15.5">
      <c r="A2" s="8" t="s">
        <v>18</v>
      </c>
      <c r="B2" s="9">
        <v>2017</v>
      </c>
      <c r="C2" s="4">
        <v>-0.88732179074720929</v>
      </c>
      <c r="D2" s="10">
        <v>0.64490533547778051</v>
      </c>
      <c r="E2" s="11">
        <v>0.1231</v>
      </c>
      <c r="F2" s="11">
        <v>2.0299999999999999E-2</v>
      </c>
      <c r="G2" s="12">
        <v>-1.7626131953428201E-2</v>
      </c>
      <c r="H2" s="12">
        <v>-0.15265419041292264</v>
      </c>
      <c r="I2" s="12">
        <v>0.1927839061571274</v>
      </c>
      <c r="J2" s="12">
        <v>-2.1697768434670115E-3</v>
      </c>
      <c r="K2" s="12">
        <v>-1.8791730839830777E-2</v>
      </c>
      <c r="L2" s="12">
        <v>2.3731698847942382E-2</v>
      </c>
      <c r="M2" s="12">
        <v>-3.5781047865459243E-4</v>
      </c>
      <c r="N2" s="12">
        <v>-3.0988800653823294E-3</v>
      </c>
      <c r="O2" s="12">
        <v>3.9135132949896859E-3</v>
      </c>
      <c r="P2">
        <f>G2*D2</f>
        <v>-1.136718654060124E-2</v>
      </c>
      <c r="Q2">
        <f>H2*D2</f>
        <v>-9.8447501880334853E-2</v>
      </c>
      <c r="R2">
        <f>I2*D2</f>
        <v>0.1243273696749792</v>
      </c>
      <c r="S2" s="49"/>
    </row>
    <row r="3" spans="1:19" ht="13">
      <c r="A3" s="8" t="s">
        <v>18</v>
      </c>
      <c r="B3" s="9">
        <v>2018</v>
      </c>
      <c r="C3" s="4">
        <v>-0.98798889793092737</v>
      </c>
      <c r="D3" s="10">
        <v>0.60417283711219161</v>
      </c>
      <c r="E3" s="11">
        <v>9.9699999999999997E-2</v>
      </c>
      <c r="F3" s="11">
        <v>0</v>
      </c>
      <c r="G3" s="12">
        <v>5.1187581101236924E-3</v>
      </c>
      <c r="H3" s="12">
        <v>-0.34907300539103248</v>
      </c>
      <c r="I3" s="12">
        <v>-0.34907300539103248</v>
      </c>
      <c r="J3" s="12">
        <v>5.1034018357933215E-4</v>
      </c>
      <c r="K3" s="12">
        <v>-3.480257863748594E-2</v>
      </c>
      <c r="L3" s="12">
        <v>3.6094054457529848E-2</v>
      </c>
      <c r="M3" s="12">
        <v>0</v>
      </c>
      <c r="N3" s="12">
        <v>0</v>
      </c>
      <c r="O3" s="12">
        <v>0</v>
      </c>
      <c r="P3">
        <f t="shared" ref="P3:P66" si="0">G3*D3</f>
        <v>3.0926146098844715E-3</v>
      </c>
      <c r="Q3">
        <f t="shared" ref="Q3:Q66" si="1">H3*D3</f>
        <v>-0.21090042802637946</v>
      </c>
      <c r="R3">
        <f t="shared" ref="R3:R66" si="2">I3*D3</f>
        <v>-0.21090042802637946</v>
      </c>
    </row>
    <row r="4" spans="1:19" ht="13">
      <c r="A4" s="8" t="s">
        <v>18</v>
      </c>
      <c r="B4" s="9">
        <v>2019</v>
      </c>
      <c r="C4" s="4">
        <v>-1.2057777596233112</v>
      </c>
      <c r="D4" s="10">
        <v>0.59245691678821155</v>
      </c>
      <c r="E4" s="11">
        <v>2.3E-2</v>
      </c>
      <c r="F4" s="11">
        <v>0</v>
      </c>
      <c r="G4" s="12">
        <v>6.1263607283926658E-2</v>
      </c>
      <c r="H4" s="12">
        <v>-0.10765012613537488</v>
      </c>
      <c r="I4" s="12">
        <v>2.1671497161171588E-3</v>
      </c>
      <c r="J4" s="12">
        <v>1.409062967530313E-3</v>
      </c>
      <c r="K4" s="12">
        <v>-2.4759529011136221E-3</v>
      </c>
      <c r="L4" s="12">
        <v>4.9844443470694648E-5</v>
      </c>
      <c r="M4" s="12">
        <v>0</v>
      </c>
      <c r="N4" s="12">
        <v>0</v>
      </c>
      <c r="O4" s="12">
        <v>0</v>
      </c>
      <c r="P4">
        <f t="shared" si="0"/>
        <v>3.629604788275901E-2</v>
      </c>
      <c r="Q4">
        <f t="shared" si="1"/>
        <v>-6.3778061822026277E-2</v>
      </c>
      <c r="R4">
        <f t="shared" si="2"/>
        <v>1.2839428390292197E-3</v>
      </c>
    </row>
    <row r="5" spans="1:19" ht="13">
      <c r="A5" s="8" t="s">
        <v>18</v>
      </c>
      <c r="B5" s="9">
        <v>2020</v>
      </c>
      <c r="C5" s="4">
        <v>-1.4300297660280241</v>
      </c>
      <c r="D5" s="10">
        <v>0.53042741565638707</v>
      </c>
      <c r="E5" s="11">
        <v>3.1600000000000003E-2</v>
      </c>
      <c r="F5" s="11">
        <v>0</v>
      </c>
      <c r="G5" s="12">
        <v>7.147983350078943E-2</v>
      </c>
      <c r="H5" s="12">
        <v>4.0492869404077994E-3</v>
      </c>
      <c r="I5" s="12">
        <v>2.986203250865579E-3</v>
      </c>
      <c r="J5" s="12">
        <v>2.258762738624946E-3</v>
      </c>
      <c r="K5" s="12">
        <v>1.2795746731688646E-4</v>
      </c>
      <c r="L5" s="12">
        <v>9.4364022727352301E-5</v>
      </c>
      <c r="M5" s="12">
        <v>0</v>
      </c>
      <c r="N5" s="12">
        <v>0</v>
      </c>
      <c r="O5" s="12">
        <v>0</v>
      </c>
      <c r="P5">
        <f t="shared" si="0"/>
        <v>3.7914863355372579E-2</v>
      </c>
      <c r="Q5">
        <f t="shared" si="1"/>
        <v>2.1478528070516677E-3</v>
      </c>
      <c r="R5">
        <f t="shared" si="2"/>
        <v>1.5839640729813308E-3</v>
      </c>
    </row>
    <row r="6" spans="1:19" ht="13">
      <c r="A6" s="8" t="s">
        <v>18</v>
      </c>
      <c r="B6" s="9">
        <v>2021</v>
      </c>
      <c r="C6" s="4">
        <v>-1.8582917235625891</v>
      </c>
      <c r="D6" s="10">
        <v>0.45508030846603187</v>
      </c>
      <c r="E6" s="11">
        <v>2.2100000000000002E-2</v>
      </c>
      <c r="F6" s="11">
        <v>0</v>
      </c>
      <c r="G6" s="12">
        <v>4.4319763265607874E-2</v>
      </c>
      <c r="H6" s="12">
        <v>-1.5024681478550938E-2</v>
      </c>
      <c r="I6" s="12">
        <v>7.3853617502520091E-2</v>
      </c>
      <c r="J6" s="12">
        <v>9.7946676816993415E-4</v>
      </c>
      <c r="K6" s="12">
        <v>-3.3204546067597577E-4</v>
      </c>
      <c r="L6" s="12">
        <v>1.63216494680569E-3</v>
      </c>
      <c r="M6" s="12">
        <v>0</v>
      </c>
      <c r="N6" s="12">
        <v>0</v>
      </c>
      <c r="O6" s="12">
        <v>0</v>
      </c>
      <c r="P6">
        <f t="shared" si="0"/>
        <v>2.0169051538054338E-2</v>
      </c>
      <c r="Q6">
        <f t="shared" si="1"/>
        <v>-6.8374366818628367E-3</v>
      </c>
      <c r="R6">
        <f t="shared" si="2"/>
        <v>3.3609327034379174E-2</v>
      </c>
    </row>
    <row r="7" spans="1:19" ht="13">
      <c r="A7" s="8" t="s">
        <v>19</v>
      </c>
      <c r="B7" s="9">
        <v>2017</v>
      </c>
      <c r="C7" s="4">
        <v>-2.7952474926675643</v>
      </c>
      <c r="D7" s="10">
        <v>0.32837659216534487</v>
      </c>
      <c r="E7" s="11">
        <v>0.18462999999999999</v>
      </c>
      <c r="F7" s="11">
        <v>3.0340000000000002E-3</v>
      </c>
      <c r="G7" s="12">
        <v>0.11673876472001922</v>
      </c>
      <c r="H7" s="12">
        <v>-3.9623888488344146E-2</v>
      </c>
      <c r="I7" s="12">
        <v>-4.2958423455900029E-2</v>
      </c>
      <c r="J7" s="12">
        <v>2.1553478130257146E-2</v>
      </c>
      <c r="K7" s="12">
        <v>-7.315758531602979E-3</v>
      </c>
      <c r="L7" s="12">
        <v>-7.9314137226628219E-3</v>
      </c>
      <c r="M7" s="12">
        <v>3.5418541216053836E-4</v>
      </c>
      <c r="N7" s="12">
        <v>-1.2021887767363615E-4</v>
      </c>
      <c r="O7" s="12">
        <v>-1.303358567652007E-4</v>
      </c>
      <c r="P7">
        <f t="shared" si="0"/>
        <v>3.8334277732351901E-2</v>
      </c>
      <c r="Q7">
        <f t="shared" si="1"/>
        <v>-1.3011557470142088E-2</v>
      </c>
      <c r="R7">
        <f t="shared" si="2"/>
        <v>-1.4106540699244269E-2</v>
      </c>
    </row>
    <row r="8" spans="1:19" ht="13">
      <c r="A8" s="8" t="s">
        <v>19</v>
      </c>
      <c r="B8" s="9">
        <v>2018</v>
      </c>
      <c r="C8" s="4">
        <v>-2.6196742117075762</v>
      </c>
      <c r="D8" s="10">
        <v>0.36798801253235253</v>
      </c>
      <c r="E8" s="11">
        <v>0.1961</v>
      </c>
      <c r="F8" s="11">
        <v>3.0124000000000001E-3</v>
      </c>
      <c r="G8" s="12">
        <v>0.17398174635608227</v>
      </c>
      <c r="H8" s="12">
        <v>-1.6455523770603459E-2</v>
      </c>
      <c r="I8" s="12">
        <v>-9.0123961313172588E-2</v>
      </c>
      <c r="J8" s="12">
        <v>3.4117820460427731E-2</v>
      </c>
      <c r="K8" s="12">
        <v>-3.2269282114153384E-3</v>
      </c>
      <c r="L8" s="12">
        <v>-1.7673308813513144E-2</v>
      </c>
      <c r="M8" s="12">
        <v>5.2410261272306221E-4</v>
      </c>
      <c r="N8" s="12">
        <v>-4.9570619806565861E-5</v>
      </c>
      <c r="O8" s="12">
        <v>-2.714894210598011E-4</v>
      </c>
      <c r="P8">
        <f t="shared" si="0"/>
        <v>6.4023197058482584E-2</v>
      </c>
      <c r="Q8">
        <f t="shared" si="1"/>
        <v>-6.0554354875232506E-3</v>
      </c>
      <c r="R8">
        <f t="shared" si="2"/>
        <v>-3.3164537405177011E-2</v>
      </c>
    </row>
    <row r="9" spans="1:19" ht="13">
      <c r="A9" s="8" t="s">
        <v>19</v>
      </c>
      <c r="B9" s="9">
        <v>2019</v>
      </c>
      <c r="C9" s="4">
        <v>-1.8735576100713536</v>
      </c>
      <c r="D9" s="10">
        <v>0.49985916059715907</v>
      </c>
      <c r="E9" s="11">
        <v>0.2155</v>
      </c>
      <c r="F9" s="11">
        <v>3.0124000000000001E-3</v>
      </c>
      <c r="G9" s="12">
        <v>4.7482998672085636E-2</v>
      </c>
      <c r="H9" s="12">
        <v>-3.9233833648545328E-3</v>
      </c>
      <c r="I9" s="12">
        <v>0.11122288841495313</v>
      </c>
      <c r="J9" s="12">
        <v>1.0232586213834454E-2</v>
      </c>
      <c r="K9" s="12">
        <v>-8.4548911512615183E-4</v>
      </c>
      <c r="L9" s="12">
        <v>2.3968532453422401E-2</v>
      </c>
      <c r="M9" s="12">
        <v>1.4303778519979079E-4</v>
      </c>
      <c r="N9" s="12">
        <v>-1.1818800048287796E-5</v>
      </c>
      <c r="O9" s="12">
        <v>3.3504782906120483E-4</v>
      </c>
      <c r="P9">
        <f t="shared" si="0"/>
        <v>2.3734811858864745E-2</v>
      </c>
      <c r="Q9">
        <f t="shared" si="1"/>
        <v>-1.9611391154570443E-3</v>
      </c>
      <c r="R9">
        <f t="shared" si="2"/>
        <v>5.5595779642289962E-2</v>
      </c>
    </row>
    <row r="10" spans="1:19" ht="13">
      <c r="A10" s="8" t="s">
        <v>19</v>
      </c>
      <c r="B10" s="9">
        <v>2020</v>
      </c>
      <c r="C10" s="4">
        <v>-2.0925563840953889</v>
      </c>
      <c r="D10" s="10">
        <v>0.44499452354874036</v>
      </c>
      <c r="E10" s="11">
        <v>0.1226</v>
      </c>
      <c r="F10" s="11">
        <v>9.9999999999999995E-7</v>
      </c>
      <c r="G10" s="12">
        <v>-0.29744797371303394</v>
      </c>
      <c r="H10" s="12">
        <v>-1.0043811610076669E-2</v>
      </c>
      <c r="I10" s="12">
        <v>0.38709748083242063</v>
      </c>
      <c r="J10" s="12">
        <v>-3.6467121577217959E-2</v>
      </c>
      <c r="K10" s="12">
        <v>-1.2313713033953997E-3</v>
      </c>
      <c r="L10" s="12">
        <v>4.7458151150054771E-2</v>
      </c>
      <c r="M10" s="12">
        <v>-2.9744797371303394E-7</v>
      </c>
      <c r="N10" s="12">
        <v>-1.004381161007667E-8</v>
      </c>
      <c r="O10" s="12">
        <v>3.8709748083242061E-7</v>
      </c>
      <c r="P10">
        <f t="shared" si="0"/>
        <v>-0.13236271934296978</v>
      </c>
      <c r="Q10">
        <f t="shared" si="1"/>
        <v>-4.4694411620393743E-3</v>
      </c>
      <c r="R10">
        <f t="shared" si="2"/>
        <v>0.17225625904994066</v>
      </c>
    </row>
    <row r="11" spans="1:19" ht="13">
      <c r="A11" s="8" t="s">
        <v>19</v>
      </c>
      <c r="B11" s="9">
        <v>2021</v>
      </c>
      <c r="C11" s="4">
        <v>-1.0581528863833822</v>
      </c>
      <c r="D11" s="10">
        <v>0.59586920276293853</v>
      </c>
      <c r="E11" s="11">
        <v>8.2900000000000001E-2</v>
      </c>
      <c r="F11" s="11">
        <v>2.4000000000000001E-5</v>
      </c>
      <c r="G11" s="12">
        <v>-0.38916771581203852</v>
      </c>
      <c r="H11" s="12">
        <v>2.155568409949301E-2</v>
      </c>
      <c r="I11" s="12">
        <v>0.27181938820647183</v>
      </c>
      <c r="J11" s="12">
        <v>-3.2262003640817993E-2</v>
      </c>
      <c r="K11" s="12">
        <v>1.7869662118479704E-3</v>
      </c>
      <c r="L11" s="12">
        <v>2.2533827282316517E-2</v>
      </c>
      <c r="M11" s="12">
        <v>-9.3400251794889247E-6</v>
      </c>
      <c r="N11" s="12">
        <v>5.1733641838783222E-7</v>
      </c>
      <c r="O11" s="12">
        <v>6.5236653169553243E-6</v>
      </c>
      <c r="P11">
        <f t="shared" si="0"/>
        <v>-0.23189305656199322</v>
      </c>
      <c r="Q11">
        <f t="shared" si="1"/>
        <v>1.284436829937465E-2</v>
      </c>
      <c r="R11">
        <f t="shared" si="2"/>
        <v>0.16196880214610007</v>
      </c>
    </row>
    <row r="12" spans="1:19" ht="13">
      <c r="A12" s="8" t="s">
        <v>20</v>
      </c>
      <c r="B12" s="9">
        <v>2017</v>
      </c>
      <c r="C12" s="4">
        <v>-4.184170527631716</v>
      </c>
      <c r="D12" s="10">
        <v>4.213706471617109E-2</v>
      </c>
      <c r="E12" s="11">
        <v>9.7999999999999997E-3</v>
      </c>
      <c r="F12" s="11">
        <v>0.21790000000000001</v>
      </c>
      <c r="G12" s="12">
        <v>0.22714262998886944</v>
      </c>
      <c r="H12" s="12">
        <v>-0.20718715217045633</v>
      </c>
      <c r="I12" s="12">
        <v>-1.975671807918588E-2</v>
      </c>
      <c r="J12" s="12">
        <v>2.2259977738909205E-3</v>
      </c>
      <c r="K12" s="12">
        <v>-2.0304340912704719E-3</v>
      </c>
      <c r="L12" s="12">
        <v>-1.936158371760216E-4</v>
      </c>
      <c r="M12" s="12">
        <v>4.9494379074574657E-2</v>
      </c>
      <c r="N12" s="12">
        <v>-4.5146080457942439E-2</v>
      </c>
      <c r="O12" s="12">
        <v>-4.304988869454603E-3</v>
      </c>
      <c r="P12">
        <f t="shared" si="0"/>
        <v>9.5711236996422963E-3</v>
      </c>
      <c r="Q12">
        <f t="shared" si="1"/>
        <v>-8.7302584393657064E-3</v>
      </c>
      <c r="R12">
        <f t="shared" si="2"/>
        <v>-8.3249010828180276E-4</v>
      </c>
    </row>
    <row r="13" spans="1:19" ht="13">
      <c r="A13" s="8" t="s">
        <v>20</v>
      </c>
      <c r="B13" s="9">
        <v>2018</v>
      </c>
      <c r="C13" s="4">
        <v>-4.0832012286514283</v>
      </c>
      <c r="D13" s="10">
        <v>7.9492085580100888E-2</v>
      </c>
      <c r="E13" s="11">
        <v>1.2E-2</v>
      </c>
      <c r="F13" s="11">
        <v>0.2676</v>
      </c>
      <c r="G13" s="12">
        <v>7.296921203687598E-2</v>
      </c>
      <c r="H13" s="12">
        <v>7.9492085580100888E-2</v>
      </c>
      <c r="I13" s="12">
        <v>-0.16433292746564618</v>
      </c>
      <c r="J13" s="12">
        <v>8.7563054444251176E-4</v>
      </c>
      <c r="K13" s="12">
        <v>9.5390502696121073E-4</v>
      </c>
      <c r="L13" s="12">
        <v>-1.971995129587754E-3</v>
      </c>
      <c r="M13" s="12">
        <v>1.9526561141068013E-2</v>
      </c>
      <c r="N13" s="12">
        <v>2.1272082101234997E-2</v>
      </c>
      <c r="O13" s="12">
        <v>-4.3975491389806921E-2</v>
      </c>
      <c r="P13">
        <f t="shared" si="0"/>
        <v>5.8004748479478733E-3</v>
      </c>
      <c r="Q13">
        <f t="shared" si="1"/>
        <v>6.3189916698740837E-3</v>
      </c>
      <c r="R13">
        <f t="shared" si="2"/>
        <v>-1.3063167133727658E-2</v>
      </c>
    </row>
    <row r="14" spans="1:19" ht="13">
      <c r="A14" s="8" t="s">
        <v>20</v>
      </c>
      <c r="B14" s="9">
        <v>2019</v>
      </c>
      <c r="C14" s="4">
        <v>-4.1107067793101502</v>
      </c>
      <c r="D14" s="10">
        <v>7.0722166058634781E-2</v>
      </c>
      <c r="E14" s="11">
        <v>1.2699999999999999E-2</v>
      </c>
      <c r="F14" s="11">
        <v>0.44280000000000003</v>
      </c>
      <c r="G14" s="12">
        <v>-0.11788492813502703</v>
      </c>
      <c r="H14" s="12">
        <v>0.16219067293745329</v>
      </c>
      <c r="I14" s="12">
        <v>-3.3317216825634037E-2</v>
      </c>
      <c r="J14" s="12">
        <v>-1.4971385873148433E-3</v>
      </c>
      <c r="K14" s="12">
        <v>2.0598215463056568E-3</v>
      </c>
      <c r="L14" s="12">
        <v>-4.2312865368555224E-4</v>
      </c>
      <c r="M14" s="12">
        <v>-5.2199446178189973E-2</v>
      </c>
      <c r="N14" s="12">
        <v>7.181802997670432E-2</v>
      </c>
      <c r="O14" s="12">
        <v>-1.4752863610390753E-2</v>
      </c>
      <c r="P14">
        <f t="shared" si="0"/>
        <v>-8.3370774633756087E-3</v>
      </c>
      <c r="Q14">
        <f t="shared" si="1"/>
        <v>1.1470475704644293E-2</v>
      </c>
      <c r="R14">
        <f t="shared" si="2"/>
        <v>-2.356265740954031E-3</v>
      </c>
    </row>
    <row r="15" spans="1:19" ht="13">
      <c r="A15" s="8" t="s">
        <v>20</v>
      </c>
      <c r="B15" s="9">
        <v>2020</v>
      </c>
      <c r="C15" s="4">
        <v>-3.6366355944682973</v>
      </c>
      <c r="D15" s="10">
        <v>7.9309363438003988E-2</v>
      </c>
      <c r="E15" s="11">
        <v>1.17E-2</v>
      </c>
      <c r="F15" s="11">
        <v>5.9799999999999999E-2</v>
      </c>
      <c r="G15" s="12">
        <v>-0.11531164026183474</v>
      </c>
      <c r="H15" s="12">
        <v>0.16293520538848308</v>
      </c>
      <c r="I15" s="12">
        <v>1.1194383834550802E-2</v>
      </c>
      <c r="J15" s="12">
        <v>-1.3491461910634665E-3</v>
      </c>
      <c r="K15" s="12">
        <v>1.9063419030452521E-3</v>
      </c>
      <c r="L15" s="12">
        <v>1.309742908642444E-4</v>
      </c>
      <c r="M15" s="12">
        <v>-6.8956360876577171E-3</v>
      </c>
      <c r="N15" s="12">
        <v>9.7435252822312881E-3</v>
      </c>
      <c r="O15" s="12">
        <v>6.6942415330613792E-4</v>
      </c>
      <c r="P15">
        <f t="shared" si="0"/>
        <v>-9.1452927861582246E-3</v>
      </c>
      <c r="Q15">
        <f t="shared" si="1"/>
        <v>1.292228742100103E-2</v>
      </c>
      <c r="R15">
        <f t="shared" si="2"/>
        <v>8.8781945599890626E-4</v>
      </c>
    </row>
    <row r="16" spans="1:19" ht="13">
      <c r="A16" s="8" t="s">
        <v>20</v>
      </c>
      <c r="B16" s="9">
        <v>2021</v>
      </c>
      <c r="C16" s="4">
        <v>-4.2312496662144383</v>
      </c>
      <c r="D16" s="10">
        <v>3.3616788502660498E-2</v>
      </c>
      <c r="E16" s="11">
        <v>1.6E-2</v>
      </c>
      <c r="F16" s="11">
        <v>5.9799999999999999E-2</v>
      </c>
      <c r="G16" s="12">
        <v>0.22532199512656026</v>
      </c>
      <c r="H16" s="12">
        <v>-1.1387935750161619E-2</v>
      </c>
      <c r="I16" s="12">
        <v>-3.769456462280571E-2</v>
      </c>
      <c r="J16" s="12">
        <v>3.6051519220249642E-3</v>
      </c>
      <c r="K16" s="12">
        <v>-1.8220697200258589E-4</v>
      </c>
      <c r="L16" s="12">
        <v>-6.031130339648914E-4</v>
      </c>
      <c r="M16" s="12">
        <v>1.3474255308568304E-2</v>
      </c>
      <c r="N16" s="12">
        <v>-6.8099855785966475E-4</v>
      </c>
      <c r="O16" s="12">
        <v>-2.2541349644437814E-3</v>
      </c>
      <c r="P16">
        <f t="shared" si="0"/>
        <v>7.5746018551670754E-3</v>
      </c>
      <c r="Q16">
        <f t="shared" si="1"/>
        <v>-3.8282582759506956E-4</v>
      </c>
      <c r="R16">
        <f t="shared" si="2"/>
        <v>-1.2671702066247281E-3</v>
      </c>
    </row>
    <row r="17" spans="1:18" ht="13">
      <c r="A17" s="8" t="s">
        <v>21</v>
      </c>
      <c r="B17" s="9">
        <v>2017</v>
      </c>
      <c r="C17" s="4">
        <v>-3.7145672102491298</v>
      </c>
      <c r="D17" s="10">
        <v>0.12244369660885322</v>
      </c>
      <c r="E17" s="11">
        <v>0</v>
      </c>
      <c r="F17" s="11">
        <v>0.19130000000000003</v>
      </c>
      <c r="G17" s="12">
        <v>0.101993269479679</v>
      </c>
      <c r="H17" s="12">
        <v>-6.7305203209940462E-2</v>
      </c>
      <c r="I17" s="12">
        <v>4.1418586590732588E-2</v>
      </c>
      <c r="J17" s="12">
        <v>0</v>
      </c>
      <c r="K17" s="12">
        <v>0</v>
      </c>
      <c r="L17" s="12">
        <v>0</v>
      </c>
      <c r="M17" s="12">
        <v>1.9511312451462596E-2</v>
      </c>
      <c r="N17" s="12">
        <v>-1.2875485374061612E-2</v>
      </c>
      <c r="O17" s="12">
        <v>7.923375614807146E-3</v>
      </c>
      <c r="P17">
        <f t="shared" si="0"/>
        <v>1.2488432944314825E-2</v>
      </c>
      <c r="Q17">
        <f t="shared" si="1"/>
        <v>-8.2410978820351647E-3</v>
      </c>
      <c r="R17">
        <f t="shared" si="2"/>
        <v>5.0714448504831774E-3</v>
      </c>
    </row>
    <row r="18" spans="1:18" ht="13">
      <c r="A18" s="8" t="s">
        <v>21</v>
      </c>
      <c r="B18" s="9">
        <v>2018</v>
      </c>
      <c r="C18" s="4">
        <v>-4.1263663123670336</v>
      </c>
      <c r="D18" s="10">
        <v>7.4465129202556268E-2</v>
      </c>
      <c r="E18" s="11">
        <v>0</v>
      </c>
      <c r="F18" s="11">
        <v>0.19130000000000003</v>
      </c>
      <c r="G18" s="12">
        <v>6.418449569324812E-2</v>
      </c>
      <c r="H18" s="12">
        <v>-5.5293136982495134E-2</v>
      </c>
      <c r="I18" s="12">
        <v>1.0558488469019172E-2</v>
      </c>
      <c r="J18" s="12">
        <v>0</v>
      </c>
      <c r="K18" s="12">
        <v>0</v>
      </c>
      <c r="L18" s="12">
        <v>0</v>
      </c>
      <c r="M18" s="12">
        <v>1.2278494026118367E-2</v>
      </c>
      <c r="N18" s="12">
        <v>-1.057757710475132E-2</v>
      </c>
      <c r="O18" s="12">
        <v>2.0198388441233679E-3</v>
      </c>
      <c r="P18">
        <f t="shared" si="0"/>
        <v>4.7795067645986372E-3</v>
      </c>
      <c r="Q18">
        <f t="shared" si="1"/>
        <v>-4.1174105894161419E-3</v>
      </c>
      <c r="R18">
        <f t="shared" si="2"/>
        <v>7.862392080292132E-4</v>
      </c>
    </row>
    <row r="19" spans="1:18" ht="13">
      <c r="A19" s="8" t="s">
        <v>21</v>
      </c>
      <c r="B19" s="9">
        <v>2019</v>
      </c>
      <c r="C19" s="4">
        <v>-3.4311781257176546</v>
      </c>
      <c r="D19" s="10">
        <v>0.18078396470997948</v>
      </c>
      <c r="E19" s="11">
        <v>9.7900000000000001E-2</v>
      </c>
      <c r="F19" s="11">
        <v>0.87490000000000001</v>
      </c>
      <c r="G19" s="12">
        <v>-0.30128081105134852</v>
      </c>
      <c r="H19" s="12">
        <v>4.4654258406531748E-2</v>
      </c>
      <c r="I19" s="12">
        <v>0.65015671555160004</v>
      </c>
      <c r="J19" s="12">
        <v>-2.9495391401927019E-2</v>
      </c>
      <c r="K19" s="12">
        <v>4.3716518979994585E-3</v>
      </c>
      <c r="L19" s="12">
        <v>6.3650342452501646E-2</v>
      </c>
      <c r="M19" s="12">
        <v>-0.26359058158882481</v>
      </c>
      <c r="N19" s="12">
        <v>3.9068010679874629E-2</v>
      </c>
      <c r="O19" s="12">
        <v>0.56882211043609487</v>
      </c>
      <c r="P19">
        <f t="shared" si="0"/>
        <v>-5.4466739512900986E-2</v>
      </c>
      <c r="Q19">
        <f t="shared" si="1"/>
        <v>8.0727738759167403E-3</v>
      </c>
      <c r="R19">
        <f t="shared" si="2"/>
        <v>0.11753790872023663</v>
      </c>
    </row>
    <row r="20" spans="1:18" ht="13">
      <c r="A20" s="8" t="s">
        <v>21</v>
      </c>
      <c r="B20" s="9">
        <v>2020</v>
      </c>
      <c r="C20" s="4">
        <v>-3.7841560196283957</v>
      </c>
      <c r="D20" s="10">
        <v>0.16286644951140064</v>
      </c>
      <c r="E20" s="11">
        <v>9.6500000000000002E-2</v>
      </c>
      <c r="F20" s="11">
        <v>4.8899999999999999E-2</v>
      </c>
      <c r="G20" s="12">
        <v>8.1999716754000848E-2</v>
      </c>
      <c r="H20" s="12">
        <v>-0.10359722418920833</v>
      </c>
      <c r="I20" s="12">
        <v>0</v>
      </c>
      <c r="J20" s="12">
        <v>7.9129726667610829E-3</v>
      </c>
      <c r="K20" s="12">
        <v>-9.9971321342586048E-3</v>
      </c>
      <c r="L20" s="12">
        <v>0</v>
      </c>
      <c r="M20" s="12">
        <v>4.0097861492706414E-3</v>
      </c>
      <c r="N20" s="12">
        <v>-5.0659042628522872E-3</v>
      </c>
      <c r="O20" s="12">
        <v>0</v>
      </c>
      <c r="P20">
        <f t="shared" si="0"/>
        <v>1.3355002728664632E-2</v>
      </c>
      <c r="Q20">
        <f t="shared" si="1"/>
        <v>-1.6872512082932951E-2</v>
      </c>
      <c r="R20">
        <f t="shared" si="2"/>
        <v>0</v>
      </c>
    </row>
    <row r="21" spans="1:18" ht="13">
      <c r="A21" s="8" t="s">
        <v>21</v>
      </c>
      <c r="B21" s="9">
        <v>2021</v>
      </c>
      <c r="C21" s="4">
        <v>-3.5610489028734009</v>
      </c>
      <c r="D21" s="10">
        <v>0.18159418898595245</v>
      </c>
      <c r="E21" s="11">
        <v>0.48899999999999999</v>
      </c>
      <c r="F21" s="11">
        <v>4.8899999999999999E-2</v>
      </c>
      <c r="G21" s="12">
        <v>4.20018559406099E-2</v>
      </c>
      <c r="H21" s="12">
        <v>-0.19413778759079711</v>
      </c>
      <c r="I21" s="12">
        <v>0</v>
      </c>
      <c r="J21" s="12">
        <v>2.0538907554958241E-2</v>
      </c>
      <c r="K21" s="12">
        <v>-9.4933378131899782E-2</v>
      </c>
      <c r="L21" s="12">
        <v>0</v>
      </c>
      <c r="M21" s="12">
        <v>2.0538907554958239E-3</v>
      </c>
      <c r="N21" s="12">
        <v>-9.4933378131899782E-3</v>
      </c>
      <c r="O21" s="12">
        <v>0</v>
      </c>
      <c r="P21">
        <f t="shared" si="0"/>
        <v>7.6272929654398634E-3</v>
      </c>
      <c r="Q21">
        <f t="shared" si="1"/>
        <v>-3.5254294089077903E-2</v>
      </c>
      <c r="R21">
        <f t="shared" si="2"/>
        <v>0</v>
      </c>
    </row>
    <row r="22" spans="1:18" ht="13">
      <c r="A22" s="8" t="s">
        <v>22</v>
      </c>
      <c r="B22" s="9">
        <v>2017</v>
      </c>
      <c r="C22" s="4">
        <v>-2.4380877584589888</v>
      </c>
      <c r="D22" s="10">
        <v>0.3629226767557342</v>
      </c>
      <c r="E22" s="11">
        <v>5.7799999999999997E-2</v>
      </c>
      <c r="F22" s="11">
        <v>3.7000000000000002E-3</v>
      </c>
      <c r="G22" s="12">
        <v>2.4907385512729564E-2</v>
      </c>
      <c r="H22" s="12">
        <v>8.5126507448569401E-4</v>
      </c>
      <c r="I22" s="12">
        <v>-5.7286986679278007E-2</v>
      </c>
      <c r="J22" s="12">
        <v>1.4396468826357687E-3</v>
      </c>
      <c r="K22" s="12">
        <v>4.9203121305273114E-5</v>
      </c>
      <c r="L22" s="12">
        <v>-3.3111878300622686E-3</v>
      </c>
      <c r="M22" s="12">
        <v>9.215732639709939E-5</v>
      </c>
      <c r="N22" s="12">
        <v>3.1496807755970679E-6</v>
      </c>
      <c r="O22" s="12">
        <v>-2.1196185071332862E-4</v>
      </c>
      <c r="P22">
        <f t="shared" si="0"/>
        <v>9.0394550212668078E-3</v>
      </c>
      <c r="Q22">
        <f t="shared" si="1"/>
        <v>3.0894339946101754E-4</v>
      </c>
      <c r="R22">
        <f t="shared" si="2"/>
        <v>-2.0790746548913663E-2</v>
      </c>
    </row>
    <row r="23" spans="1:18" ht="13">
      <c r="A23" s="8" t="s">
        <v>22</v>
      </c>
      <c r="B23" s="9">
        <v>2018</v>
      </c>
      <c r="C23" s="4">
        <v>-3.6371100013163096</v>
      </c>
      <c r="D23" s="10">
        <v>0.21635701615161987</v>
      </c>
      <c r="E23" s="11">
        <v>3.4099999999999998E-2</v>
      </c>
      <c r="F23" s="11">
        <v>3.8999999999999998E-3</v>
      </c>
      <c r="G23" s="12">
        <v>0.11085799645224537</v>
      </c>
      <c r="H23" s="12">
        <v>0.24505648398842314</v>
      </c>
      <c r="I23" s="12">
        <v>-0.32471291195966767</v>
      </c>
      <c r="J23" s="12">
        <v>3.7802576790215668E-3</v>
      </c>
      <c r="K23" s="12">
        <v>8.3564261040052282E-3</v>
      </c>
      <c r="L23" s="12">
        <v>-1.1072710297824667E-2</v>
      </c>
      <c r="M23" s="12">
        <v>4.3234618616375689E-4</v>
      </c>
      <c r="N23" s="12">
        <v>9.5572028755485023E-4</v>
      </c>
      <c r="O23" s="12">
        <v>-1.2663803566427038E-3</v>
      </c>
      <c r="P23">
        <f t="shared" si="0"/>
        <v>2.398490532895467E-2</v>
      </c>
      <c r="Q23">
        <f t="shared" si="1"/>
        <v>5.3019689664342444E-2</v>
      </c>
      <c r="R23">
        <f t="shared" si="2"/>
        <v>-7.0253916737497341E-2</v>
      </c>
    </row>
    <row r="24" spans="1:18" ht="13">
      <c r="A24" s="8" t="s">
        <v>22</v>
      </c>
      <c r="B24" s="9">
        <v>2019</v>
      </c>
      <c r="C24" s="4">
        <v>-3.3889932749231337</v>
      </c>
      <c r="D24" s="10">
        <v>0.23273780782230805</v>
      </c>
      <c r="E24" s="11">
        <v>2.63E-2</v>
      </c>
      <c r="F24" s="11">
        <v>2E-3</v>
      </c>
      <c r="G24" s="12">
        <v>-3.5527244363555317E-2</v>
      </c>
      <c r="H24" s="12">
        <v>0.10583887382535379</v>
      </c>
      <c r="I24" s="12">
        <v>-8.0544515841473818E-2</v>
      </c>
      <c r="J24" s="12">
        <v>-9.3436652676150481E-4</v>
      </c>
      <c r="K24" s="12">
        <v>2.7835623816068046E-3</v>
      </c>
      <c r="L24" s="12">
        <v>-2.1183207666307614E-3</v>
      </c>
      <c r="M24" s="12">
        <v>-7.1054488727110635E-5</v>
      </c>
      <c r="N24" s="12">
        <v>2.1167774765070758E-4</v>
      </c>
      <c r="O24" s="12">
        <v>-1.6108903168294764E-4</v>
      </c>
      <c r="P24">
        <f t="shared" si="0"/>
        <v>-8.2685329711413135E-3</v>
      </c>
      <c r="Q24">
        <f t="shared" si="1"/>
        <v>2.4632707476494698E-2</v>
      </c>
      <c r="R24">
        <f t="shared" si="2"/>
        <v>-1.8745754049053778E-2</v>
      </c>
    </row>
    <row r="25" spans="1:18" ht="13">
      <c r="A25" s="8" t="s">
        <v>22</v>
      </c>
      <c r="B25" s="9">
        <v>2020</v>
      </c>
      <c r="C25" s="4">
        <v>-3.0320405786264066</v>
      </c>
      <c r="D25" s="10">
        <v>0.24461080047086525</v>
      </c>
      <c r="E25" s="11">
        <v>2.63E-2</v>
      </c>
      <c r="F25" s="11">
        <v>2E-3</v>
      </c>
      <c r="G25" s="12">
        <v>1.767583872866392E-2</v>
      </c>
      <c r="H25" s="12">
        <v>4.0979988228369638E-2</v>
      </c>
      <c r="I25" s="12">
        <v>-1.6553855208946441E-4</v>
      </c>
      <c r="J25" s="12">
        <v>4.6487455856386112E-4</v>
      </c>
      <c r="K25" s="12">
        <v>1.0777736904061216E-3</v>
      </c>
      <c r="L25" s="12">
        <v>-4.3536639199529142E-6</v>
      </c>
      <c r="M25" s="12">
        <v>3.535167745732784E-5</v>
      </c>
      <c r="N25" s="12">
        <v>8.1959976456739283E-5</v>
      </c>
      <c r="O25" s="12">
        <v>-3.3107710417892883E-7</v>
      </c>
      <c r="P25">
        <f t="shared" si="0"/>
        <v>4.3237010604124026E-3</v>
      </c>
      <c r="Q25">
        <f t="shared" si="1"/>
        <v>1.0024147723828132E-2</v>
      </c>
      <c r="R25">
        <f t="shared" si="2"/>
        <v>-4.049251773539191E-5</v>
      </c>
    </row>
    <row r="26" spans="1:18" ht="13">
      <c r="A26" s="8" t="s">
        <v>22</v>
      </c>
      <c r="B26" s="9">
        <v>2021</v>
      </c>
      <c r="C26" s="4">
        <v>-2.8800140533310801</v>
      </c>
      <c r="D26" s="10">
        <v>0.29562320157504168</v>
      </c>
      <c r="E26" s="11">
        <v>1.7600000000000001E-2</v>
      </c>
      <c r="F26" s="11">
        <v>1.6000000000000001E-3</v>
      </c>
      <c r="G26" s="12">
        <v>-3.214027293990947E-3</v>
      </c>
      <c r="H26" s="12">
        <v>-8.3127198074949109E-3</v>
      </c>
      <c r="I26" s="12">
        <v>3.1046494017870664E-2</v>
      </c>
      <c r="J26" s="12">
        <v>-5.6566880374240671E-5</v>
      </c>
      <c r="K26" s="12">
        <v>-1.4630386861191045E-4</v>
      </c>
      <c r="L26" s="12">
        <v>5.4641829471452374E-4</v>
      </c>
      <c r="M26" s="12">
        <v>-5.1424436703855155E-6</v>
      </c>
      <c r="N26" s="12">
        <v>-1.3300351691991859E-5</v>
      </c>
      <c r="O26" s="12">
        <v>4.9674390428593067E-5</v>
      </c>
      <c r="P26">
        <f t="shared" si="0"/>
        <v>-9.5014103859917143E-4</v>
      </c>
      <c r="Q26">
        <f t="shared" si="1"/>
        <v>-2.4574328432879098E-3</v>
      </c>
      <c r="R26">
        <f t="shared" si="2"/>
        <v>9.1780639592433048E-3</v>
      </c>
    </row>
    <row r="27" spans="1:18" ht="13">
      <c r="A27" s="8" t="s">
        <v>23</v>
      </c>
      <c r="B27" s="9">
        <v>2017</v>
      </c>
      <c r="C27" s="4">
        <v>-1.4854839363386008</v>
      </c>
      <c r="D27" s="10">
        <v>0.65992197375480832</v>
      </c>
      <c r="E27" s="11">
        <v>0.03</v>
      </c>
      <c r="F27" s="11">
        <v>0.57050000000000001</v>
      </c>
      <c r="G27" s="12">
        <v>0.13640042559770105</v>
      </c>
      <c r="H27" s="12">
        <v>-2.4080827187326643E-2</v>
      </c>
      <c r="I27" s="12">
        <v>-0.1028436837845457</v>
      </c>
      <c r="J27" s="12">
        <v>4.0920127679310312E-3</v>
      </c>
      <c r="K27" s="12">
        <v>-7.2242481561979929E-4</v>
      </c>
      <c r="L27" s="12">
        <v>-3.0853105135363709E-3</v>
      </c>
      <c r="M27" s="12">
        <v>7.7816442803488442E-2</v>
      </c>
      <c r="N27" s="12">
        <v>-1.373811191036985E-2</v>
      </c>
      <c r="O27" s="12">
        <v>-5.8672321599083324E-2</v>
      </c>
      <c r="P27">
        <f t="shared" si="0"/>
        <v>9.0013638081430758E-2</v>
      </c>
      <c r="Q27">
        <f t="shared" si="1"/>
        <v>-1.5891467007109049E-2</v>
      </c>
      <c r="R27">
        <f t="shared" si="2"/>
        <v>-6.7868806791312769E-2</v>
      </c>
    </row>
    <row r="28" spans="1:18" ht="13">
      <c r="A28" s="8" t="s">
        <v>23</v>
      </c>
      <c r="B28" s="9">
        <v>2018</v>
      </c>
      <c r="C28" s="4">
        <v>-1.4505319420969485</v>
      </c>
      <c r="D28" s="10">
        <v>0.58405663326832313</v>
      </c>
      <c r="E28" s="11">
        <v>0.03</v>
      </c>
      <c r="F28" s="11">
        <v>0.57050000000000001</v>
      </c>
      <c r="G28" s="12">
        <v>0.11762866798672006</v>
      </c>
      <c r="H28" s="12">
        <v>-2.8495288004883202E-2</v>
      </c>
      <c r="I28" s="12">
        <v>-6.5982819455403532E-2</v>
      </c>
      <c r="J28" s="12">
        <v>3.5288600396016015E-3</v>
      </c>
      <c r="K28" s="12">
        <v>-8.5485864014649604E-4</v>
      </c>
      <c r="L28" s="12">
        <v>-1.9794845836621057E-3</v>
      </c>
      <c r="M28" s="12">
        <v>6.71071550864238E-2</v>
      </c>
      <c r="N28" s="12">
        <v>-1.6256561806785867E-2</v>
      </c>
      <c r="O28" s="12">
        <v>-3.7643198499307716E-2</v>
      </c>
      <c r="P28">
        <f t="shared" si="0"/>
        <v>6.8701803800161096E-2</v>
      </c>
      <c r="Q28">
        <f t="shared" si="1"/>
        <v>-1.6642861976143314E-2</v>
      </c>
      <c r="R28">
        <f t="shared" si="2"/>
        <v>-3.8537703384674597E-2</v>
      </c>
    </row>
    <row r="29" spans="1:18" ht="13">
      <c r="A29" s="8" t="s">
        <v>23</v>
      </c>
      <c r="B29" s="9">
        <v>2019</v>
      </c>
      <c r="C29" s="4">
        <v>-1.2914355495724028</v>
      </c>
      <c r="D29" s="10">
        <v>0.54401549422046414</v>
      </c>
      <c r="E29" s="11">
        <v>2.9100000000000001E-2</v>
      </c>
      <c r="F29" s="11">
        <v>0.59240000000000004</v>
      </c>
      <c r="G29" s="12">
        <v>3.6066493748246288E-3</v>
      </c>
      <c r="H29" s="12">
        <v>-2.1489334035956993E-2</v>
      </c>
      <c r="I29" s="12">
        <v>5.3244273503103637E-3</v>
      </c>
      <c r="J29" s="12">
        <v>1.049534968073967E-4</v>
      </c>
      <c r="K29" s="12">
        <v>-6.2533962044634852E-4</v>
      </c>
      <c r="L29" s="12">
        <v>1.5494083589403159E-4</v>
      </c>
      <c r="M29" s="12">
        <v>2.1365790896461104E-3</v>
      </c>
      <c r="N29" s="12">
        <v>-1.2730281482900924E-2</v>
      </c>
      <c r="O29" s="12">
        <v>3.1541907623238597E-3</v>
      </c>
      <c r="P29">
        <f t="shared" si="0"/>
        <v>1.9620731421251484E-3</v>
      </c>
      <c r="Q29">
        <f t="shared" si="1"/>
        <v>-1.1690530676039784E-2</v>
      </c>
      <c r="R29">
        <f t="shared" si="2"/>
        <v>2.8965709764200488E-3</v>
      </c>
    </row>
    <row r="30" spans="1:18" ht="13">
      <c r="A30" s="8" t="s">
        <v>23</v>
      </c>
      <c r="B30" s="9">
        <v>2020</v>
      </c>
      <c r="C30" s="4">
        <v>-1.1048564782827346</v>
      </c>
      <c r="D30" s="10">
        <v>0.58153464212974681</v>
      </c>
      <c r="E30" s="11">
        <v>2.9399999999999999E-2</v>
      </c>
      <c r="F30" s="11">
        <v>0.59240000000000004</v>
      </c>
      <c r="G30" s="12">
        <v>-0.13109054316256313</v>
      </c>
      <c r="H30" s="12">
        <v>-1.4130421683117008E-2</v>
      </c>
      <c r="I30" s="12">
        <v>0.13163286211841835</v>
      </c>
      <c r="J30" s="12">
        <v>-3.8540619689793562E-3</v>
      </c>
      <c r="K30" s="12">
        <v>-4.1543439748364003E-4</v>
      </c>
      <c r="L30" s="12">
        <v>3.8700061462814991E-3</v>
      </c>
      <c r="M30" s="12">
        <v>-7.7658037769502405E-2</v>
      </c>
      <c r="N30" s="12">
        <v>-8.3708618050785163E-3</v>
      </c>
      <c r="O30" s="12">
        <v>7.7979307518951033E-2</v>
      </c>
      <c r="P30">
        <f t="shared" si="0"/>
        <v>-7.6233692104635278E-2</v>
      </c>
      <c r="Q30">
        <f t="shared" si="1"/>
        <v>-8.217329716633864E-3</v>
      </c>
      <c r="R30">
        <f t="shared" si="2"/>
        <v>7.6549069364548722E-2</v>
      </c>
    </row>
    <row r="31" spans="1:18" ht="13">
      <c r="A31" s="8" t="s">
        <v>23</v>
      </c>
      <c r="B31" s="9">
        <v>2021</v>
      </c>
      <c r="C31" s="4">
        <v>-1.7336129884895126</v>
      </c>
      <c r="D31" s="10">
        <v>0.51552620389800985</v>
      </c>
      <c r="E31" s="11">
        <v>2.9600000000000001E-2</v>
      </c>
      <c r="F31" s="11">
        <v>0.59640000000000004</v>
      </c>
      <c r="G31" s="12">
        <v>0.24814494781165561</v>
      </c>
      <c r="H31" s="12">
        <v>-1.796760345087712E-3</v>
      </c>
      <c r="I31" s="12">
        <v>-0.20263616288798367</v>
      </c>
      <c r="J31" s="12">
        <v>7.3450904552250064E-3</v>
      </c>
      <c r="K31" s="12">
        <v>-5.3184106214596279E-5</v>
      </c>
      <c r="L31" s="12">
        <v>-5.9980304214843167E-3</v>
      </c>
      <c r="M31" s="12">
        <v>0.1479936468748714</v>
      </c>
      <c r="N31" s="12">
        <v>-1.0715878698103116E-3</v>
      </c>
      <c r="O31" s="12">
        <v>-0.12085220754639346</v>
      </c>
      <c r="P31">
        <f t="shared" si="0"/>
        <v>0.12792522296181258</v>
      </c>
      <c r="Q31">
        <f t="shared" si="1"/>
        <v>-9.2627704001754633E-4</v>
      </c>
      <c r="R31">
        <f t="shared" si="2"/>
        <v>-0.104464251826101</v>
      </c>
    </row>
    <row r="32" spans="1:18" ht="13">
      <c r="A32" s="8" t="s">
        <v>24</v>
      </c>
      <c r="B32" s="9">
        <v>2017</v>
      </c>
      <c r="C32" s="4">
        <v>-1.531107977831949</v>
      </c>
      <c r="D32" s="10">
        <v>0.49922814825116479</v>
      </c>
      <c r="E32" s="11">
        <v>6.3100000000000003E-2</v>
      </c>
      <c r="F32" s="11">
        <v>3.7000000000000002E-3</v>
      </c>
      <c r="G32" s="12">
        <v>6.2373965649120372E-2</v>
      </c>
      <c r="H32" s="12">
        <v>-3.9510465197135108E-2</v>
      </c>
      <c r="I32" s="12">
        <v>-5.0205131771086854E-2</v>
      </c>
      <c r="J32" s="12">
        <v>3.9357972324594957E-3</v>
      </c>
      <c r="K32" s="12">
        <v>-2.4931103539392254E-3</v>
      </c>
      <c r="L32" s="12">
        <v>-3.1679438147555806E-3</v>
      </c>
      <c r="M32" s="12">
        <v>2.3078367290174539E-4</v>
      </c>
      <c r="N32" s="12">
        <v>-1.4618872122939991E-4</v>
      </c>
      <c r="O32" s="12">
        <v>-1.8575898755302138E-4</v>
      </c>
      <c r="P32">
        <f t="shared" si="0"/>
        <v>3.1138839370092125E-2</v>
      </c>
      <c r="Q32">
        <f t="shared" si="1"/>
        <v>-1.9724736376907852E-2</v>
      </c>
      <c r="R32">
        <f t="shared" si="2"/>
        <v>-2.5063814966785412E-2</v>
      </c>
    </row>
    <row r="33" spans="1:18" ht="13">
      <c r="A33" s="8" t="s">
        <v>24</v>
      </c>
      <c r="B33" s="9">
        <v>2018</v>
      </c>
      <c r="C33" s="4">
        <v>-2.7295658524338893</v>
      </c>
      <c r="D33" s="10">
        <v>0.31639032345746126</v>
      </c>
      <c r="E33" s="11">
        <v>8.1799999999999998E-2</v>
      </c>
      <c r="F33" s="11">
        <v>3.5000000000000001E-3</v>
      </c>
      <c r="G33" s="12">
        <v>0.19249796140255504</v>
      </c>
      <c r="H33" s="12">
        <v>1.5710790975808644E-2</v>
      </c>
      <c r="I33" s="12">
        <v>-0.38258584760351544</v>
      </c>
      <c r="J33" s="12">
        <v>1.5746333242729001E-2</v>
      </c>
      <c r="K33" s="12">
        <v>1.2851427018211472E-3</v>
      </c>
      <c r="L33" s="12">
        <v>-3.1295522333967561E-2</v>
      </c>
      <c r="M33" s="12">
        <v>6.737428649089426E-4</v>
      </c>
      <c r="N33" s="12">
        <v>5.4987768415330254E-5</v>
      </c>
      <c r="O33" s="12">
        <v>-1.339050466612304E-3</v>
      </c>
      <c r="P33">
        <f t="shared" si="0"/>
        <v>6.0904492273056283E-2</v>
      </c>
      <c r="Q33">
        <f t="shared" si="1"/>
        <v>4.9707422386086608E-3</v>
      </c>
      <c r="R33">
        <f t="shared" si="2"/>
        <v>-0.12104646007352324</v>
      </c>
    </row>
    <row r="34" spans="1:18" ht="13">
      <c r="A34" s="8" t="s">
        <v>24</v>
      </c>
      <c r="B34" s="9">
        <v>2019</v>
      </c>
      <c r="C34" s="4">
        <v>-2.1007630777205017</v>
      </c>
      <c r="D34" s="10">
        <v>0.42833458539491753</v>
      </c>
      <c r="E34" s="11">
        <v>8.1799999999999998E-2</v>
      </c>
      <c r="F34" s="11">
        <v>3.0400000000000002E-3</v>
      </c>
      <c r="G34" s="12">
        <v>7.5641789498225526E-3</v>
      </c>
      <c r="H34" s="12">
        <v>-0.23052612491257157</v>
      </c>
      <c r="I34" s="12">
        <v>0.21761262078076835</v>
      </c>
      <c r="J34" s="12">
        <v>6.1874983809548476E-4</v>
      </c>
      <c r="K34" s="12">
        <v>-1.8857037017848355E-2</v>
      </c>
      <c r="L34" s="12">
        <v>1.780071237986685E-2</v>
      </c>
      <c r="M34" s="12">
        <v>2.2995104007460562E-5</v>
      </c>
      <c r="N34" s="12">
        <v>-7.0079941973421765E-4</v>
      </c>
      <c r="O34" s="12">
        <v>6.6154236717353581E-4</v>
      </c>
      <c r="P34">
        <f t="shared" si="0"/>
        <v>3.2399994543252058E-3</v>
      </c>
      <c r="Q34">
        <f t="shared" si="1"/>
        <v>-9.8742312137123311E-2</v>
      </c>
      <c r="R34">
        <f t="shared" si="2"/>
        <v>9.3211011698831822E-2</v>
      </c>
    </row>
    <row r="35" spans="1:18" ht="13">
      <c r="A35" s="8" t="s">
        <v>24</v>
      </c>
      <c r="B35" s="9">
        <v>2020</v>
      </c>
      <c r="C35" s="4">
        <v>-2.0523332555080147</v>
      </c>
      <c r="D35" s="10">
        <v>0.42137593757002945</v>
      </c>
      <c r="E35" s="11">
        <v>6.5000000000000002E-2</v>
      </c>
      <c r="F35" s="11">
        <v>1.2999999999999999E-3</v>
      </c>
      <c r="G35" s="12">
        <v>8.4707557242852061E-2</v>
      </c>
      <c r="H35" s="12">
        <v>3.6790972963709943E-2</v>
      </c>
      <c r="I35" s="12">
        <v>-2.8104032375001649E-2</v>
      </c>
      <c r="J35" s="12">
        <v>5.5059912207853839E-3</v>
      </c>
      <c r="K35" s="12">
        <v>2.3914132426411465E-3</v>
      </c>
      <c r="L35" s="12">
        <v>-1.8267621043751073E-3</v>
      </c>
      <c r="M35" s="12">
        <v>1.1011982441570768E-4</v>
      </c>
      <c r="N35" s="12">
        <v>4.7828264852822925E-5</v>
      </c>
      <c r="O35" s="12">
        <v>-3.6535242087502139E-5</v>
      </c>
      <c r="P35">
        <f t="shared" si="0"/>
        <v>3.5693726352473726E-2</v>
      </c>
      <c r="Q35">
        <f t="shared" si="1"/>
        <v>1.5502830726696882E-2</v>
      </c>
      <c r="R35">
        <f t="shared" si="2"/>
        <v>-1.184236299151478E-2</v>
      </c>
    </row>
    <row r="36" spans="1:18" ht="13">
      <c r="A36" s="8" t="s">
        <v>24</v>
      </c>
      <c r="B36" s="9">
        <v>2021</v>
      </c>
      <c r="C36" s="4">
        <v>-0.1954061280558011</v>
      </c>
      <c r="D36" s="10">
        <v>0.74000495577509395</v>
      </c>
      <c r="E36" s="11">
        <v>6.3200000000000006E-2</v>
      </c>
      <c r="F36" s="11">
        <v>8.9999999999999998E-4</v>
      </c>
      <c r="G36" s="12">
        <v>-0.35355684597235537</v>
      </c>
      <c r="H36" s="12">
        <v>-7.8085778002822639E-2</v>
      </c>
      <c r="I36" s="12">
        <v>0.49823315844474847</v>
      </c>
      <c r="J36" s="12">
        <v>-2.2344792665452862E-2</v>
      </c>
      <c r="K36" s="12">
        <v>-4.9350211697783914E-3</v>
      </c>
      <c r="L36" s="12">
        <v>3.1488335613708104E-2</v>
      </c>
      <c r="M36" s="12">
        <v>-3.1820116137511981E-4</v>
      </c>
      <c r="N36" s="12">
        <v>-7.0277200202540369E-5</v>
      </c>
      <c r="O36" s="12">
        <v>4.4840984260027361E-4</v>
      </c>
      <c r="P36">
        <f t="shared" si="0"/>
        <v>-0.26163381816775455</v>
      </c>
      <c r="Q36">
        <f t="shared" si="1"/>
        <v>-5.7783862697642574E-2</v>
      </c>
      <c r="R36">
        <f t="shared" si="2"/>
        <v>0.36869500638059149</v>
      </c>
    </row>
    <row r="37" spans="1:18" ht="13">
      <c r="A37" s="8" t="s">
        <v>25</v>
      </c>
      <c r="B37" s="9">
        <v>2017</v>
      </c>
      <c r="C37" s="4">
        <v>-2.253161709777864</v>
      </c>
      <c r="D37" s="10">
        <v>0.3874335039646693</v>
      </c>
      <c r="E37" s="11">
        <v>3.3999999999999998E-3</v>
      </c>
      <c r="F37" s="11">
        <v>0</v>
      </c>
      <c r="G37" s="12">
        <v>7.9795242396868415E-3</v>
      </c>
      <c r="H37" s="12">
        <v>-0.10730536317708855</v>
      </c>
      <c r="I37" s="12">
        <v>7.6198601492187754E-2</v>
      </c>
      <c r="J37" s="12">
        <v>2.7130382414935258E-5</v>
      </c>
      <c r="K37" s="12">
        <v>-3.6483823480210108E-4</v>
      </c>
      <c r="L37" s="12">
        <v>2.5907524507343837E-4</v>
      </c>
      <c r="M37" s="12">
        <v>0</v>
      </c>
      <c r="N37" s="12">
        <v>0</v>
      </c>
      <c r="O37" s="12">
        <v>0</v>
      </c>
      <c r="P37">
        <f t="shared" si="0"/>
        <v>3.0915350361528865E-3</v>
      </c>
      <c r="Q37">
        <f t="shared" si="1"/>
        <v>-4.1573692849900819E-2</v>
      </c>
      <c r="R37">
        <f t="shared" si="2"/>
        <v>2.9521891173325779E-2</v>
      </c>
    </row>
    <row r="38" spans="1:18" ht="13">
      <c r="A38" s="8" t="s">
        <v>25</v>
      </c>
      <c r="B38" s="9">
        <v>2018</v>
      </c>
      <c r="C38" s="4">
        <v>-2.7359212083041906</v>
      </c>
      <c r="D38" s="10">
        <v>0.29134731825461935</v>
      </c>
      <c r="E38" s="11">
        <v>6.6E-3</v>
      </c>
      <c r="F38" s="11">
        <v>1.1999999999999999E-3</v>
      </c>
      <c r="G38" s="12">
        <v>-0.10390249619125748</v>
      </c>
      <c r="H38" s="12">
        <v>-0.32044220477362395</v>
      </c>
      <c r="I38" s="12">
        <v>0.42293058322590726</v>
      </c>
      <c r="J38" s="12">
        <v>-6.8575647486229937E-4</v>
      </c>
      <c r="K38" s="12">
        <v>-2.1149185515059181E-3</v>
      </c>
      <c r="L38" s="12">
        <v>2.7913418492909879E-3</v>
      </c>
      <c r="M38" s="12">
        <v>-1.2468299542950896E-4</v>
      </c>
      <c r="N38" s="12">
        <v>-3.8453064572834873E-4</v>
      </c>
      <c r="O38" s="12">
        <v>5.0751669987108867E-4</v>
      </c>
      <c r="P38">
        <f t="shared" si="0"/>
        <v>-3.0271713625283667E-2</v>
      </c>
      <c r="Q38">
        <f t="shared" si="1"/>
        <v>-9.3359977016392925E-2</v>
      </c>
      <c r="R38">
        <f t="shared" si="2"/>
        <v>0.12321969123073018</v>
      </c>
    </row>
    <row r="39" spans="1:18" ht="13">
      <c r="A39" s="8" t="s">
        <v>25</v>
      </c>
      <c r="B39" s="9">
        <v>2019</v>
      </c>
      <c r="C39" s="4">
        <v>-2.7439181476902612</v>
      </c>
      <c r="D39" s="10">
        <v>0.28486537768527576</v>
      </c>
      <c r="E39" s="11">
        <v>8.3000000000000001E-3</v>
      </c>
      <c r="F39" s="11">
        <v>0</v>
      </c>
      <c r="G39" s="12">
        <v>-0.1378582512704728</v>
      </c>
      <c r="H39" s="12">
        <v>6.1247453538570154E-2</v>
      </c>
      <c r="I39" s="12">
        <v>6.7314834562744078E-2</v>
      </c>
      <c r="J39" s="12">
        <v>-1.1442234855449241E-3</v>
      </c>
      <c r="K39" s="12">
        <v>5.0835386437013224E-4</v>
      </c>
      <c r="L39" s="12">
        <v>5.5871312687077589E-4</v>
      </c>
      <c r="M39" s="12">
        <v>0</v>
      </c>
      <c r="N39" s="12">
        <v>0</v>
      </c>
      <c r="O39" s="12">
        <v>0</v>
      </c>
      <c r="P39">
        <f t="shared" si="0"/>
        <v>-3.9271042815194883E-2</v>
      </c>
      <c r="Q39">
        <f t="shared" si="1"/>
        <v>1.7447278984526166E-2</v>
      </c>
      <c r="R39">
        <f t="shared" si="2"/>
        <v>1.9175665771537946E-2</v>
      </c>
    </row>
    <row r="40" spans="1:18" ht="13">
      <c r="A40" s="8" t="s">
        <v>25</v>
      </c>
      <c r="B40" s="9">
        <v>2020</v>
      </c>
      <c r="C40" s="4">
        <v>-2.784379413405337</v>
      </c>
      <c r="D40" s="10">
        <v>0.27498939681720114</v>
      </c>
      <c r="E40" s="11">
        <v>8.3000000000000001E-3</v>
      </c>
      <c r="F40" s="11">
        <v>0</v>
      </c>
      <c r="G40" s="12">
        <v>-4.9467996828265318E-2</v>
      </c>
      <c r="H40" s="12">
        <v>5.693632558225304E-2</v>
      </c>
      <c r="I40" s="12">
        <v>-3.6179903741540508E-3</v>
      </c>
      <c r="J40" s="12">
        <v>-4.1058437367460214E-4</v>
      </c>
      <c r="K40" s="12">
        <v>4.7257150233270026E-4</v>
      </c>
      <c r="L40" s="12">
        <v>-3.0029320105478623E-5</v>
      </c>
      <c r="M40" s="12">
        <v>0</v>
      </c>
      <c r="N40" s="12">
        <v>0</v>
      </c>
      <c r="O40" s="12">
        <v>0</v>
      </c>
      <c r="P40">
        <f t="shared" si="0"/>
        <v>-1.3603174609559898E-2</v>
      </c>
      <c r="Q40">
        <f t="shared" si="1"/>
        <v>1.5656885828851542E-2</v>
      </c>
      <c r="R40">
        <f t="shared" si="2"/>
        <v>-9.949089906790623E-4</v>
      </c>
    </row>
    <row r="41" spans="1:18" ht="13">
      <c r="A41" s="8" t="s">
        <v>25</v>
      </c>
      <c r="B41" s="9">
        <v>2021</v>
      </c>
      <c r="C41" s="4">
        <v>-2.97154282081482</v>
      </c>
      <c r="D41" s="10">
        <v>0.2387972924062623</v>
      </c>
      <c r="E41" s="11">
        <v>4.7000000000000002E-3</v>
      </c>
      <c r="F41" s="11">
        <v>0</v>
      </c>
      <c r="G41" s="12">
        <v>-1.1289341352410729E-2</v>
      </c>
      <c r="H41" s="12">
        <v>1.1974710643246034E-2</v>
      </c>
      <c r="I41" s="12">
        <v>-2.6375166529336116E-3</v>
      </c>
      <c r="J41" s="12">
        <v>-5.3059904356330424E-5</v>
      </c>
      <c r="K41" s="12">
        <v>5.6281140023256362E-5</v>
      </c>
      <c r="L41" s="12">
        <v>-1.2396328268787974E-5</v>
      </c>
      <c r="M41" s="12">
        <v>0</v>
      </c>
      <c r="N41" s="12">
        <v>0</v>
      </c>
      <c r="O41" s="12">
        <v>0</v>
      </c>
      <c r="P41">
        <f t="shared" si="0"/>
        <v>-2.6958641480057336E-3</v>
      </c>
      <c r="Q41">
        <f t="shared" si="1"/>
        <v>2.8595284789556044E-3</v>
      </c>
      <c r="R41">
        <f t="shared" si="2"/>
        <v>-6.298318353969739E-4</v>
      </c>
    </row>
    <row r="42" spans="1:18" ht="13">
      <c r="A42" s="8" t="s">
        <v>26</v>
      </c>
      <c r="B42" s="9">
        <v>2017</v>
      </c>
      <c r="C42" s="4">
        <v>-1.7843589380516209</v>
      </c>
      <c r="D42" s="10">
        <v>0.48415984842597626</v>
      </c>
      <c r="E42" s="11">
        <v>1.41E-2</v>
      </c>
      <c r="F42" s="11">
        <v>0.72889999999999999</v>
      </c>
      <c r="G42" s="12">
        <v>0.27596019701662655</v>
      </c>
      <c r="H42" s="12">
        <v>-0.13894038803838196</v>
      </c>
      <c r="I42" s="12">
        <v>-0.13549518745073658</v>
      </c>
      <c r="J42" s="12">
        <v>3.8910387779344342E-3</v>
      </c>
      <c r="K42" s="12">
        <v>-1.9590594713411857E-3</v>
      </c>
      <c r="L42" s="12">
        <v>-1.9104821430553857E-3</v>
      </c>
      <c r="M42" s="12">
        <v>0.20114738760541909</v>
      </c>
      <c r="N42" s="12">
        <v>-0.10127364884117661</v>
      </c>
      <c r="O42" s="12">
        <v>-9.8762442132841896E-2</v>
      </c>
      <c r="P42">
        <f t="shared" si="0"/>
        <v>0.13360884715917246</v>
      </c>
      <c r="Q42">
        <f t="shared" si="1"/>
        <v>-6.7269357212909331E-2</v>
      </c>
      <c r="R42">
        <f t="shared" si="2"/>
        <v>-6.5601329418597865E-2</v>
      </c>
    </row>
    <row r="43" spans="1:18" ht="13">
      <c r="A43" s="8" t="s">
        <v>26</v>
      </c>
      <c r="B43" s="9">
        <v>2018</v>
      </c>
      <c r="C43" s="4">
        <v>-2.4743933378281429</v>
      </c>
      <c r="D43" s="10">
        <v>0.46045482282113936</v>
      </c>
      <c r="E43" s="11">
        <v>2.7099999999999999E-2</v>
      </c>
      <c r="F43" s="11">
        <v>0.77</v>
      </c>
      <c r="G43" s="12">
        <v>0.21051540552455861</v>
      </c>
      <c r="H43" s="12">
        <v>-0.19995503741529369</v>
      </c>
      <c r="I43" s="12">
        <v>2.0787896305768934E-3</v>
      </c>
      <c r="J43" s="12">
        <v>5.7049674897155381E-3</v>
      </c>
      <c r="K43" s="12">
        <v>-5.418781513954459E-3</v>
      </c>
      <c r="L43" s="12">
        <v>5.6335198988633807E-5</v>
      </c>
      <c r="M43" s="12">
        <v>0.16209686225391012</v>
      </c>
      <c r="N43" s="12">
        <v>-0.15396537880977615</v>
      </c>
      <c r="O43" s="12">
        <v>1.600668015544208E-3</v>
      </c>
      <c r="P43">
        <f t="shared" si="0"/>
        <v>9.693283375193093E-2</v>
      </c>
      <c r="Q43">
        <f t="shared" si="1"/>
        <v>-9.2070261325253352E-2</v>
      </c>
      <c r="R43">
        <f t="shared" si="2"/>
        <v>9.5718871102970515E-4</v>
      </c>
    </row>
    <row r="44" spans="1:18" ht="13">
      <c r="A44" s="8" t="s">
        <v>26</v>
      </c>
      <c r="B44" s="9">
        <v>2019</v>
      </c>
      <c r="C44" s="4">
        <v>-2.6619330424954684</v>
      </c>
      <c r="D44" s="10">
        <v>0.42290427127170699</v>
      </c>
      <c r="E44" s="11">
        <v>1.26E-2</v>
      </c>
      <c r="F44" s="11">
        <v>0.7833</v>
      </c>
      <c r="G44" s="12">
        <v>7.9279736854834804E-2</v>
      </c>
      <c r="H44" s="12">
        <v>-6.0970831519373089E-2</v>
      </c>
      <c r="I44" s="12">
        <v>-2.9057224398974506E-2</v>
      </c>
      <c r="J44" s="12">
        <v>9.9892468437091844E-4</v>
      </c>
      <c r="K44" s="12">
        <v>-7.6823247714410091E-4</v>
      </c>
      <c r="L44" s="12">
        <v>-3.661210274270788E-4</v>
      </c>
      <c r="M44" s="12">
        <v>6.2099817878392104E-2</v>
      </c>
      <c r="N44" s="12">
        <v>-4.7758452329124942E-2</v>
      </c>
      <c r="O44" s="12">
        <v>-2.2760523871716731E-2</v>
      </c>
      <c r="P44">
        <f t="shared" si="0"/>
        <v>3.3527739341206605E-2</v>
      </c>
      <c r="Q44">
        <f t="shared" si="1"/>
        <v>-2.57848250725305E-2</v>
      </c>
      <c r="R44">
        <f t="shared" si="2"/>
        <v>-1.2288424309626778E-2</v>
      </c>
    </row>
    <row r="45" spans="1:18" ht="13">
      <c r="A45" s="8" t="s">
        <v>26</v>
      </c>
      <c r="B45" s="9">
        <v>2020</v>
      </c>
      <c r="C45" s="4">
        <v>-1.5450086936827421</v>
      </c>
      <c r="D45" s="10">
        <v>0.51718424188263334</v>
      </c>
      <c r="E45" s="11">
        <v>1.32E-2</v>
      </c>
      <c r="F45" s="11">
        <v>0.83640000000000003</v>
      </c>
      <c r="G45" s="12">
        <v>-6.1087114818124651E-3</v>
      </c>
      <c r="H45" s="12">
        <v>-4.2485850461721777E-2</v>
      </c>
      <c r="I45" s="12">
        <v>5.2597391851189883E-2</v>
      </c>
      <c r="J45" s="12">
        <v>-8.0634991559924542E-5</v>
      </c>
      <c r="K45" s="12">
        <v>-5.6081322609472743E-4</v>
      </c>
      <c r="L45" s="12">
        <v>6.9428557243570647E-4</v>
      </c>
      <c r="M45" s="12">
        <v>-5.1093262833879459E-3</v>
      </c>
      <c r="N45" s="12">
        <v>-3.5535165326184094E-2</v>
      </c>
      <c r="O45" s="12">
        <v>4.3992458544335221E-2</v>
      </c>
      <c r="P45">
        <f t="shared" si="0"/>
        <v>-3.1593293166009176E-3</v>
      </c>
      <c r="Q45">
        <f t="shared" si="1"/>
        <v>-2.1973012361784505E-2</v>
      </c>
      <c r="R45">
        <f t="shared" si="2"/>
        <v>2.7202542229561436E-2</v>
      </c>
    </row>
    <row r="46" spans="1:18" ht="13">
      <c r="A46" s="8" t="s">
        <v>26</v>
      </c>
      <c r="B46" s="9">
        <v>2021</v>
      </c>
      <c r="C46" s="4">
        <v>-1.4450863812704831</v>
      </c>
      <c r="D46" s="10">
        <v>0.52316912642141566</v>
      </c>
      <c r="E46" s="11">
        <v>1.52E-2</v>
      </c>
      <c r="F46" s="11">
        <v>0.56740000000000002</v>
      </c>
      <c r="G46" s="12">
        <v>5.1355496413911315E-2</v>
      </c>
      <c r="H46" s="12">
        <v>-6.1578617151714712E-2</v>
      </c>
      <c r="I46" s="12">
        <v>1.0011933125289613E-2</v>
      </c>
      <c r="J46" s="12">
        <v>7.8060354549145197E-4</v>
      </c>
      <c r="K46" s="12">
        <v>-9.3599498070606366E-4</v>
      </c>
      <c r="L46" s="12">
        <v>1.521813835044021E-4</v>
      </c>
      <c r="M46" s="12">
        <v>2.913910866525328E-2</v>
      </c>
      <c r="N46" s="12">
        <v>-3.4939707371882928E-2</v>
      </c>
      <c r="O46" s="12">
        <v>5.6807708552893263E-3</v>
      </c>
      <c r="P46">
        <f t="shared" si="0"/>
        <v>2.6867610195804126E-2</v>
      </c>
      <c r="Q46">
        <f t="shared" si="1"/>
        <v>-3.2216031341501389E-2</v>
      </c>
      <c r="R46">
        <f t="shared" si="2"/>
        <v>5.2379343069474003E-3</v>
      </c>
    </row>
    <row r="47" spans="1:18" ht="13">
      <c r="A47" s="8" t="s">
        <v>27</v>
      </c>
      <c r="B47" s="9">
        <v>2017</v>
      </c>
      <c r="C47" s="4">
        <v>-4.7397039122586655</v>
      </c>
      <c r="D47" s="10">
        <v>9.977060407593337E-2</v>
      </c>
      <c r="E47" s="11">
        <v>5.9400000000000001E-2</v>
      </c>
      <c r="F47" s="11">
        <v>0.30980000000000002</v>
      </c>
      <c r="G47" s="12">
        <v>3.1649988363974861E-2</v>
      </c>
      <c r="H47" s="12">
        <v>-5.7847667808105319E-3</v>
      </c>
      <c r="I47" s="12">
        <v>-3.2913328235646133E-2</v>
      </c>
      <c r="J47" s="12">
        <v>1.8800093088201068E-3</v>
      </c>
      <c r="K47" s="12">
        <v>-3.4361514678014562E-4</v>
      </c>
      <c r="L47" s="12">
        <v>-1.9550516971973803E-3</v>
      </c>
      <c r="M47" s="12">
        <v>9.8051663951594127E-3</v>
      </c>
      <c r="N47" s="12">
        <v>-1.792120748695103E-3</v>
      </c>
      <c r="O47" s="12">
        <v>-1.0196549087403172E-2</v>
      </c>
      <c r="P47">
        <f t="shared" si="0"/>
        <v>3.1577384580700339E-3</v>
      </c>
      <c r="Q47">
        <f t="shared" si="1"/>
        <v>-5.7714967615985922E-4</v>
      </c>
      <c r="R47">
        <f t="shared" si="2"/>
        <v>-3.2837826402198891E-3</v>
      </c>
    </row>
    <row r="48" spans="1:18" ht="13">
      <c r="A48" s="8" t="s">
        <v>27</v>
      </c>
      <c r="B48" s="9">
        <v>2018</v>
      </c>
      <c r="C48" s="4">
        <v>-4.7434530543437861</v>
      </c>
      <c r="D48" s="10">
        <v>8.420655658217277E-2</v>
      </c>
      <c r="E48" s="11">
        <v>0.10050000000000001</v>
      </c>
      <c r="F48" s="11">
        <v>0.375</v>
      </c>
      <c r="G48" s="12">
        <v>0.2424373030196913</v>
      </c>
      <c r="H48" s="12">
        <v>-0.1834442259515664</v>
      </c>
      <c r="I48" s="12">
        <v>-9.6705546426743526E-3</v>
      </c>
      <c r="J48" s="12">
        <v>2.4364948953478977E-2</v>
      </c>
      <c r="K48" s="12">
        <v>-1.8436144708132426E-2</v>
      </c>
      <c r="L48" s="12">
        <v>-9.7189074158877248E-4</v>
      </c>
      <c r="M48" s="12">
        <v>9.0913988632384229E-2</v>
      </c>
      <c r="N48" s="12">
        <v>-6.8791584731837399E-2</v>
      </c>
      <c r="O48" s="12">
        <v>-3.6264579910028822E-3</v>
      </c>
      <c r="P48">
        <f t="shared" si="0"/>
        <v>2.0414810474357E-2</v>
      </c>
      <c r="Q48">
        <f t="shared" si="1"/>
        <v>-1.5447206592263462E-2</v>
      </c>
      <c r="R48">
        <f t="shared" si="2"/>
        <v>-8.1432410669935145E-4</v>
      </c>
    </row>
    <row r="49" spans="1:18" ht="13">
      <c r="A49" s="8" t="s">
        <v>27</v>
      </c>
      <c r="B49" s="9">
        <v>2019</v>
      </c>
      <c r="C49" s="4">
        <v>-4.0256033652421559</v>
      </c>
      <c r="D49" s="10">
        <v>9.3265210425540229E-2</v>
      </c>
      <c r="E49" s="11">
        <v>0.16550000000000001</v>
      </c>
      <c r="F49" s="11">
        <v>0.43990000000000001</v>
      </c>
      <c r="G49" s="12">
        <v>4.1362197647610489E-2</v>
      </c>
      <c r="H49" s="12">
        <v>-0.43337501465358919</v>
      </c>
      <c r="I49" s="12">
        <v>0.56166230315345245</v>
      </c>
      <c r="J49" s="12">
        <v>6.8454437106795366E-3</v>
      </c>
      <c r="K49" s="12">
        <v>-7.1723564925169014E-2</v>
      </c>
      <c r="L49" s="12">
        <v>9.2955111171896379E-2</v>
      </c>
      <c r="M49" s="12">
        <v>1.8195230745183855E-2</v>
      </c>
      <c r="N49" s="12">
        <v>-0.1906416689461139</v>
      </c>
      <c r="O49" s="12">
        <v>0.24707524715720375</v>
      </c>
      <c r="P49">
        <f t="shared" si="0"/>
        <v>3.8576540672671774E-3</v>
      </c>
      <c r="Q49">
        <f t="shared" si="1"/>
        <v>-4.0418811934838574E-2</v>
      </c>
      <c r="R49">
        <f t="shared" si="2"/>
        <v>5.2383552891700311E-2</v>
      </c>
    </row>
    <row r="50" spans="1:18" ht="13">
      <c r="A50" s="8" t="s">
        <v>27</v>
      </c>
      <c r="B50" s="9">
        <v>2020</v>
      </c>
      <c r="C50" s="4">
        <v>-4.3257731240045061</v>
      </c>
      <c r="D50" s="10">
        <v>3.5055824523268449E-2</v>
      </c>
      <c r="E50" s="11">
        <v>0.1419</v>
      </c>
      <c r="F50" s="11">
        <v>0.44479999999999997</v>
      </c>
      <c r="G50" s="12">
        <v>2.3515462898923031E-2</v>
      </c>
      <c r="H50" s="12">
        <v>-0.11520600731153047</v>
      </c>
      <c r="I50" s="12">
        <v>-3.549056417350064E-2</v>
      </c>
      <c r="J50" s="12">
        <v>3.3368441853571778E-3</v>
      </c>
      <c r="K50" s="12">
        <v>-1.6347732437506174E-2</v>
      </c>
      <c r="L50" s="12">
        <v>-5.0361110562197409E-3</v>
      </c>
      <c r="M50" s="12">
        <v>1.0459677897440964E-2</v>
      </c>
      <c r="N50" s="12">
        <v>-5.1243632052168746E-2</v>
      </c>
      <c r="O50" s="12">
        <v>-1.5786202944373082E-2</v>
      </c>
      <c r="P50">
        <f t="shared" si="0"/>
        <v>8.2435394096807538E-4</v>
      </c>
      <c r="Q50">
        <f t="shared" si="1"/>
        <v>-4.0386415763393937E-3</v>
      </c>
      <c r="R50">
        <f t="shared" si="2"/>
        <v>-1.2441509898980364E-3</v>
      </c>
    </row>
    <row r="51" spans="1:18" ht="13">
      <c r="A51" s="8" t="s">
        <v>27</v>
      </c>
      <c r="B51" s="9">
        <v>2021</v>
      </c>
      <c r="C51" s="4">
        <v>-4.0667513207499413</v>
      </c>
      <c r="D51" s="10">
        <v>4.3226483972595889E-2</v>
      </c>
      <c r="E51" s="11">
        <v>0.15659999999999999</v>
      </c>
      <c r="F51" s="11">
        <v>0.44479999999999997</v>
      </c>
      <c r="G51" s="12">
        <v>-3.1614742211331696E-2</v>
      </c>
      <c r="H51" s="12">
        <v>-2.7654148122218329E-2</v>
      </c>
      <c r="I51" s="12">
        <v>0</v>
      </c>
      <c r="J51" s="12">
        <v>-4.9508686302945437E-3</v>
      </c>
      <c r="K51" s="12">
        <v>-4.3306395959393897E-3</v>
      </c>
      <c r="L51" s="12">
        <v>0</v>
      </c>
      <c r="M51" s="12">
        <v>-1.4062237335600337E-2</v>
      </c>
      <c r="N51" s="12">
        <v>-1.2300565084762712E-2</v>
      </c>
      <c r="O51" s="12">
        <v>0</v>
      </c>
      <c r="P51">
        <f t="shared" si="0"/>
        <v>-1.3665941474958804E-3</v>
      </c>
      <c r="Q51">
        <f t="shared" si="1"/>
        <v>-1.1953915905808634E-3</v>
      </c>
      <c r="R51">
        <f t="shared" si="2"/>
        <v>0</v>
      </c>
    </row>
    <row r="52" spans="1:18" ht="13">
      <c r="A52" s="8" t="s">
        <v>28</v>
      </c>
      <c r="B52" s="9">
        <v>2017</v>
      </c>
      <c r="C52" s="4">
        <v>-1.6282095842188564</v>
      </c>
      <c r="D52" s="10">
        <v>0.49356507728858146</v>
      </c>
      <c r="E52" s="11">
        <v>1.54E-2</v>
      </c>
      <c r="F52" s="11">
        <v>0.26519999999999999</v>
      </c>
      <c r="G52" s="12">
        <v>-5.878138372671228E-2</v>
      </c>
      <c r="H52" s="12">
        <v>2.8577080945820465E-2</v>
      </c>
      <c r="I52" s="12">
        <v>3.7636411271852979E-2</v>
      </c>
      <c r="J52" s="12">
        <v>-9.0523330939136916E-4</v>
      </c>
      <c r="K52" s="12">
        <v>4.4008704656563517E-4</v>
      </c>
      <c r="L52" s="12">
        <v>5.7960073358653591E-4</v>
      </c>
      <c r="M52" s="12">
        <v>-1.5588822964324097E-2</v>
      </c>
      <c r="N52" s="12">
        <v>7.5786418668315871E-3</v>
      </c>
      <c r="O52" s="12">
        <v>9.9811762692954102E-3</v>
      </c>
      <c r="P52">
        <f t="shared" si="0"/>
        <v>-2.9012438202204512E-2</v>
      </c>
      <c r="Q52">
        <f t="shared" si="1"/>
        <v>1.4104649165705927E-2</v>
      </c>
      <c r="R52">
        <f t="shared" si="2"/>
        <v>1.8576018238256956E-2</v>
      </c>
    </row>
    <row r="53" spans="1:18" ht="13">
      <c r="A53" s="8" t="s">
        <v>28</v>
      </c>
      <c r="B53" s="9">
        <v>2018</v>
      </c>
      <c r="C53" s="4">
        <v>-1.7864196379216564</v>
      </c>
      <c r="D53" s="10">
        <v>0.52090441619779115</v>
      </c>
      <c r="E53" s="11">
        <v>1.0999999999999999E-2</v>
      </c>
      <c r="F53" s="11">
        <v>0.2697</v>
      </c>
      <c r="G53" s="12">
        <v>3.4664221666641619E-2</v>
      </c>
      <c r="H53" s="12">
        <v>-1.5649503234113765E-2</v>
      </c>
      <c r="I53" s="12">
        <v>6.2711578511389125E-4</v>
      </c>
      <c r="J53" s="12">
        <v>3.8130643833305777E-4</v>
      </c>
      <c r="K53" s="12">
        <v>-1.7214453557525141E-4</v>
      </c>
      <c r="L53" s="12">
        <v>6.8982736362528031E-6</v>
      </c>
      <c r="M53" s="12">
        <v>9.3489405834932451E-3</v>
      </c>
      <c r="N53" s="12">
        <v>-4.2206710222404825E-3</v>
      </c>
      <c r="O53" s="12">
        <v>1.6913312724521647E-4</v>
      </c>
      <c r="P53">
        <f t="shared" si="0"/>
        <v>1.8056746150212775E-2</v>
      </c>
      <c r="Q53">
        <f t="shared" si="1"/>
        <v>-8.1518953459514751E-3</v>
      </c>
      <c r="R53">
        <f t="shared" si="2"/>
        <v>3.2666738193317096E-4</v>
      </c>
    </row>
    <row r="54" spans="1:18" ht="13">
      <c r="A54" s="8" t="s">
        <v>28</v>
      </c>
      <c r="B54" s="9">
        <v>2019</v>
      </c>
      <c r="C54" s="4">
        <v>-1.1453018995128914</v>
      </c>
      <c r="D54" s="10">
        <v>0.59593839824932959</v>
      </c>
      <c r="E54" s="11">
        <v>1.66E-2</v>
      </c>
      <c r="F54" s="11">
        <v>0.2114</v>
      </c>
      <c r="G54" s="12">
        <v>4.8906440048960297E-2</v>
      </c>
      <c r="H54" s="12">
        <v>-0.17915776231685571</v>
      </c>
      <c r="I54" s="12">
        <v>0.15084401374427669</v>
      </c>
      <c r="J54" s="12">
        <v>8.1184690481274097E-4</v>
      </c>
      <c r="K54" s="12">
        <v>-2.9740188544598047E-3</v>
      </c>
      <c r="L54" s="12">
        <v>2.504010628154993E-3</v>
      </c>
      <c r="M54" s="12">
        <v>1.0338821426350207E-2</v>
      </c>
      <c r="N54" s="12">
        <v>-3.7873950953783299E-2</v>
      </c>
      <c r="O54" s="12">
        <v>3.1888424505540094E-2</v>
      </c>
      <c r="P54">
        <f t="shared" si="0"/>
        <v>2.9145225546854264E-2</v>
      </c>
      <c r="Q54">
        <f t="shared" si="1"/>
        <v>-0.10676698990904109</v>
      </c>
      <c r="R54">
        <f t="shared" si="2"/>
        <v>8.9893739936264108E-2</v>
      </c>
    </row>
    <row r="55" spans="1:18" ht="13">
      <c r="A55" s="8" t="s">
        <v>28</v>
      </c>
      <c r="B55" s="9">
        <v>2020</v>
      </c>
      <c r="C55" s="4">
        <v>-0.97644349331304703</v>
      </c>
      <c r="D55" s="10">
        <v>0.52795519352896414</v>
      </c>
      <c r="E55" s="11">
        <v>1.3100000000000001E-2</v>
      </c>
      <c r="F55" s="11">
        <v>0.21060000000000001</v>
      </c>
      <c r="G55" s="12">
        <v>8.1819524442475269E-3</v>
      </c>
      <c r="H55" s="12">
        <v>-8.5347011576519777E-2</v>
      </c>
      <c r="I55" s="12">
        <v>7.4878724878724892E-2</v>
      </c>
      <c r="J55" s="12">
        <v>1.071835770196426E-4</v>
      </c>
      <c r="K55" s="12">
        <v>-1.1180458516524092E-3</v>
      </c>
      <c r="L55" s="12">
        <v>9.8091129591129623E-4</v>
      </c>
      <c r="M55" s="12">
        <v>1.7231191847585292E-3</v>
      </c>
      <c r="N55" s="12">
        <v>-1.7974080638015064E-2</v>
      </c>
      <c r="O55" s="12">
        <v>1.5769459459459463E-2</v>
      </c>
      <c r="P55">
        <f t="shared" si="0"/>
        <v>4.3197042861474839E-3</v>
      </c>
      <c r="Q55">
        <f t="shared" si="1"/>
        <v>-4.5059398014000239E-2</v>
      </c>
      <c r="R55">
        <f t="shared" si="2"/>
        <v>3.953261168454926E-2</v>
      </c>
    </row>
    <row r="56" spans="1:18" ht="13">
      <c r="A56" s="8" t="s">
        <v>28</v>
      </c>
      <c r="B56" s="9">
        <v>2021</v>
      </c>
      <c r="C56" s="4">
        <v>-1.1568608338828501</v>
      </c>
      <c r="D56" s="10">
        <v>0.58300984473097472</v>
      </c>
      <c r="E56" s="11">
        <v>2.3099999999999999E-2</v>
      </c>
      <c r="F56" s="11">
        <v>0.32319999999999999</v>
      </c>
      <c r="G56" s="12">
        <v>5.9858738265110394E-2</v>
      </c>
      <c r="H56" s="12">
        <v>-4.3717606421007957E-2</v>
      </c>
      <c r="I56" s="12">
        <v>-2.6813091009961411E-2</v>
      </c>
      <c r="J56" s="12">
        <v>1.38273685392405E-3</v>
      </c>
      <c r="K56" s="12">
        <v>-1.0098767083252837E-3</v>
      </c>
      <c r="L56" s="12">
        <v>-6.193824023301086E-4</v>
      </c>
      <c r="M56" s="12">
        <v>1.9346344207283678E-2</v>
      </c>
      <c r="N56" s="12">
        <v>-1.4129530395269771E-2</v>
      </c>
      <c r="O56" s="12">
        <v>-8.6659910144195277E-3</v>
      </c>
      <c r="P56">
        <f t="shared" si="0"/>
        <v>3.4898233701734067E-2</v>
      </c>
      <c r="Q56">
        <f t="shared" si="1"/>
        <v>-2.5487794931521712E-2</v>
      </c>
      <c r="R56">
        <f t="shared" si="2"/>
        <v>-1.5632296026475097E-2</v>
      </c>
    </row>
    <row r="57" spans="1:18" ht="13">
      <c r="A57" s="8" t="s">
        <v>29</v>
      </c>
      <c r="B57" s="9">
        <v>2017</v>
      </c>
      <c r="C57" s="4">
        <v>-0.54615532868204542</v>
      </c>
      <c r="D57" s="10">
        <v>0.68496467914100856</v>
      </c>
      <c r="E57" s="11">
        <v>0.49</v>
      </c>
      <c r="F57" s="11">
        <v>5.8599999999999999E-2</v>
      </c>
      <c r="G57" s="12">
        <v>-8.5438595188043642E-2</v>
      </c>
      <c r="H57" s="12">
        <v>-0.17493296093535279</v>
      </c>
      <c r="I57" s="12">
        <v>0.26424162290247583</v>
      </c>
      <c r="J57" s="12">
        <v>-4.1864911642141386E-2</v>
      </c>
      <c r="K57" s="12">
        <v>-8.5717150858322863E-2</v>
      </c>
      <c r="L57" s="12">
        <v>0.12947839522221316</v>
      </c>
      <c r="M57" s="12">
        <v>-5.0067016780193574E-3</v>
      </c>
      <c r="N57" s="12">
        <v>-1.0251071510811673E-2</v>
      </c>
      <c r="O57" s="12">
        <v>1.5484559102085084E-2</v>
      </c>
      <c r="P57">
        <f t="shared" si="0"/>
        <v>-5.8522419939236833E-2</v>
      </c>
      <c r="Q57">
        <f t="shared" si="1"/>
        <v>-0.11982289945827052</v>
      </c>
      <c r="R57">
        <f t="shared" si="2"/>
        <v>0.18099617844709373</v>
      </c>
    </row>
    <row r="58" spans="1:18" ht="13">
      <c r="A58" s="8" t="s">
        <v>29</v>
      </c>
      <c r="B58" s="9">
        <v>2018</v>
      </c>
      <c r="C58" s="4">
        <v>-0.50678532793228914</v>
      </c>
      <c r="D58" s="10">
        <v>0.69359335022085311</v>
      </c>
      <c r="E58" s="11">
        <v>0.49</v>
      </c>
      <c r="F58" s="11">
        <v>5.8599999999999999E-2</v>
      </c>
      <c r="G58" s="12">
        <v>-3.3350730024567524E-2</v>
      </c>
      <c r="H58" s="12">
        <v>-1.5994348196896598E-2</v>
      </c>
      <c r="I58" s="12">
        <v>4.6048193077814124E-2</v>
      </c>
      <c r="J58" s="12">
        <v>-1.6341857712038086E-2</v>
      </c>
      <c r="K58" s="12">
        <v>-7.8372306164793334E-3</v>
      </c>
      <c r="L58" s="12">
        <v>2.2563614608128921E-2</v>
      </c>
      <c r="M58" s="12">
        <v>-1.9543527794396568E-3</v>
      </c>
      <c r="N58" s="12">
        <v>-9.3726880433814069E-4</v>
      </c>
      <c r="O58" s="12">
        <v>2.6984241143599074E-3</v>
      </c>
      <c r="P58">
        <f t="shared" si="0"/>
        <v>-2.3131844570050984E-2</v>
      </c>
      <c r="Q58">
        <f t="shared" si="1"/>
        <v>-1.1093573550484372E-2</v>
      </c>
      <c r="R58">
        <f t="shared" si="2"/>
        <v>3.1938720508457794E-2</v>
      </c>
    </row>
    <row r="59" spans="1:18" ht="13">
      <c r="A59" s="8" t="s">
        <v>29</v>
      </c>
      <c r="B59" s="9">
        <v>2019</v>
      </c>
      <c r="C59" s="4">
        <v>-0.44848022264829018</v>
      </c>
      <c r="D59" s="10">
        <v>0.69558884087989625</v>
      </c>
      <c r="E59" s="11">
        <v>0.49</v>
      </c>
      <c r="F59" s="18">
        <v>0.10850000000000001</v>
      </c>
      <c r="G59" s="12">
        <v>0.16490371909207688</v>
      </c>
      <c r="H59" s="12">
        <v>0.11972882772693469</v>
      </c>
      <c r="I59" s="12">
        <v>-0.29854149636449684</v>
      </c>
      <c r="J59" s="12">
        <v>8.0802822355117668E-2</v>
      </c>
      <c r="K59" s="12">
        <v>5.8667125586197993E-2</v>
      </c>
      <c r="L59" s="12">
        <v>-0.14628533321860346</v>
      </c>
      <c r="M59" s="12">
        <v>1.7892053521490342E-2</v>
      </c>
      <c r="N59" s="12">
        <v>1.2990577808372416E-2</v>
      </c>
      <c r="O59" s="12">
        <v>-3.2391752355547913E-2</v>
      </c>
      <c r="P59">
        <f t="shared" si="0"/>
        <v>0.11470518682004177</v>
      </c>
      <c r="Q59">
        <f t="shared" si="1"/>
        <v>8.3282036498487283E-2</v>
      </c>
      <c r="R59">
        <f t="shared" si="2"/>
        <v>-0.20766213341073012</v>
      </c>
    </row>
    <row r="60" spans="1:18" ht="13">
      <c r="A60" s="8" t="s">
        <v>29</v>
      </c>
      <c r="B60" s="9">
        <v>2020</v>
      </c>
      <c r="C60" s="4">
        <v>-0.29278069040396443</v>
      </c>
      <c r="D60" s="10">
        <v>0.71748159861029148</v>
      </c>
      <c r="E60" s="11">
        <v>0.49</v>
      </c>
      <c r="F60" s="18">
        <v>0.10850000000000001</v>
      </c>
      <c r="G60" s="12">
        <v>2.2660712893778606E-2</v>
      </c>
      <c r="H60" s="12">
        <v>-0.10686168613520707</v>
      </c>
      <c r="I60" s="12">
        <v>9.1550393639410713E-2</v>
      </c>
      <c r="J60" s="12">
        <v>1.1103749317951517E-2</v>
      </c>
      <c r="K60" s="12">
        <v>-5.2362226206251458E-2</v>
      </c>
      <c r="L60" s="12">
        <v>4.485969288331125E-2</v>
      </c>
      <c r="M60" s="12">
        <v>2.4586873489749789E-3</v>
      </c>
      <c r="N60" s="12">
        <v>-1.1594492945669967E-2</v>
      </c>
      <c r="O60" s="12">
        <v>9.9332177098760636E-3</v>
      </c>
      <c r="P60">
        <f t="shared" si="0"/>
        <v>1.6258644512677119E-2</v>
      </c>
      <c r="Q60">
        <f t="shared" si="1"/>
        <v>-7.6671293398479584E-2</v>
      </c>
      <c r="R60">
        <f t="shared" si="2"/>
        <v>6.5685722781805858E-2</v>
      </c>
    </row>
    <row r="61" spans="1:18" ht="13">
      <c r="A61" s="8" t="s">
        <v>29</v>
      </c>
      <c r="B61" s="9">
        <v>2021</v>
      </c>
      <c r="C61" s="4">
        <v>-4.0717475282147718E-2</v>
      </c>
      <c r="D61" s="10">
        <v>0.75763896079562543</v>
      </c>
      <c r="E61" s="11">
        <v>0.49</v>
      </c>
      <c r="F61" s="11">
        <v>5.8599999999999999E-2</v>
      </c>
      <c r="G61" s="12">
        <v>0.14525982574737809</v>
      </c>
      <c r="H61" s="12">
        <v>-7.5440439033770696E-3</v>
      </c>
      <c r="I61" s="12">
        <v>-5.4080440217150132E-2</v>
      </c>
      <c r="J61" s="12">
        <v>7.1177314616215265E-2</v>
      </c>
      <c r="K61" s="12">
        <v>-3.6965815126547641E-3</v>
      </c>
      <c r="L61" s="12">
        <v>-2.6499415706403563E-2</v>
      </c>
      <c r="M61" s="12">
        <v>8.5122257887963564E-3</v>
      </c>
      <c r="N61" s="12">
        <v>-4.4208097273789628E-4</v>
      </c>
      <c r="O61" s="12">
        <v>-3.1691137967249975E-3</v>
      </c>
      <c r="P61">
        <f t="shared" si="0"/>
        <v>0.11005450342459716</v>
      </c>
      <c r="Q61">
        <f t="shared" si="1"/>
        <v>-5.715661583151177E-3</v>
      </c>
      <c r="R61">
        <f t="shared" si="2"/>
        <v>-4.0973448525491576E-2</v>
      </c>
    </row>
    <row r="62" spans="1:18" ht="13">
      <c r="A62" s="8" t="s">
        <v>30</v>
      </c>
      <c r="B62" s="9">
        <v>2017</v>
      </c>
      <c r="C62" s="4">
        <v>-0.86146198056435264</v>
      </c>
      <c r="D62" s="10">
        <v>0.61743774749510283</v>
      </c>
      <c r="E62" s="11">
        <v>0.14560000000000001</v>
      </c>
      <c r="F62" s="11">
        <v>4.3799999999999999E-2</v>
      </c>
      <c r="G62" s="12">
        <v>-0.28072039571031976</v>
      </c>
      <c r="H62" s="12">
        <v>0.27967475091951916</v>
      </c>
      <c r="I62" s="12">
        <v>3.8494384239230003E-2</v>
      </c>
      <c r="J62" s="12">
        <v>-4.0872889615422556E-2</v>
      </c>
      <c r="K62" s="12">
        <v>4.0720643733881991E-2</v>
      </c>
      <c r="L62" s="12">
        <v>5.6047823452318891E-3</v>
      </c>
      <c r="M62" s="12">
        <v>-1.2295553332112005E-2</v>
      </c>
      <c r="N62" s="12">
        <v>1.2249754090274938E-2</v>
      </c>
      <c r="O62" s="12">
        <v>1.6860540296782741E-3</v>
      </c>
      <c r="P62">
        <f t="shared" si="0"/>
        <v>-0.17332736880331376</v>
      </c>
      <c r="Q62">
        <f t="shared" si="1"/>
        <v>0.17268174823900184</v>
      </c>
      <c r="R62">
        <f t="shared" si="2"/>
        <v>2.376788589588116E-2</v>
      </c>
    </row>
    <row r="63" spans="1:18" ht="13">
      <c r="A63" s="8" t="s">
        <v>30</v>
      </c>
      <c r="B63" s="9">
        <v>2018</v>
      </c>
      <c r="C63" s="4">
        <v>-0.1203882569230884</v>
      </c>
      <c r="D63" s="10">
        <v>0.73542230901227856</v>
      </c>
      <c r="E63" s="11">
        <v>0.20530000000000001</v>
      </c>
      <c r="F63" s="11">
        <v>4.2000000000000003E-2</v>
      </c>
      <c r="G63" s="12">
        <v>-0.2031714289473239</v>
      </c>
      <c r="H63" s="12">
        <v>-2.6006318800593162E-2</v>
      </c>
      <c r="I63" s="12">
        <v>0.20768029349907813</v>
      </c>
      <c r="J63" s="12">
        <v>-4.1711094362885601E-2</v>
      </c>
      <c r="K63" s="12">
        <v>-5.3390972497617765E-3</v>
      </c>
      <c r="L63" s="12">
        <v>4.263676425536074E-2</v>
      </c>
      <c r="M63" s="12">
        <v>-8.5332000157876051E-3</v>
      </c>
      <c r="N63" s="12">
        <v>-1.0922653896249129E-3</v>
      </c>
      <c r="O63" s="12">
        <v>8.7225723269612823E-3</v>
      </c>
      <c r="P63">
        <f t="shared" si="0"/>
        <v>-0.14941680140176503</v>
      </c>
      <c r="Q63">
        <f t="shared" si="1"/>
        <v>-1.9125627021241653E-2</v>
      </c>
      <c r="R63">
        <f t="shared" si="2"/>
        <v>0.15273272098143975</v>
      </c>
    </row>
    <row r="64" spans="1:18" ht="13">
      <c r="A64" s="8" t="s">
        <v>30</v>
      </c>
      <c r="B64" s="9">
        <v>2019</v>
      </c>
      <c r="C64" s="4">
        <v>3.3510653505930112E-2</v>
      </c>
      <c r="D64" s="10">
        <v>0.77607159004444048</v>
      </c>
      <c r="E64" s="11">
        <v>0.20619999999999999</v>
      </c>
      <c r="F64" s="11">
        <v>4.7500000000000001E-2</v>
      </c>
      <c r="G64" s="12">
        <v>-0.13362482493962483</v>
      </c>
      <c r="H64" s="12">
        <v>2.5123231476682505E-2</v>
      </c>
      <c r="I64" s="12">
        <v>0.11905070410109943</v>
      </c>
      <c r="J64" s="12">
        <v>-2.7553438902550638E-2</v>
      </c>
      <c r="K64" s="12">
        <v>5.1804103304919323E-3</v>
      </c>
      <c r="L64" s="12">
        <v>2.4548255185646701E-2</v>
      </c>
      <c r="M64" s="12">
        <v>-6.347179184632179E-3</v>
      </c>
      <c r="N64" s="12">
        <v>1.1933534951424191E-3</v>
      </c>
      <c r="O64" s="12">
        <v>5.654908444802223E-3</v>
      </c>
      <c r="P64">
        <f t="shared" si="0"/>
        <v>-0.10370243036030465</v>
      </c>
      <c r="Q64">
        <f t="shared" si="1"/>
        <v>1.9497426199163528E-2</v>
      </c>
      <c r="R64">
        <f t="shared" si="2"/>
        <v>9.2391869227650428E-2</v>
      </c>
    </row>
    <row r="65" spans="1:18" ht="13">
      <c r="A65" s="8" t="s">
        <v>30</v>
      </c>
      <c r="B65" s="9">
        <v>2020</v>
      </c>
      <c r="C65" s="4">
        <v>0.64623993552511194</v>
      </c>
      <c r="D65" s="10">
        <v>0.87722869987483854</v>
      </c>
      <c r="E65" s="11">
        <v>0.14460000000000001</v>
      </c>
      <c r="F65" s="11">
        <v>8.3299999999999999E-2</v>
      </c>
      <c r="G65" s="12">
        <v>-9.2224206741316067E-2</v>
      </c>
      <c r="H65" s="12">
        <v>-2.5429188505698551E-2</v>
      </c>
      <c r="I65" s="12">
        <v>0.14885799005088904</v>
      </c>
      <c r="J65" s="12">
        <v>-1.3335620294794305E-2</v>
      </c>
      <c r="K65" s="12">
        <v>-3.6770606579240106E-3</v>
      </c>
      <c r="L65" s="12">
        <v>2.1524865361358555E-2</v>
      </c>
      <c r="M65" s="12">
        <v>-7.6822764215516287E-3</v>
      </c>
      <c r="N65" s="12">
        <v>-2.1182514025246892E-3</v>
      </c>
      <c r="O65" s="12">
        <v>1.2399870571239056E-2</v>
      </c>
      <c r="P65">
        <f t="shared" si="0"/>
        <v>-8.0901720976673017E-2</v>
      </c>
      <c r="Q65">
        <f t="shared" si="1"/>
        <v>-2.2307213971726129E-2</v>
      </c>
      <c r="R65">
        <f t="shared" si="2"/>
        <v>0.13058250107832303</v>
      </c>
    </row>
    <row r="66" spans="1:18" ht="13">
      <c r="A66" s="8" t="s">
        <v>30</v>
      </c>
      <c r="B66" s="9">
        <v>2021</v>
      </c>
      <c r="C66" s="4">
        <v>1.4409795092964583E-2</v>
      </c>
      <c r="D66" s="10">
        <v>0.77846329451863427</v>
      </c>
      <c r="E66" s="11">
        <v>2.3800000000000002E-2</v>
      </c>
      <c r="F66" s="11">
        <v>0.1201</v>
      </c>
      <c r="G66" s="12">
        <v>-0.23911489007631601</v>
      </c>
      <c r="H66" s="12">
        <v>-2.5763525114402403E-2</v>
      </c>
      <c r="I66" s="12">
        <v>0.26860440342133968</v>
      </c>
      <c r="J66" s="12">
        <v>-5.6909343838163215E-3</v>
      </c>
      <c r="K66" s="12">
        <v>-6.1317189772277722E-4</v>
      </c>
      <c r="L66" s="12">
        <v>6.3927848014278844E-3</v>
      </c>
      <c r="M66" s="12">
        <v>-2.8717698298165551E-2</v>
      </c>
      <c r="N66" s="12">
        <v>-3.0941993662397284E-3</v>
      </c>
      <c r="O66" s="12">
        <v>3.2259388850902897E-2</v>
      </c>
      <c r="P66">
        <f t="shared" si="0"/>
        <v>-0.18614216509727005</v>
      </c>
      <c r="Q66">
        <f t="shared" si="1"/>
        <v>-2.005595863897127E-2</v>
      </c>
      <c r="R66">
        <f t="shared" si="2"/>
        <v>0.20909866880958841</v>
      </c>
    </row>
    <row r="67" spans="1:18" ht="13">
      <c r="A67" s="8" t="s">
        <v>31</v>
      </c>
      <c r="B67" s="9">
        <v>2017</v>
      </c>
      <c r="C67" s="4">
        <v>-3.664020053163044</v>
      </c>
      <c r="D67" s="10">
        <v>0.14854242373584345</v>
      </c>
      <c r="E67" s="11">
        <v>0.1077</v>
      </c>
      <c r="F67" s="11">
        <v>1.01E-2</v>
      </c>
      <c r="G67" s="12">
        <v>0.40028775448852444</v>
      </c>
      <c r="H67" s="12">
        <v>-2.3142444586362266E-2</v>
      </c>
      <c r="I67" s="12">
        <v>-5.4075721693577904E-2</v>
      </c>
      <c r="J67" s="12">
        <v>4.3110991158414082E-2</v>
      </c>
      <c r="K67" s="12">
        <v>-2.492441281951216E-3</v>
      </c>
      <c r="L67" s="12">
        <v>-5.8239552263983406E-3</v>
      </c>
      <c r="M67" s="12">
        <v>4.0429063203340967E-3</v>
      </c>
      <c r="N67" s="12">
        <v>-2.3373869032225887E-4</v>
      </c>
      <c r="O67" s="12">
        <v>-5.4616478910513684E-4</v>
      </c>
      <c r="P67">
        <f t="shared" ref="P67:P130" si="3">G67*D67</f>
        <v>5.9459713243503666E-2</v>
      </c>
      <c r="Q67">
        <f t="shared" ref="Q67:Q130" si="4">H67*D67</f>
        <v>-3.4376348100306998E-3</v>
      </c>
      <c r="R67">
        <f t="shared" ref="R67:R130" si="5">I67*D67</f>
        <v>-8.0325387656289913E-3</v>
      </c>
    </row>
    <row r="68" spans="1:18" ht="13">
      <c r="A68" s="8" t="s">
        <v>31</v>
      </c>
      <c r="B68" s="9">
        <v>2018</v>
      </c>
      <c r="C68" s="4">
        <v>-3.422702487432848</v>
      </c>
      <c r="D68" s="10">
        <v>0.19979061521907687</v>
      </c>
      <c r="E68" s="11">
        <v>0.15310000000000001</v>
      </c>
      <c r="F68" s="11">
        <v>1.01E-2</v>
      </c>
      <c r="G68" s="12">
        <v>-5.283687786359928E-2</v>
      </c>
      <c r="H68" s="12">
        <v>-1.6584433024038493E-2</v>
      </c>
      <c r="I68" s="12">
        <v>-3.4653552132865487E-2</v>
      </c>
      <c r="J68" s="12">
        <v>-8.0893260009170503E-3</v>
      </c>
      <c r="K68" s="12">
        <v>-2.5390766959802933E-3</v>
      </c>
      <c r="L68" s="12">
        <v>-5.3054588315417069E-3</v>
      </c>
      <c r="M68" s="12">
        <v>-5.3365246642235269E-4</v>
      </c>
      <c r="N68" s="12">
        <v>-1.6750277354278878E-4</v>
      </c>
      <c r="O68" s="12">
        <v>-3.500008765419414E-4</v>
      </c>
      <c r="P68">
        <f t="shared" si="3"/>
        <v>-1.0556312334623725E-2</v>
      </c>
      <c r="Q68">
        <f t="shared" si="4"/>
        <v>-3.313414076932226E-3</v>
      </c>
      <c r="R68">
        <f t="shared" si="5"/>
        <v>-6.9234545001515494E-3</v>
      </c>
    </row>
    <row r="69" spans="1:18" ht="13">
      <c r="A69" s="8" t="s">
        <v>31</v>
      </c>
      <c r="B69" s="9">
        <v>2019</v>
      </c>
      <c r="C69" s="4">
        <v>-4.1387968183481165</v>
      </c>
      <c r="D69" s="10">
        <v>9.1176544270548013E-2</v>
      </c>
      <c r="E69" s="11">
        <v>0.2112</v>
      </c>
      <c r="F69" s="11">
        <v>1.01E-2</v>
      </c>
      <c r="G69" s="12">
        <v>-2.3015771478169085E-2</v>
      </c>
      <c r="H69" s="12">
        <v>-0.15435090308192223</v>
      </c>
      <c r="I69" s="12">
        <v>-4.4855191357296695E-2</v>
      </c>
      <c r="J69" s="12">
        <v>-4.8609309361893104E-3</v>
      </c>
      <c r="K69" s="12">
        <v>-3.2598910730901973E-2</v>
      </c>
      <c r="L69" s="12">
        <v>-9.4734164146610626E-3</v>
      </c>
      <c r="M69" s="12">
        <v>-2.3245929192950774E-4</v>
      </c>
      <c r="N69" s="12">
        <v>-1.5589441211274146E-3</v>
      </c>
      <c r="O69" s="12">
        <v>-4.5303743270869661E-4</v>
      </c>
      <c r="P69">
        <f t="shared" si="3"/>
        <v>-2.0984985071001E-3</v>
      </c>
      <c r="Q69">
        <f t="shared" si="4"/>
        <v>-1.4073181948047948E-2</v>
      </c>
      <c r="R69">
        <f t="shared" si="5"/>
        <v>-4.0897413405524647E-3</v>
      </c>
    </row>
    <row r="70" spans="1:18" ht="13">
      <c r="A70" s="8" t="s">
        <v>31</v>
      </c>
      <c r="B70" s="9">
        <v>2020</v>
      </c>
      <c r="C70" s="4">
        <v>-3.9613107419457068</v>
      </c>
      <c r="D70" s="10">
        <v>0.11543777995520717</v>
      </c>
      <c r="E70" s="11">
        <v>0.2132</v>
      </c>
      <c r="F70" s="11">
        <v>1.01E-2</v>
      </c>
      <c r="G70" s="12">
        <v>-5.995853163493841E-2</v>
      </c>
      <c r="H70" s="12">
        <v>0.10351343784994402</v>
      </c>
      <c r="I70" s="12">
        <v>-4.3366811310190365E-2</v>
      </c>
      <c r="J70" s="12">
        <v>-1.2783158944568869E-2</v>
      </c>
      <c r="K70" s="12">
        <v>2.2069064949608065E-2</v>
      </c>
      <c r="L70" s="12">
        <v>-9.2458041713325851E-3</v>
      </c>
      <c r="M70" s="12">
        <v>-6.0558116951287791E-4</v>
      </c>
      <c r="N70" s="12">
        <v>1.0454857222844346E-3</v>
      </c>
      <c r="O70" s="12">
        <v>-4.3800479423292268E-4</v>
      </c>
      <c r="P70">
        <f t="shared" si="3"/>
        <v>-6.9214797813113484E-3</v>
      </c>
      <c r="Q70">
        <f t="shared" si="4"/>
        <v>1.1949361460928851E-2</v>
      </c>
      <c r="R70">
        <f t="shared" si="5"/>
        <v>-5.0061684213847449E-3</v>
      </c>
    </row>
    <row r="71" spans="1:18" ht="13">
      <c r="A71" s="8" t="s">
        <v>31</v>
      </c>
      <c r="B71" s="9">
        <v>2021</v>
      </c>
      <c r="C71" s="4">
        <v>-3.8148869346924266</v>
      </c>
      <c r="D71" s="10">
        <v>0.14539033304587082</v>
      </c>
      <c r="E71" s="11">
        <v>6.7299999999999999E-2</v>
      </c>
      <c r="F71" s="11">
        <v>1.01E-2</v>
      </c>
      <c r="G71" s="12">
        <v>0.32923493901687817</v>
      </c>
      <c r="H71" s="12">
        <v>-1.4746827645681904E-2</v>
      </c>
      <c r="I71" s="12">
        <v>0</v>
      </c>
      <c r="J71" s="12">
        <v>2.21575113958359E-2</v>
      </c>
      <c r="K71" s="12">
        <v>-9.9246150055439224E-4</v>
      </c>
      <c r="L71" s="12">
        <v>0</v>
      </c>
      <c r="M71" s="12">
        <v>3.3252728840704694E-3</v>
      </c>
      <c r="N71" s="12">
        <v>-1.4894295922138724E-4</v>
      </c>
      <c r="O71" s="12">
        <v>0</v>
      </c>
      <c r="P71">
        <f t="shared" si="3"/>
        <v>4.7867577434000885E-2</v>
      </c>
      <c r="Q71">
        <f t="shared" si="4"/>
        <v>-2.1440461827757469E-3</v>
      </c>
      <c r="R71">
        <f t="shared" si="5"/>
        <v>0</v>
      </c>
    </row>
    <row r="72" spans="1:18" ht="13">
      <c r="A72" s="8" t="s">
        <v>32</v>
      </c>
      <c r="B72" s="9">
        <v>2017</v>
      </c>
      <c r="C72" s="4">
        <v>-4.2054224767977821</v>
      </c>
      <c r="D72" s="10">
        <v>0.14732989630421886</v>
      </c>
      <c r="E72" s="11">
        <v>0.42520000000000002</v>
      </c>
      <c r="F72" s="11">
        <v>7.9600000000000001E-3</v>
      </c>
      <c r="G72" s="12">
        <v>0.25819288585108252</v>
      </c>
      <c r="H72" s="12">
        <v>-0.12250230481490457</v>
      </c>
      <c r="I72" s="12">
        <v>-0.1216416548988806</v>
      </c>
      <c r="J72" s="12">
        <v>0.10978361506388029</v>
      </c>
      <c r="K72" s="12">
        <v>-5.2087980007297426E-2</v>
      </c>
      <c r="L72" s="12">
        <v>-5.1722031663004035E-2</v>
      </c>
      <c r="M72" s="12">
        <v>2.0552153713746168E-3</v>
      </c>
      <c r="N72" s="12">
        <v>-9.751183463266404E-4</v>
      </c>
      <c r="O72" s="12">
        <v>-9.682675729950895E-4</v>
      </c>
      <c r="P72">
        <f t="shared" si="3"/>
        <v>3.8039531098927007E-2</v>
      </c>
      <c r="Q72">
        <f t="shared" si="4"/>
        <v>-1.8048251865407702E-2</v>
      </c>
      <c r="R72">
        <f t="shared" si="5"/>
        <v>-1.7921452402525656E-2</v>
      </c>
    </row>
    <row r="73" spans="1:18" ht="13">
      <c r="A73" s="8" t="s">
        <v>32</v>
      </c>
      <c r="B73" s="9">
        <v>2018</v>
      </c>
      <c r="C73" s="4">
        <v>-4.2776739295491586</v>
      </c>
      <c r="D73" s="10">
        <v>0.12749671253588829</v>
      </c>
      <c r="E73" s="11">
        <v>0.76900000000000002</v>
      </c>
      <c r="F73" s="11">
        <v>7.9600000000000001E-3</v>
      </c>
      <c r="G73" s="12">
        <v>4.3712071482875675E-2</v>
      </c>
      <c r="H73" s="12">
        <v>6.2435859779432314E-2</v>
      </c>
      <c r="I73" s="12">
        <v>-0.1179468870968545</v>
      </c>
      <c r="J73" s="12">
        <v>3.3614582970331396E-2</v>
      </c>
      <c r="K73" s="12">
        <v>4.8013176170383448E-2</v>
      </c>
      <c r="L73" s="12">
        <v>-9.0701156177481104E-2</v>
      </c>
      <c r="M73" s="12">
        <v>3.4794808900369037E-4</v>
      </c>
      <c r="N73" s="12">
        <v>4.9698944384428119E-4</v>
      </c>
      <c r="O73" s="12">
        <v>-9.3885722129096176E-4</v>
      </c>
      <c r="P73">
        <f t="shared" si="3"/>
        <v>5.5731454122004004E-3</v>
      </c>
      <c r="Q73">
        <f t="shared" si="4"/>
        <v>7.9603668662293122E-3</v>
      </c>
      <c r="R73">
        <f t="shared" si="5"/>
        <v>-1.5037840358690529E-2</v>
      </c>
    </row>
    <row r="74" spans="1:18" ht="13">
      <c r="A74" s="8" t="s">
        <v>32</v>
      </c>
      <c r="B74" s="9">
        <v>2019</v>
      </c>
      <c r="C74" s="4">
        <v>-4.2230778202950914</v>
      </c>
      <c r="D74" s="10">
        <v>0.13355628797711644</v>
      </c>
      <c r="E74" s="11">
        <v>0.80489999999999995</v>
      </c>
      <c r="F74" s="11">
        <v>7.9600000000000001E-3</v>
      </c>
      <c r="G74" s="12">
        <v>0.33817349127532931</v>
      </c>
      <c r="H74" s="12">
        <v>-0.24257528403558432</v>
      </c>
      <c r="I74" s="12">
        <v>-0.13026004006446526</v>
      </c>
      <c r="J74" s="12">
        <v>0.27219584312751255</v>
      </c>
      <c r="K74" s="12">
        <v>-0.19524884612024179</v>
      </c>
      <c r="L74" s="12">
        <v>-0.10484630624788809</v>
      </c>
      <c r="M74" s="12">
        <v>2.6918609905516211E-3</v>
      </c>
      <c r="N74" s="12">
        <v>-1.9308992609232511E-3</v>
      </c>
      <c r="O74" s="12">
        <v>-1.0368699189131434E-3</v>
      </c>
      <c r="P74">
        <f t="shared" si="3"/>
        <v>4.5165196186994758E-2</v>
      </c>
      <c r="Q74">
        <f t="shared" si="4"/>
        <v>-3.2397454490787313E-2</v>
      </c>
      <c r="R74">
        <f t="shared" si="5"/>
        <v>-1.7397047422760447E-2</v>
      </c>
    </row>
    <row r="75" spans="1:18" ht="13">
      <c r="A75" s="8" t="s">
        <v>32</v>
      </c>
      <c r="B75" s="9">
        <v>2020</v>
      </c>
      <c r="C75" s="4">
        <v>-4.0546778969980695</v>
      </c>
      <c r="D75" s="10">
        <v>0.18235742677599337</v>
      </c>
      <c r="E75" s="11">
        <v>0.81701999999999997</v>
      </c>
      <c r="F75" s="11">
        <v>7.9600000000000001E-3</v>
      </c>
      <c r="G75" s="12">
        <v>0.30388868396110158</v>
      </c>
      <c r="H75" s="12">
        <v>-0.18457660173120791</v>
      </c>
      <c r="I75" s="12">
        <v>-0.15830875578323675</v>
      </c>
      <c r="J75" s="12">
        <v>0.2482831325698992</v>
      </c>
      <c r="K75" s="12">
        <v>-0.15080277514643148</v>
      </c>
      <c r="L75" s="12">
        <v>-0.12934141965002008</v>
      </c>
      <c r="M75" s="12">
        <v>2.4189539243303685E-3</v>
      </c>
      <c r="N75" s="12">
        <v>-1.4692297497804149E-3</v>
      </c>
      <c r="O75" s="12">
        <v>-1.2601376960345646E-3</v>
      </c>
      <c r="P75">
        <f t="shared" si="3"/>
        <v>5.541635843348957E-2</v>
      </c>
      <c r="Q75">
        <f t="shared" si="4"/>
        <v>-3.3658914134760437E-2</v>
      </c>
      <c r="R75">
        <f t="shared" si="5"/>
        <v>-2.8868777340740212E-2</v>
      </c>
    </row>
    <row r="76" spans="1:18" ht="13">
      <c r="A76" s="8" t="s">
        <v>32</v>
      </c>
      <c r="B76" s="9">
        <v>2021</v>
      </c>
      <c r="C76" s="4">
        <v>-3.5615950026788434</v>
      </c>
      <c r="D76" s="10">
        <v>0.1918752539181352</v>
      </c>
      <c r="E76" s="11">
        <v>0.84589999999999999</v>
      </c>
      <c r="F76" s="11">
        <v>7.7000000000000002E-3</v>
      </c>
      <c r="G76" s="12">
        <v>-1.0813521112070699E-2</v>
      </c>
      <c r="H76" s="12">
        <v>0.10247351939960979</v>
      </c>
      <c r="I76" s="12">
        <v>-9.9686013598912757E-2</v>
      </c>
      <c r="J76" s="12">
        <v>-9.1471575087006037E-3</v>
      </c>
      <c r="K76" s="12">
        <v>8.668235006012992E-2</v>
      </c>
      <c r="L76" s="12">
        <v>-8.4324398903320302E-2</v>
      </c>
      <c r="M76" s="12">
        <v>-8.3264112562944393E-5</v>
      </c>
      <c r="N76" s="12">
        <v>7.8904609937699541E-4</v>
      </c>
      <c r="O76" s="12">
        <v>-7.6758230471162827E-4</v>
      </c>
      <c r="P76">
        <f t="shared" si="3"/>
        <v>-2.0748471091276812E-3</v>
      </c>
      <c r="Q76">
        <f t="shared" si="4"/>
        <v>1.9662132554685081E-2</v>
      </c>
      <c r="R76">
        <f t="shared" si="5"/>
        <v>-1.9127279171378065E-2</v>
      </c>
    </row>
    <row r="77" spans="1:18" ht="13">
      <c r="A77" s="8" t="s">
        <v>33</v>
      </c>
      <c r="B77" s="9">
        <v>2017</v>
      </c>
      <c r="C77" s="4">
        <v>-3.2275209546143406</v>
      </c>
      <c r="D77" s="10">
        <v>0.23735710058250009</v>
      </c>
      <c r="E77" s="11">
        <v>3.5699999999999998E-3</v>
      </c>
      <c r="F77" s="11">
        <v>1.3849999999999999E-3</v>
      </c>
      <c r="G77" s="12">
        <v>8.5556645796343006E-2</v>
      </c>
      <c r="H77" s="12">
        <v>6.9152415662087656E-3</v>
      </c>
      <c r="I77" s="12">
        <v>-9.6587546335233462E-2</v>
      </c>
      <c r="J77" s="12">
        <v>3.054372254929445E-4</v>
      </c>
      <c r="K77" s="12">
        <v>2.4687412391365291E-5</v>
      </c>
      <c r="L77" s="12">
        <v>-3.4481754041678346E-4</v>
      </c>
      <c r="M77" s="12">
        <v>1.1849595442793506E-4</v>
      </c>
      <c r="N77" s="12">
        <v>9.5776095691991399E-6</v>
      </c>
      <c r="O77" s="12">
        <v>-1.3377375167429833E-4</v>
      </c>
      <c r="P77">
        <f t="shared" si="3"/>
        <v>2.0307477381783921E-2</v>
      </c>
      <c r="Q77">
        <f t="shared" si="4"/>
        <v>1.6413816879828995E-3</v>
      </c>
      <c r="R77">
        <f t="shared" si="5"/>
        <v>-2.2925739950508898E-2</v>
      </c>
    </row>
    <row r="78" spans="1:18" ht="13">
      <c r="A78" s="8" t="s">
        <v>33</v>
      </c>
      <c r="B78" s="9">
        <v>2018</v>
      </c>
      <c r="C78" s="4">
        <v>-3.1606735571362905</v>
      </c>
      <c r="D78" s="10">
        <v>0.25179556456152202</v>
      </c>
      <c r="E78" s="11">
        <v>3.2000000000000002E-3</v>
      </c>
      <c r="F78" s="11">
        <v>1.3849999999999999E-3</v>
      </c>
      <c r="G78" s="12">
        <v>8.2573454913880434E-2</v>
      </c>
      <c r="H78" s="12">
        <v>-1.2563323201621074E-2</v>
      </c>
      <c r="I78" s="12">
        <v>-4.6133063154339751E-2</v>
      </c>
      <c r="J78" s="12">
        <v>2.6423505572441741E-4</v>
      </c>
      <c r="K78" s="12">
        <v>-4.0202634245187436E-5</v>
      </c>
      <c r="L78" s="12">
        <v>-1.4762580209388721E-4</v>
      </c>
      <c r="M78" s="12">
        <v>1.143642350557244E-4</v>
      </c>
      <c r="N78" s="12">
        <v>-1.7400202634245185E-5</v>
      </c>
      <c r="O78" s="12">
        <v>-6.3894292468760549E-5</v>
      </c>
      <c r="P78">
        <f t="shared" si="3"/>
        <v>2.079162969783591E-2</v>
      </c>
      <c r="Q78">
        <f t="shared" si="4"/>
        <v>-3.1633890583210467E-3</v>
      </c>
      <c r="R78">
        <f t="shared" si="5"/>
        <v>-1.1616100681899328E-2</v>
      </c>
    </row>
    <row r="79" spans="1:18" ht="13">
      <c r="A79" s="8" t="s">
        <v>33</v>
      </c>
      <c r="B79" s="9">
        <v>2019</v>
      </c>
      <c r="C79" s="4">
        <v>-3.255750315098481</v>
      </c>
      <c r="D79" s="10">
        <v>0.24216963771214006</v>
      </c>
      <c r="E79" s="11">
        <v>4.4000000000000003E-3</v>
      </c>
      <c r="F79" s="11">
        <v>1.3849999999999999E-3</v>
      </c>
      <c r="G79" s="12">
        <v>0.11602877483874566</v>
      </c>
      <c r="H79" s="12">
        <v>-1.0941130546312992E-2</v>
      </c>
      <c r="I79" s="12">
        <v>-0.11732252727847277</v>
      </c>
      <c r="J79" s="12">
        <v>5.1052660929048089E-4</v>
      </c>
      <c r="K79" s="12">
        <v>-4.8140974403777165E-5</v>
      </c>
      <c r="L79" s="12">
        <v>-5.1621912002528024E-4</v>
      </c>
      <c r="M79" s="12">
        <v>1.6069985315166272E-4</v>
      </c>
      <c r="N79" s="12">
        <v>-1.5153465806643493E-5</v>
      </c>
      <c r="O79" s="12">
        <v>-1.6249170028068477E-4</v>
      </c>
      <c r="P79">
        <f t="shared" si="3"/>
        <v>2.8098646366882508E-2</v>
      </c>
      <c r="Q79">
        <f t="shared" si="4"/>
        <v>-2.6496096205618461E-3</v>
      </c>
      <c r="R79">
        <f t="shared" si="5"/>
        <v>-2.8411953926500422E-2</v>
      </c>
    </row>
    <row r="80" spans="1:18" ht="13">
      <c r="A80" s="8" t="s">
        <v>33</v>
      </c>
      <c r="B80" s="9">
        <v>2020</v>
      </c>
      <c r="C80" s="4">
        <v>-2.9368970341197165</v>
      </c>
      <c r="D80" s="10">
        <v>0.29728443087302181</v>
      </c>
      <c r="E80" s="11">
        <v>3.8E-3</v>
      </c>
      <c r="F80" s="11">
        <v>1.58E-3</v>
      </c>
      <c r="G80" s="12">
        <v>-2.1279779109228038E-2</v>
      </c>
      <c r="H80" s="12">
        <v>-8.409219197366721E-3</v>
      </c>
      <c r="I80" s="12">
        <v>2.8257424799885748E-2</v>
      </c>
      <c r="J80" s="12">
        <v>-8.086316061506655E-5</v>
      </c>
      <c r="K80" s="12">
        <v>-3.1955032949993538E-5</v>
      </c>
      <c r="L80" s="12">
        <v>1.0737821423956584E-4</v>
      </c>
      <c r="M80" s="12">
        <v>-3.36220509925803E-5</v>
      </c>
      <c r="N80" s="12">
        <v>-1.3286566331839419E-5</v>
      </c>
      <c r="O80" s="12">
        <v>4.4646731183819484E-5</v>
      </c>
      <c r="P80">
        <f t="shared" si="3"/>
        <v>-6.3261470215904766E-3</v>
      </c>
      <c r="Q80">
        <f t="shared" si="4"/>
        <v>-2.4999299431756549E-3</v>
      </c>
      <c r="R80">
        <f t="shared" si="5"/>
        <v>8.4004924495712473E-3</v>
      </c>
    </row>
    <row r="81" spans="1:18" ht="13">
      <c r="A81" s="8" t="s">
        <v>33</v>
      </c>
      <c r="B81" s="9">
        <v>2021</v>
      </c>
      <c r="C81" s="4">
        <v>-2.7944410400289525</v>
      </c>
      <c r="D81" s="10">
        <v>0.3205632210488451</v>
      </c>
      <c r="E81" s="11">
        <v>0.01</v>
      </c>
      <c r="F81" s="11">
        <v>1.5900000000000001E-3</v>
      </c>
      <c r="G81" s="12">
        <v>4.5639661861815575E-2</v>
      </c>
      <c r="H81" s="12">
        <v>-4.8449985868085001E-2</v>
      </c>
      <c r="I81" s="12">
        <v>6.481410108173386E-3</v>
      </c>
      <c r="J81" s="12">
        <v>4.5639661861815575E-4</v>
      </c>
      <c r="K81" s="12">
        <v>-4.8449985868085E-4</v>
      </c>
      <c r="L81" s="12">
        <v>6.4814101081733864E-5</v>
      </c>
      <c r="M81" s="12">
        <v>7.2567062360286773E-5</v>
      </c>
      <c r="N81" s="12">
        <v>-7.7035477530255149E-5</v>
      </c>
      <c r="O81" s="12">
        <v>1.0305442071995684E-5</v>
      </c>
      <c r="P81">
        <f t="shared" si="3"/>
        <v>1.4630397014003732E-2</v>
      </c>
      <c r="Q81">
        <f t="shared" si="4"/>
        <v>-1.5531283529644354E-2</v>
      </c>
      <c r="R81">
        <f t="shared" si="5"/>
        <v>2.0777017012146041E-3</v>
      </c>
    </row>
    <row r="82" spans="1:18" ht="13">
      <c r="A82" s="8" t="s">
        <v>34</v>
      </c>
      <c r="B82" s="9">
        <v>2017</v>
      </c>
      <c r="C82" s="4">
        <v>-0.41428627179681149</v>
      </c>
      <c r="D82" s="10">
        <v>0.69702243295390365</v>
      </c>
      <c r="E82" s="20">
        <v>6.9999999999999999E-4</v>
      </c>
      <c r="F82" s="20">
        <v>2.32E-3</v>
      </c>
      <c r="G82" s="12">
        <v>0.17068931641431881</v>
      </c>
      <c r="H82" s="12">
        <v>-0.17331163768312374</v>
      </c>
      <c r="I82" s="12">
        <v>7.7002318424234661E-3</v>
      </c>
      <c r="J82" s="12">
        <v>1.1948252149002317E-4</v>
      </c>
      <c r="K82" s="12">
        <v>-1.2131814637818662E-4</v>
      </c>
      <c r="L82" s="12">
        <v>5.3901622896964266E-6</v>
      </c>
      <c r="M82" s="12">
        <v>3.9599921408121962E-4</v>
      </c>
      <c r="N82" s="12">
        <v>-4.0208299942484708E-4</v>
      </c>
      <c r="O82" s="12">
        <v>1.7864537874422441E-5</v>
      </c>
      <c r="P82">
        <f t="shared" si="3"/>
        <v>0.11897428260634718</v>
      </c>
      <c r="Q82">
        <f t="shared" si="4"/>
        <v>-0.12080209935711636</v>
      </c>
      <c r="R82">
        <f t="shared" si="5"/>
        <v>5.3672343331151243E-3</v>
      </c>
    </row>
    <row r="83" spans="1:18" ht="13">
      <c r="A83" s="8" t="s">
        <v>34</v>
      </c>
      <c r="B83" s="9">
        <v>2018</v>
      </c>
      <c r="C83" s="4">
        <v>-0.4156734250828511</v>
      </c>
      <c r="D83" s="10">
        <v>0.70050950128186396</v>
      </c>
      <c r="E83" s="11">
        <v>1.4E-3</v>
      </c>
      <c r="F83" s="11">
        <v>2.4979999999999998E-3</v>
      </c>
      <c r="G83" s="12">
        <v>0.24539716735025729</v>
      </c>
      <c r="H83" s="12">
        <v>-0.25158551872215257</v>
      </c>
      <c r="I83" s="12">
        <v>-1.2669488705277106E-3</v>
      </c>
      <c r="J83" s="12">
        <v>3.4355603429036023E-4</v>
      </c>
      <c r="K83" s="12">
        <v>-3.522197262110136E-4</v>
      </c>
      <c r="L83" s="12">
        <v>-1.7737284187387949E-6</v>
      </c>
      <c r="M83" s="12">
        <v>6.1300212404094263E-4</v>
      </c>
      <c r="N83" s="12">
        <v>-6.284606257679371E-4</v>
      </c>
      <c r="O83" s="12">
        <v>-3.164838278578221E-6</v>
      </c>
      <c r="P83">
        <f t="shared" si="3"/>
        <v>0.17190304731651085</v>
      </c>
      <c r="Q83">
        <f t="shared" si="4"/>
        <v>-0.17623804624979414</v>
      </c>
      <c r="R83">
        <f t="shared" si="5"/>
        <v>-8.8750972144298736E-4</v>
      </c>
    </row>
    <row r="84" spans="1:18" ht="13">
      <c r="A84" s="8" t="s">
        <v>34</v>
      </c>
      <c r="B84" s="9">
        <v>2019</v>
      </c>
      <c r="C84" s="4">
        <v>-0.9696888969616908</v>
      </c>
      <c r="D84" s="10">
        <v>0.64562732521818023</v>
      </c>
      <c r="E84" s="11">
        <v>0.1002</v>
      </c>
      <c r="F84" s="11">
        <v>2.47E-3</v>
      </c>
      <c r="G84" s="12">
        <v>7.4570816314892249E-2</v>
      </c>
      <c r="H84" s="12">
        <v>-0.11305663069180064</v>
      </c>
      <c r="I84" s="12">
        <v>2.3608284325270699E-2</v>
      </c>
      <c r="J84" s="12">
        <v>7.4719957947522028E-3</v>
      </c>
      <c r="K84" s="12">
        <v>-1.1328274395318423E-2</v>
      </c>
      <c r="L84" s="12">
        <v>2.365550089392124E-3</v>
      </c>
      <c r="M84" s="12">
        <v>1.8418991629778385E-4</v>
      </c>
      <c r="N84" s="12">
        <v>-2.7924987780874759E-4</v>
      </c>
      <c r="O84" s="12">
        <v>5.8312462283418624E-5</v>
      </c>
      <c r="P84">
        <f t="shared" si="3"/>
        <v>4.814495667672012E-2</v>
      </c>
      <c r="Q84">
        <f t="shared" si="4"/>
        <v>-7.2992450071726861E-2</v>
      </c>
      <c r="R84">
        <f t="shared" si="5"/>
        <v>1.5242153461914812E-2</v>
      </c>
    </row>
    <row r="85" spans="1:18" ht="13">
      <c r="A85" s="8" t="s">
        <v>34</v>
      </c>
      <c r="B85" s="9">
        <v>2020</v>
      </c>
      <c r="C85" s="4">
        <v>-1.253893658775513</v>
      </c>
      <c r="D85" s="10">
        <v>0.58653602791127601</v>
      </c>
      <c r="E85" s="11">
        <v>0.15260000000000001</v>
      </c>
      <c r="F85" s="11">
        <v>9.0399999999999994E-3</v>
      </c>
      <c r="G85" s="12">
        <v>0.13946130189478503</v>
      </c>
      <c r="H85" s="12">
        <v>-0.2289263814506291</v>
      </c>
      <c r="I85" s="12">
        <v>0.16869118172635592</v>
      </c>
      <c r="J85" s="12">
        <v>2.1281794669144198E-2</v>
      </c>
      <c r="K85" s="12">
        <v>-3.4934165809366001E-2</v>
      </c>
      <c r="L85" s="12">
        <v>2.5742274331441915E-2</v>
      </c>
      <c r="M85" s="12">
        <v>1.2607301691288566E-3</v>
      </c>
      <c r="N85" s="12">
        <v>-2.0694944883136871E-3</v>
      </c>
      <c r="O85" s="12">
        <v>1.5249682828062574E-3</v>
      </c>
      <c r="P85">
        <f t="shared" si="3"/>
        <v>8.1799078060702524E-2</v>
      </c>
      <c r="Q85">
        <f t="shared" si="4"/>
        <v>-0.13427357046015362</v>
      </c>
      <c r="R85">
        <f t="shared" si="5"/>
        <v>9.8943455673436029E-2</v>
      </c>
    </row>
    <row r="86" spans="1:18" ht="13">
      <c r="A86" s="8" t="s">
        <v>34</v>
      </c>
      <c r="B86" s="9">
        <v>2021</v>
      </c>
      <c r="C86" s="4">
        <v>-1.4457258585155954</v>
      </c>
      <c r="D86" s="10">
        <v>0.56740141150622569</v>
      </c>
      <c r="E86" s="11">
        <v>0.19109999999999999</v>
      </c>
      <c r="F86" s="11">
        <v>1.34E-2</v>
      </c>
      <c r="G86" s="12">
        <v>9.8329122149102499E-2</v>
      </c>
      <c r="H86" s="12">
        <v>-0.11911720412486297</v>
      </c>
      <c r="I86" s="12">
        <v>-6.9797251509364326E-3</v>
      </c>
      <c r="J86" s="12">
        <v>1.8790695242693486E-2</v>
      </c>
      <c r="K86" s="12">
        <v>-2.2763297708261312E-2</v>
      </c>
      <c r="L86" s="12">
        <v>-1.3338254763439522E-3</v>
      </c>
      <c r="M86" s="12">
        <v>1.3176102367979735E-3</v>
      </c>
      <c r="N86" s="12">
        <v>-1.596170535273164E-3</v>
      </c>
      <c r="O86" s="12">
        <v>-9.3528317022548204E-5</v>
      </c>
      <c r="P86">
        <f t="shared" si="3"/>
        <v>5.579208269956884E-2</v>
      </c>
      <c r="Q86">
        <f t="shared" si="4"/>
        <v>-6.7587269755122456E-2</v>
      </c>
      <c r="R86">
        <f t="shared" si="5"/>
        <v>-3.9603059025668363E-3</v>
      </c>
    </row>
    <row r="87" spans="1:18" ht="13">
      <c r="A87" s="8" t="s">
        <v>35</v>
      </c>
      <c r="B87" s="9">
        <v>2017</v>
      </c>
      <c r="C87" s="4">
        <v>-2.5119160168086472</v>
      </c>
      <c r="D87" s="10">
        <v>0.41151057967525351</v>
      </c>
      <c r="E87" s="11">
        <v>0.317</v>
      </c>
      <c r="F87" s="11">
        <v>2.3799999999999998E-2</v>
      </c>
      <c r="G87" s="12">
        <v>5.8886392210363001E-2</v>
      </c>
      <c r="H87" s="12">
        <v>-0.15889976727389454</v>
      </c>
      <c r="I87" s="12">
        <v>0.13271674290452881</v>
      </c>
      <c r="J87" s="12">
        <v>1.8666986330685073E-2</v>
      </c>
      <c r="K87" s="12">
        <v>-5.0371226225824572E-2</v>
      </c>
      <c r="L87" s="12">
        <v>4.2071207500735633E-2</v>
      </c>
      <c r="M87" s="12">
        <v>1.4014961346066393E-3</v>
      </c>
      <c r="N87" s="12">
        <v>-3.7818144611186898E-3</v>
      </c>
      <c r="O87" s="12">
        <v>3.1586584811277856E-3</v>
      </c>
      <c r="P87">
        <f t="shared" si="3"/>
        <v>2.423237339347081E-2</v>
      </c>
      <c r="Q87">
        <f t="shared" si="4"/>
        <v>-6.538893534114322E-2</v>
      </c>
      <c r="R87">
        <f t="shared" si="5"/>
        <v>5.4614343805254241E-2</v>
      </c>
    </row>
    <row r="88" spans="1:18" ht="13">
      <c r="A88" s="8" t="s">
        <v>35</v>
      </c>
      <c r="B88" s="9">
        <v>2018</v>
      </c>
      <c r="C88" s="4">
        <v>-2.7181253700001142</v>
      </c>
      <c r="D88" s="10">
        <v>0.37191667582326321</v>
      </c>
      <c r="E88" s="11">
        <v>0.30659999999999998</v>
      </c>
      <c r="F88" s="11">
        <v>2.3699999999999999E-2</v>
      </c>
      <c r="G88" s="12">
        <v>9.1082156391261798E-2</v>
      </c>
      <c r="H88" s="12">
        <v>-3.3055739397300041E-2</v>
      </c>
      <c r="I88" s="12">
        <v>-7.358198390653628E-2</v>
      </c>
      <c r="J88" s="12">
        <v>2.7925789149560867E-2</v>
      </c>
      <c r="K88" s="12">
        <v>-1.0134889699212193E-2</v>
      </c>
      <c r="L88" s="12">
        <v>-2.2560236265744021E-2</v>
      </c>
      <c r="M88" s="12">
        <v>2.1586471064729044E-3</v>
      </c>
      <c r="N88" s="12">
        <v>-7.8342102371601089E-4</v>
      </c>
      <c r="O88" s="12">
        <v>-1.7438930185849097E-3</v>
      </c>
      <c r="P88">
        <f t="shared" si="3"/>
        <v>3.3874972831852673E-2</v>
      </c>
      <c r="Q88">
        <f t="shared" si="4"/>
        <v>-1.229398071352391E-2</v>
      </c>
      <c r="R88">
        <f t="shared" si="5"/>
        <v>-2.7366366854999824E-2</v>
      </c>
    </row>
    <row r="89" spans="1:18" ht="13">
      <c r="A89" s="8" t="s">
        <v>35</v>
      </c>
      <c r="B89" s="9">
        <v>2019</v>
      </c>
      <c r="C89" s="4">
        <v>-2.2437906730478443</v>
      </c>
      <c r="D89" s="10">
        <v>0.42847284644717526</v>
      </c>
      <c r="E89" s="11">
        <v>0.27487</v>
      </c>
      <c r="F89" s="11">
        <v>2.3699999999999999E-2</v>
      </c>
      <c r="G89" s="12">
        <v>7.0129696110233328E-2</v>
      </c>
      <c r="H89" s="12">
        <v>-0.10105911976372195</v>
      </c>
      <c r="I89" s="12">
        <v>6.2787880141364855E-2</v>
      </c>
      <c r="J89" s="12">
        <v>1.9276549569819834E-2</v>
      </c>
      <c r="K89" s="12">
        <v>-2.7778120249454252E-2</v>
      </c>
      <c r="L89" s="12">
        <v>1.7258504614456958E-2</v>
      </c>
      <c r="M89" s="12">
        <v>1.6620737978125298E-3</v>
      </c>
      <c r="N89" s="12">
        <v>-2.3951011384002103E-3</v>
      </c>
      <c r="O89" s="12">
        <v>1.4880727593503469E-3</v>
      </c>
      <c r="P89">
        <f t="shared" si="3"/>
        <v>3.0048670512827069E-2</v>
      </c>
      <c r="Q89">
        <f t="shared" si="4"/>
        <v>-4.3301088704607929E-2</v>
      </c>
      <c r="R89">
        <f t="shared" si="5"/>
        <v>2.6902901726554667E-2</v>
      </c>
    </row>
    <row r="90" spans="1:18" ht="13">
      <c r="A90" s="8" t="s">
        <v>35</v>
      </c>
      <c r="B90" s="9">
        <v>2020</v>
      </c>
      <c r="C90" s="4">
        <v>-2.2023910824374946</v>
      </c>
      <c r="D90" s="10">
        <v>0.4361341188116174</v>
      </c>
      <c r="E90" s="11">
        <v>0.13450999999999999</v>
      </c>
      <c r="F90" s="11">
        <v>2.3519999999999996E-2</v>
      </c>
      <c r="G90" s="12">
        <v>6.114065137040274E-2</v>
      </c>
      <c r="H90" s="12">
        <v>-3.9334713966149563E-2</v>
      </c>
      <c r="I90" s="12">
        <v>1.6836069151874051E-3</v>
      </c>
      <c r="J90" s="12">
        <v>8.2240290158328722E-3</v>
      </c>
      <c r="K90" s="12">
        <v>-5.290912375586777E-3</v>
      </c>
      <c r="L90" s="12">
        <v>2.2646196616185783E-4</v>
      </c>
      <c r="M90" s="12">
        <v>1.4380281202318723E-3</v>
      </c>
      <c r="N90" s="12">
        <v>-9.2515247248383759E-4</v>
      </c>
      <c r="O90" s="12">
        <v>3.9598434645207761E-5</v>
      </c>
      <c r="P90">
        <f t="shared" si="3"/>
        <v>2.6665524108998907E-2</v>
      </c>
      <c r="Q90">
        <f t="shared" si="4"/>
        <v>-1.715521081433366E-2</v>
      </c>
      <c r="R90">
        <f t="shared" si="5"/>
        <v>7.3427841838040442E-4</v>
      </c>
    </row>
    <row r="91" spans="1:18" ht="13">
      <c r="A91" s="8" t="s">
        <v>35</v>
      </c>
      <c r="B91" s="9">
        <v>2021</v>
      </c>
      <c r="C91" s="4">
        <v>-2.3748474753065612</v>
      </c>
      <c r="D91" s="10">
        <v>0.39991511087998977</v>
      </c>
      <c r="E91" s="11">
        <v>4.104E-2</v>
      </c>
      <c r="F91" s="11">
        <v>2.3539999999999998E-2</v>
      </c>
      <c r="G91" s="12">
        <v>-1.3774441591969038E-2</v>
      </c>
      <c r="H91" s="12">
        <v>0.13322967131672686</v>
      </c>
      <c r="I91" s="12">
        <v>-9.5473539465219096E-2</v>
      </c>
      <c r="J91" s="12">
        <v>-5.653030829344093E-4</v>
      </c>
      <c r="K91" s="12">
        <v>5.4677457108384701E-3</v>
      </c>
      <c r="L91" s="12">
        <v>-3.9182340596525915E-3</v>
      </c>
      <c r="M91" s="12">
        <v>-3.2425035507495115E-4</v>
      </c>
      <c r="N91" s="12">
        <v>3.1362264627957503E-3</v>
      </c>
      <c r="O91" s="12">
        <v>-2.2474471190112575E-3</v>
      </c>
      <c r="P91">
        <f t="shared" si="3"/>
        <v>-5.5086073365622403E-3</v>
      </c>
      <c r="Q91">
        <f t="shared" si="4"/>
        <v>5.3280558777133412E-2</v>
      </c>
      <c r="R91">
        <f t="shared" si="5"/>
        <v>-3.8181311121338171E-2</v>
      </c>
    </row>
    <row r="92" spans="1:18" ht="13">
      <c r="A92" s="8" t="s">
        <v>36</v>
      </c>
      <c r="B92" s="9">
        <v>2017</v>
      </c>
      <c r="C92" s="4">
        <v>-1.5638391011976287</v>
      </c>
      <c r="D92" s="10">
        <v>0.56776866449122243</v>
      </c>
      <c r="E92" s="11">
        <v>1.1013437500000001E-2</v>
      </c>
      <c r="F92" s="11">
        <v>1.99E-3</v>
      </c>
      <c r="G92" s="12">
        <v>3.2151418476696322E-2</v>
      </c>
      <c r="H92" s="12">
        <v>-0.15957791117532374</v>
      </c>
      <c r="I92" s="12">
        <v>0.13096707371030009</v>
      </c>
      <c r="J92" s="12">
        <v>3.5409763792944017E-4</v>
      </c>
      <c r="K92" s="12">
        <v>-1.7575013511099797E-3</v>
      </c>
      <c r="L92" s="12">
        <v>1.4423976808662833E-3</v>
      </c>
      <c r="M92" s="12">
        <v>6.3981322768625679E-5</v>
      </c>
      <c r="N92" s="12">
        <v>-3.1756004323889428E-4</v>
      </c>
      <c r="O92" s="12">
        <v>2.6062447668349719E-4</v>
      </c>
      <c r="P92">
        <f t="shared" si="3"/>
        <v>1.8254567930012285E-2</v>
      </c>
      <c r="Q92">
        <f t="shared" si="4"/>
        <v>-9.0603337510312479E-2</v>
      </c>
      <c r="R92">
        <f t="shared" si="5"/>
        <v>7.4359000532820574E-2</v>
      </c>
    </row>
    <row r="93" spans="1:18" ht="13">
      <c r="A93" s="8" t="s">
        <v>36</v>
      </c>
      <c r="B93" s="9">
        <v>2018</v>
      </c>
      <c r="C93" s="4">
        <v>-1.5417426189000301</v>
      </c>
      <c r="D93" s="10">
        <v>0.57795527752469644</v>
      </c>
      <c r="E93" s="11">
        <v>1.9E-3</v>
      </c>
      <c r="F93" s="11">
        <v>1.99E-3</v>
      </c>
      <c r="G93" s="12">
        <v>2.1244682301119859E-2</v>
      </c>
      <c r="H93" s="12">
        <v>1.1214623402896848E-2</v>
      </c>
      <c r="I93" s="12">
        <v>-5.1701304943576791E-3</v>
      </c>
      <c r="J93" s="12">
        <v>4.036489637212773E-5</v>
      </c>
      <c r="K93" s="12">
        <v>2.1307784465504011E-5</v>
      </c>
      <c r="L93" s="12">
        <v>-9.8232479392795901E-6</v>
      </c>
      <c r="M93" s="12">
        <v>4.2276917779228517E-5</v>
      </c>
      <c r="N93" s="12">
        <v>2.2317100571764726E-5</v>
      </c>
      <c r="O93" s="12">
        <v>-1.0288559683771781E-5</v>
      </c>
      <c r="P93">
        <f t="shared" si="3"/>
        <v>1.2278476255267734E-2</v>
      </c>
      <c r="Q93">
        <f t="shared" si="4"/>
        <v>6.4815507811562031E-3</v>
      </c>
      <c r="R93">
        <f t="shared" si="5"/>
        <v>-2.9881042047053886E-3</v>
      </c>
    </row>
    <row r="94" spans="1:18" ht="13">
      <c r="A94" s="8" t="s">
        <v>36</v>
      </c>
      <c r="B94" s="9">
        <v>2019</v>
      </c>
      <c r="C94" s="4">
        <v>-1.3999889288222962</v>
      </c>
      <c r="D94" s="10">
        <v>0.60585769539214551</v>
      </c>
      <c r="E94" s="11">
        <v>1.9E-3</v>
      </c>
      <c r="F94" s="11">
        <v>1.99E-3</v>
      </c>
      <c r="G94" s="12">
        <v>-4.3354797789239952E-2</v>
      </c>
      <c r="H94" s="12">
        <v>-6.2250127987736853E-2</v>
      </c>
      <c r="I94" s="12">
        <v>8.4347617652542145E-2</v>
      </c>
      <c r="J94" s="12">
        <v>-8.2374115799555906E-5</v>
      </c>
      <c r="K94" s="12">
        <v>-1.1827524317670002E-4</v>
      </c>
      <c r="L94" s="12">
        <v>1.6026047353983008E-4</v>
      </c>
      <c r="M94" s="12">
        <v>-8.6276047600587506E-5</v>
      </c>
      <c r="N94" s="12">
        <v>-1.2387775469559635E-4</v>
      </c>
      <c r="O94" s="12">
        <v>1.6785175912855887E-4</v>
      </c>
      <c r="P94">
        <f t="shared" si="3"/>
        <v>-2.6266837872781404E-2</v>
      </c>
      <c r="Q94">
        <f t="shared" si="4"/>
        <v>-3.7714719080516344E-2</v>
      </c>
      <c r="R94">
        <f t="shared" si="5"/>
        <v>5.1102653242787031E-2</v>
      </c>
    </row>
    <row r="95" spans="1:18" ht="13">
      <c r="A95" s="8" t="s">
        <v>36</v>
      </c>
      <c r="B95" s="9">
        <v>2020</v>
      </c>
      <c r="C95" s="4">
        <v>-0.70779683098529456</v>
      </c>
      <c r="D95" s="10">
        <v>0.6864456749169342</v>
      </c>
      <c r="E95" s="11">
        <v>3.0000000000000001E-3</v>
      </c>
      <c r="F95" s="11">
        <v>1.99E-3</v>
      </c>
      <c r="G95" s="12">
        <v>3.8354071182962308E-2</v>
      </c>
      <c r="H95" s="12">
        <v>-3.2492794425608963E-2</v>
      </c>
      <c r="I95" s="12">
        <v>-1.2561814601217259E-2</v>
      </c>
      <c r="J95" s="12">
        <v>1.1506221354888692E-4</v>
      </c>
      <c r="K95" s="12">
        <v>-9.7478383276826893E-5</v>
      </c>
      <c r="L95" s="12">
        <v>-3.7685443803651776E-5</v>
      </c>
      <c r="M95" s="12">
        <v>7.632460165409499E-5</v>
      </c>
      <c r="N95" s="12">
        <v>-6.4660660906961843E-5</v>
      </c>
      <c r="O95" s="12">
        <v>-2.4998011056422346E-5</v>
      </c>
      <c r="P95">
        <f t="shared" si="3"/>
        <v>2.6327986279000699E-2</v>
      </c>
      <c r="Q95">
        <f t="shared" si="4"/>
        <v>-2.230453819942434E-2</v>
      </c>
      <c r="R95">
        <f t="shared" si="5"/>
        <v>-8.6230033021139803E-3</v>
      </c>
    </row>
    <row r="96" spans="1:18" ht="13">
      <c r="A96" s="8" t="s">
        <v>36</v>
      </c>
      <c r="B96" s="9">
        <v>2021</v>
      </c>
      <c r="C96" s="4">
        <v>-0.37426917965226114</v>
      </c>
      <c r="D96" s="10">
        <v>0.72940970145751682</v>
      </c>
      <c r="E96" s="11">
        <v>1.9E-3</v>
      </c>
      <c r="F96" s="11">
        <v>1.99E-3</v>
      </c>
      <c r="G96" s="12">
        <v>-9.0780450767744256E-2</v>
      </c>
      <c r="H96" s="12">
        <v>-1.2032967099080583E-2</v>
      </c>
      <c r="I96" s="12">
        <v>9.8437889181550067E-2</v>
      </c>
      <c r="J96" s="12">
        <v>-1.724828564587141E-4</v>
      </c>
      <c r="K96" s="12">
        <v>-2.2862637488253106E-5</v>
      </c>
      <c r="L96" s="12">
        <v>1.8703198944494513E-4</v>
      </c>
      <c r="M96" s="12">
        <v>-1.8065309702781107E-4</v>
      </c>
      <c r="N96" s="12">
        <v>-2.3945604527170359E-5</v>
      </c>
      <c r="O96" s="12">
        <v>1.9589139947128462E-4</v>
      </c>
      <c r="P96">
        <f t="shared" si="3"/>
        <v>-6.621614149267914E-2</v>
      </c>
      <c r="Q96">
        <f t="shared" si="4"/>
        <v>-8.7769629393884899E-3</v>
      </c>
      <c r="R96">
        <f t="shared" si="5"/>
        <v>7.1801551360022559E-2</v>
      </c>
    </row>
    <row r="97" spans="1:18" ht="13">
      <c r="A97" s="8" t="s">
        <v>37</v>
      </c>
      <c r="B97" s="9">
        <v>2017</v>
      </c>
      <c r="C97" s="4">
        <v>-2.5492737619356407</v>
      </c>
      <c r="D97" s="10">
        <v>0.32296060401552223</v>
      </c>
      <c r="E97" s="11">
        <v>4.6100000000000002E-2</v>
      </c>
      <c r="F97" s="11">
        <v>9.4820000000000002E-2</v>
      </c>
      <c r="G97" s="12">
        <v>0.18333473932849673</v>
      </c>
      <c r="H97" s="12">
        <v>-1.1926353973342331E-2</v>
      </c>
      <c r="I97" s="12">
        <v>-0.15719904673527924</v>
      </c>
      <c r="J97" s="12">
        <v>8.4517314830436993E-3</v>
      </c>
      <c r="K97" s="12">
        <v>-5.4980491817108147E-4</v>
      </c>
      <c r="L97" s="12">
        <v>-7.2468760544963729E-3</v>
      </c>
      <c r="M97" s="12">
        <v>1.738379998312806E-2</v>
      </c>
      <c r="N97" s="12">
        <v>-1.1308568837523198E-3</v>
      </c>
      <c r="O97" s="12">
        <v>-1.4905613611439177E-2</v>
      </c>
      <c r="P97">
        <f t="shared" si="3"/>
        <v>5.9209898150559624E-2</v>
      </c>
      <c r="Q97">
        <f t="shared" si="4"/>
        <v>-3.8517424829335629E-3</v>
      </c>
      <c r="R97">
        <f t="shared" si="5"/>
        <v>-5.0769099084290094E-2</v>
      </c>
    </row>
    <row r="98" spans="1:18" ht="13">
      <c r="A98" s="8" t="s">
        <v>37</v>
      </c>
      <c r="B98" s="9">
        <v>2018</v>
      </c>
      <c r="C98" s="4">
        <v>-2.599962698032261</v>
      </c>
      <c r="D98" s="10">
        <v>0.33124135703713309</v>
      </c>
      <c r="E98" s="11">
        <v>4.1000000000000002E-2</v>
      </c>
      <c r="F98" s="11">
        <v>0.13403999999999999</v>
      </c>
      <c r="G98" s="12">
        <v>-2.1102234170830458E-2</v>
      </c>
      <c r="H98" s="12">
        <v>-2.3917860522998234E-2</v>
      </c>
      <c r="I98" s="12">
        <v>4.6552603456811059E-2</v>
      </c>
      <c r="J98" s="12">
        <v>-8.6519160100404879E-4</v>
      </c>
      <c r="K98" s="12">
        <v>-9.8063228144292772E-4</v>
      </c>
      <c r="L98" s="12">
        <v>1.9086567417292534E-3</v>
      </c>
      <c r="M98" s="12">
        <v>-2.8285434682581143E-3</v>
      </c>
      <c r="N98" s="12">
        <v>-3.2059500245026832E-3</v>
      </c>
      <c r="O98" s="12">
        <v>6.2399109673509541E-3</v>
      </c>
      <c r="P98">
        <f t="shared" si="3"/>
        <v>-6.9899326832612418E-3</v>
      </c>
      <c r="Q98">
        <f t="shared" si="4"/>
        <v>-7.9225845770628089E-3</v>
      </c>
      <c r="R98">
        <f t="shared" si="5"/>
        <v>1.5420147542645628E-2</v>
      </c>
    </row>
    <row r="99" spans="1:18" ht="13">
      <c r="A99" s="8" t="s">
        <v>37</v>
      </c>
      <c r="B99" s="9">
        <v>2019</v>
      </c>
      <c r="C99" s="4">
        <v>-2.1083735666370274</v>
      </c>
      <c r="D99" s="10">
        <v>0.42131012149036445</v>
      </c>
      <c r="E99" s="11">
        <v>4.6600000000000003E-2</v>
      </c>
      <c r="F99" s="11">
        <v>0.17613999999999999</v>
      </c>
      <c r="G99" s="12">
        <v>0.35340223236274237</v>
      </c>
      <c r="H99" s="12">
        <v>-1.2886248222411453E-2</v>
      </c>
      <c r="I99" s="12">
        <v>-0.3405715421295164</v>
      </c>
      <c r="J99" s="12">
        <v>1.6468544028103795E-2</v>
      </c>
      <c r="K99" s="12">
        <v>-6.004991671643737E-4</v>
      </c>
      <c r="L99" s="12">
        <v>-1.5870633863235464E-2</v>
      </c>
      <c r="M99" s="12">
        <v>6.2248269208373438E-2</v>
      </c>
      <c r="N99" s="12">
        <v>-2.2697837618955532E-3</v>
      </c>
      <c r="O99" s="12">
        <v>-5.9988271430693019E-2</v>
      </c>
      <c r="P99">
        <f t="shared" si="3"/>
        <v>0.148891937451713</v>
      </c>
      <c r="Q99">
        <f t="shared" si="4"/>
        <v>-5.4291068041391628E-3</v>
      </c>
      <c r="R99">
        <f t="shared" si="5"/>
        <v>-0.14348623779074732</v>
      </c>
    </row>
    <row r="100" spans="1:18" ht="13">
      <c r="A100" s="8" t="s">
        <v>37</v>
      </c>
      <c r="B100" s="9">
        <v>2020</v>
      </c>
      <c r="C100" s="4">
        <v>-1.7452972033318048</v>
      </c>
      <c r="D100" s="10">
        <v>0.49834815508575253</v>
      </c>
      <c r="E100" s="11">
        <v>2.3599999999999999E-2</v>
      </c>
      <c r="F100" s="11">
        <v>6.3339999999999994E-2</v>
      </c>
      <c r="G100" s="12">
        <v>-2.1103071227623522E-2</v>
      </c>
      <c r="H100" s="12">
        <v>-6.8525892182152636E-3</v>
      </c>
      <c r="I100" s="12">
        <v>3.5731547759209524E-2</v>
      </c>
      <c r="J100" s="12">
        <v>-4.9803248097191511E-4</v>
      </c>
      <c r="K100" s="12">
        <v>-1.6172110554988023E-4</v>
      </c>
      <c r="L100" s="12">
        <v>8.4326452711734471E-4</v>
      </c>
      <c r="M100" s="12">
        <v>-1.3366685315576738E-3</v>
      </c>
      <c r="N100" s="12">
        <v>-4.3404300108175475E-4</v>
      </c>
      <c r="O100" s="12">
        <v>2.2632362350683312E-3</v>
      </c>
      <c r="P100">
        <f t="shared" si="3"/>
        <v>-1.0516676612929409E-2</v>
      </c>
      <c r="Q100">
        <f t="shared" si="4"/>
        <v>-3.4149751944580961E-3</v>
      </c>
      <c r="R100">
        <f t="shared" si="5"/>
        <v>1.780675090416052E-2</v>
      </c>
    </row>
    <row r="101" spans="1:18" ht="13">
      <c r="A101" s="8" t="s">
        <v>37</v>
      </c>
      <c r="B101" s="9">
        <v>2021</v>
      </c>
      <c r="C101" s="4">
        <v>-1.6976948338340194</v>
      </c>
      <c r="D101" s="10">
        <v>0.50932883810950869</v>
      </c>
      <c r="E101" s="11">
        <v>1.6400000000000001E-2</v>
      </c>
      <c r="F101" s="11">
        <v>6.3339999999999994E-2</v>
      </c>
      <c r="G101" s="12">
        <v>3.276019229568583E-2</v>
      </c>
      <c r="H101" s="12">
        <v>-1.5630892177061873E-2</v>
      </c>
      <c r="I101" s="12">
        <v>-2.153128967139081E-2</v>
      </c>
      <c r="J101" s="12">
        <v>5.3726715364924764E-4</v>
      </c>
      <c r="K101" s="12">
        <v>-2.5634663170381471E-4</v>
      </c>
      <c r="L101" s="12">
        <v>-3.5311315061080931E-4</v>
      </c>
      <c r="M101" s="12">
        <v>2.0750305800087401E-3</v>
      </c>
      <c r="N101" s="12">
        <v>-9.9006071049509881E-4</v>
      </c>
      <c r="O101" s="12">
        <v>-1.3637918877858937E-3</v>
      </c>
      <c r="P101">
        <f t="shared" si="3"/>
        <v>1.6685710678205741E-2</v>
      </c>
      <c r="Q101">
        <f t="shared" si="4"/>
        <v>-7.9612641511579325E-3</v>
      </c>
      <c r="R101">
        <f t="shared" si="5"/>
        <v>-1.0966506751328747E-2</v>
      </c>
    </row>
    <row r="102" spans="1:18" ht="13">
      <c r="A102" s="8" t="s">
        <v>38</v>
      </c>
      <c r="B102" s="9">
        <v>2017</v>
      </c>
      <c r="C102" s="4">
        <v>-0.40310184749176436</v>
      </c>
      <c r="D102" s="10">
        <v>0.70915431893705339</v>
      </c>
      <c r="E102" s="11">
        <v>3.5999999999999999E-3</v>
      </c>
      <c r="F102" s="11">
        <v>3.7100000000000001E-2</v>
      </c>
      <c r="G102" s="12">
        <v>-3.0102599099352478E-2</v>
      </c>
      <c r="H102" s="12">
        <v>0.13610433331812088</v>
      </c>
      <c r="I102" s="12">
        <v>4.9209784220307341E-2</v>
      </c>
      <c r="J102" s="12">
        <v>-1.0836935675766892E-4</v>
      </c>
      <c r="K102" s="12">
        <v>4.8997559994523523E-4</v>
      </c>
      <c r="L102" s="12">
        <v>1.7715522319310643E-4</v>
      </c>
      <c r="M102" s="12">
        <v>-1.116806426585977E-3</v>
      </c>
      <c r="N102" s="12">
        <v>5.0494707661022853E-3</v>
      </c>
      <c r="O102" s="12">
        <v>1.8256829945734025E-3</v>
      </c>
      <c r="P102">
        <f t="shared" si="3"/>
        <v>-2.1347388162536462E-2</v>
      </c>
      <c r="Q102">
        <f t="shared" si="4"/>
        <v>9.6518975798593726E-2</v>
      </c>
      <c r="R102">
        <f t="shared" si="5"/>
        <v>3.4897331013791409E-2</v>
      </c>
    </row>
    <row r="103" spans="1:18" ht="13">
      <c r="A103" s="8" t="s">
        <v>38</v>
      </c>
      <c r="B103" s="9">
        <v>2018</v>
      </c>
      <c r="C103" s="4">
        <v>-0.30570294722384433</v>
      </c>
      <c r="D103" s="10">
        <v>0.72802620080521829</v>
      </c>
      <c r="E103" s="11">
        <v>3.46E-3</v>
      </c>
      <c r="F103" s="11">
        <v>3.2300000000000002E-2</v>
      </c>
      <c r="G103" s="12">
        <v>0.15335624668393621</v>
      </c>
      <c r="H103" s="12">
        <v>-0.22722351830467216</v>
      </c>
      <c r="I103" s="12">
        <v>-3.9969297150525891E-2</v>
      </c>
      <c r="J103" s="12">
        <v>5.3061261352641931E-4</v>
      </c>
      <c r="K103" s="12">
        <v>-7.8619337333416569E-4</v>
      </c>
      <c r="L103" s="12">
        <v>-1.3829376814081959E-4</v>
      </c>
      <c r="M103" s="12">
        <v>4.95340676789114E-3</v>
      </c>
      <c r="N103" s="12">
        <v>-7.3393196412409115E-3</v>
      </c>
      <c r="O103" s="12">
        <v>-1.2910082979619864E-3</v>
      </c>
      <c r="P103">
        <f t="shared" si="3"/>
        <v>0.11164736564305394</v>
      </c>
      <c r="Q103">
        <f t="shared" si="4"/>
        <v>-0.16542467476494546</v>
      </c>
      <c r="R103">
        <f t="shared" si="5"/>
        <v>-2.9098695553352202E-2</v>
      </c>
    </row>
    <row r="104" spans="1:18" ht="13">
      <c r="A104" s="8" t="s">
        <v>38</v>
      </c>
      <c r="B104" s="9">
        <v>2019</v>
      </c>
      <c r="C104" s="4">
        <v>-0.70211975718299469</v>
      </c>
      <c r="D104" s="10">
        <v>0.66404048333681975</v>
      </c>
      <c r="E104" s="11">
        <v>3.5000000000000001E-3</v>
      </c>
      <c r="F104" s="11">
        <v>3.2599999999999997E-2</v>
      </c>
      <c r="G104" s="12">
        <v>0.15967108464035312</v>
      </c>
      <c r="H104" s="12">
        <v>-5.5594076044930295E-2</v>
      </c>
      <c r="I104" s="12">
        <v>-0.10175598588818194</v>
      </c>
      <c r="J104" s="12">
        <v>5.5884879624123595E-4</v>
      </c>
      <c r="K104" s="12">
        <v>-1.9457926615725605E-4</v>
      </c>
      <c r="L104" s="12">
        <v>-3.5614595060863677E-4</v>
      </c>
      <c r="M104" s="12">
        <v>5.2052773592755116E-3</v>
      </c>
      <c r="N104" s="12">
        <v>-1.8123668790647274E-3</v>
      </c>
      <c r="O104" s="12">
        <v>-3.3172451399547309E-3</v>
      </c>
      <c r="P104">
        <f t="shared" si="3"/>
        <v>0.10602806421949434</v>
      </c>
      <c r="Q104">
        <f t="shared" si="4"/>
        <v>-3.6916717127539425E-2</v>
      </c>
      <c r="R104">
        <f t="shared" si="5"/>
        <v>-6.7570094051602941E-2</v>
      </c>
    </row>
    <row r="105" spans="1:18" ht="13">
      <c r="A105" s="8" t="s">
        <v>38</v>
      </c>
      <c r="B105" s="9">
        <v>2020</v>
      </c>
      <c r="C105" s="4">
        <v>-0.48210830868175114</v>
      </c>
      <c r="D105" s="10">
        <v>0.69740592568784832</v>
      </c>
      <c r="E105" s="11">
        <v>4.0000000000000001E-3</v>
      </c>
      <c r="F105" s="11">
        <v>3.3099999999999997E-2</v>
      </c>
      <c r="G105" s="12">
        <v>1.6234562605649715E-2</v>
      </c>
      <c r="H105" s="12">
        <v>1.9080081728625683E-2</v>
      </c>
      <c r="I105" s="12">
        <v>-3.6493933788213632E-2</v>
      </c>
      <c r="J105" s="12">
        <v>6.4938250422598857E-5</v>
      </c>
      <c r="K105" s="12">
        <v>7.632032691450274E-5</v>
      </c>
      <c r="L105" s="12">
        <v>-1.4597573515285454E-4</v>
      </c>
      <c r="M105" s="12">
        <v>5.3736402224700559E-4</v>
      </c>
      <c r="N105" s="12">
        <v>6.3155070521751008E-4</v>
      </c>
      <c r="O105" s="12">
        <v>-1.2079492083898712E-3</v>
      </c>
      <c r="P105">
        <f t="shared" si="3"/>
        <v>1.1322080162130467E-2</v>
      </c>
      <c r="Q105">
        <f t="shared" si="4"/>
        <v>1.3306562060151995E-2</v>
      </c>
      <c r="R105">
        <f t="shared" si="5"/>
        <v>-2.5451085675560172E-2</v>
      </c>
    </row>
    <row r="106" spans="1:18" ht="13">
      <c r="A106" s="8" t="s">
        <v>38</v>
      </c>
      <c r="B106" s="9">
        <v>2021</v>
      </c>
      <c r="C106" s="4">
        <v>-8.9654323904244493E-2</v>
      </c>
      <c r="D106" s="10">
        <v>0.75830330267331147</v>
      </c>
      <c r="E106" s="11">
        <v>4.5999999999999999E-3</v>
      </c>
      <c r="F106" s="11">
        <v>3.2300000000000002E-2</v>
      </c>
      <c r="G106" s="12">
        <v>-0.1601453903519609</v>
      </c>
      <c r="H106" s="12">
        <v>-6.6890284362767269E-2</v>
      </c>
      <c r="I106" s="12">
        <v>0.20868084207058488</v>
      </c>
      <c r="J106" s="12">
        <v>-7.366687956190201E-4</v>
      </c>
      <c r="K106" s="12">
        <v>-3.0769530806872941E-4</v>
      </c>
      <c r="L106" s="12">
        <v>9.5993187352469043E-4</v>
      </c>
      <c r="M106" s="12">
        <v>-5.1726961083683378E-3</v>
      </c>
      <c r="N106" s="12">
        <v>-2.1605561849173827E-3</v>
      </c>
      <c r="O106" s="12">
        <v>6.7403911988798918E-3</v>
      </c>
      <c r="P106">
        <f t="shared" si="3"/>
        <v>-0.12143877841179862</v>
      </c>
      <c r="Q106">
        <f t="shared" si="4"/>
        <v>-5.0723123549043382E-2</v>
      </c>
      <c r="R106">
        <f t="shared" si="5"/>
        <v>0.15824337174677222</v>
      </c>
    </row>
    <row r="107" spans="1:18" ht="13">
      <c r="A107" s="8" t="s">
        <v>39</v>
      </c>
      <c r="B107" s="9">
        <v>2017</v>
      </c>
      <c r="C107" s="4">
        <v>-1.0563460003804854</v>
      </c>
      <c r="D107" s="10">
        <v>0.6315226972223823</v>
      </c>
      <c r="E107" s="11">
        <v>0.623</v>
      </c>
      <c r="F107" s="11">
        <v>6.1999999999999998E-3</v>
      </c>
      <c r="G107" s="12">
        <v>-2.9374017887521024E-2</v>
      </c>
      <c r="H107" s="12">
        <v>-4.8229322002323022E-2</v>
      </c>
      <c r="I107" s="12">
        <v>0.10491184926341383</v>
      </c>
      <c r="J107" s="12">
        <v>-1.8300013143925598E-2</v>
      </c>
      <c r="K107" s="12">
        <v>-3.0046867607447243E-2</v>
      </c>
      <c r="L107" s="12">
        <v>6.5360082091106816E-2</v>
      </c>
      <c r="M107" s="12">
        <v>-1.8211891090263034E-4</v>
      </c>
      <c r="N107" s="12">
        <v>-2.9902179641440275E-4</v>
      </c>
      <c r="O107" s="12">
        <v>6.504534654331657E-4</v>
      </c>
      <c r="P107">
        <f t="shared" si="3"/>
        <v>-1.8550359004585782E-2</v>
      </c>
      <c r="Q107">
        <f t="shared" si="4"/>
        <v>-3.0457911516113823E-2</v>
      </c>
      <c r="R107">
        <f t="shared" si="5"/>
        <v>6.62542140174191E-2</v>
      </c>
    </row>
    <row r="108" spans="1:18" ht="13">
      <c r="A108" s="8" t="s">
        <v>39</v>
      </c>
      <c r="B108" s="9">
        <v>2018</v>
      </c>
      <c r="C108" s="4">
        <v>-0.62120492580579989</v>
      </c>
      <c r="D108" s="10">
        <v>0.65366520542859829</v>
      </c>
      <c r="E108" s="11">
        <v>0.5806</v>
      </c>
      <c r="F108" s="11">
        <v>1.2800000000000001E-2</v>
      </c>
      <c r="G108" s="12">
        <v>3.2131103465452407E-2</v>
      </c>
      <c r="H108" s="12">
        <v>-0.11454747185818735</v>
      </c>
      <c r="I108" s="12">
        <v>4.5294144560601039E-2</v>
      </c>
      <c r="J108" s="12">
        <v>1.8655318672041666E-2</v>
      </c>
      <c r="K108" s="12">
        <v>-6.6506262160863583E-2</v>
      </c>
      <c r="L108" s="12">
        <v>2.6297780331884964E-2</v>
      </c>
      <c r="M108" s="12">
        <v>4.1127812435779083E-4</v>
      </c>
      <c r="N108" s="12">
        <v>-1.4662076397847982E-3</v>
      </c>
      <c r="O108" s="12">
        <v>5.797650503756933E-4</v>
      </c>
      <c r="P108">
        <f t="shared" si="3"/>
        <v>2.1002984347392496E-2</v>
      </c>
      <c r="Q108">
        <f t="shared" si="4"/>
        <v>-7.487569672350862E-2</v>
      </c>
      <c r="R108">
        <f t="shared" si="5"/>
        <v>2.9607206308917906E-2</v>
      </c>
    </row>
    <row r="109" spans="1:18" ht="13">
      <c r="A109" s="8" t="s">
        <v>39</v>
      </c>
      <c r="B109" s="9">
        <v>2019</v>
      </c>
      <c r="C109" s="4">
        <v>-0.38081291332643075</v>
      </c>
      <c r="D109" s="10">
        <v>0.70234650080325478</v>
      </c>
      <c r="E109" s="11">
        <v>0.4985</v>
      </c>
      <c r="F109" s="11">
        <v>2.9899999999999999E-2</v>
      </c>
      <c r="G109" s="12">
        <v>4.6217105898579474E-3</v>
      </c>
      <c r="H109" s="12">
        <v>-3.5751973041793686E-2</v>
      </c>
      <c r="I109" s="12">
        <v>3.6377632740970348E-2</v>
      </c>
      <c r="J109" s="12">
        <v>2.3039227290441869E-3</v>
      </c>
      <c r="K109" s="12">
        <v>-1.7822358561334153E-2</v>
      </c>
      <c r="L109" s="12">
        <v>1.8134249921373718E-2</v>
      </c>
      <c r="M109" s="12">
        <v>1.3818914663675261E-4</v>
      </c>
      <c r="N109" s="12">
        <v>-1.0689839939496313E-3</v>
      </c>
      <c r="O109" s="12">
        <v>1.0876912189550134E-3</v>
      </c>
      <c r="P109">
        <f t="shared" si="3"/>
        <v>3.2460422605120761E-3</v>
      </c>
      <c r="Q109">
        <f t="shared" si="4"/>
        <v>-2.5110273162716093E-2</v>
      </c>
      <c r="R109">
        <f t="shared" si="5"/>
        <v>2.5549703063126438E-2</v>
      </c>
    </row>
    <row r="110" spans="1:18" ht="13">
      <c r="A110" s="8" t="s">
        <v>39</v>
      </c>
      <c r="B110" s="9">
        <v>2020</v>
      </c>
      <c r="C110" s="4">
        <v>-0.17911777322788136</v>
      </c>
      <c r="D110" s="10">
        <v>0.73650106470923604</v>
      </c>
      <c r="E110" s="11">
        <v>0.3155</v>
      </c>
      <c r="F110" s="11">
        <v>3.0300000000000001E-2</v>
      </c>
      <c r="G110" s="12">
        <v>-4.7176274951996874E-2</v>
      </c>
      <c r="H110" s="12">
        <v>-2.4374324678409345E-2</v>
      </c>
      <c r="I110" s="12">
        <v>6.4856932848149834E-2</v>
      </c>
      <c r="J110" s="12">
        <v>-1.4884114747355013E-2</v>
      </c>
      <c r="K110" s="12">
        <v>-7.6900994360381489E-3</v>
      </c>
      <c r="L110" s="12">
        <v>2.0462362313591272E-2</v>
      </c>
      <c r="M110" s="12">
        <v>-1.4294411310455052E-3</v>
      </c>
      <c r="N110" s="12">
        <v>-7.3854203775580317E-4</v>
      </c>
      <c r="O110" s="12">
        <v>1.9651650652989399E-3</v>
      </c>
      <c r="P110">
        <f t="shared" si="3"/>
        <v>-3.4745376731161362E-2</v>
      </c>
      <c r="Q110">
        <f t="shared" si="4"/>
        <v>-1.795171607721709E-2</v>
      </c>
      <c r="R110">
        <f t="shared" si="5"/>
        <v>4.7767200096437777E-2</v>
      </c>
    </row>
    <row r="111" spans="1:18" ht="13">
      <c r="A111" s="8" t="s">
        <v>39</v>
      </c>
      <c r="B111" s="9">
        <v>2021</v>
      </c>
      <c r="C111" s="4">
        <v>-0.11639021604524069</v>
      </c>
      <c r="D111" s="10">
        <v>0.72858010870233869</v>
      </c>
      <c r="E111" s="11">
        <v>0.10440000000000001</v>
      </c>
      <c r="F111" s="11">
        <v>2.46E-2</v>
      </c>
      <c r="G111" s="12">
        <v>-2.8560157405013574E-2</v>
      </c>
      <c r="H111" s="12">
        <v>2.3874177835025417E-2</v>
      </c>
      <c r="I111" s="12">
        <v>1.2800090235969848E-2</v>
      </c>
      <c r="J111" s="12">
        <v>-2.9816804330834172E-3</v>
      </c>
      <c r="K111" s="12">
        <v>2.4924641659766537E-3</v>
      </c>
      <c r="L111" s="12">
        <v>1.3363294206352521E-3</v>
      </c>
      <c r="M111" s="12">
        <v>-7.025798721633339E-4</v>
      </c>
      <c r="N111" s="12">
        <v>5.8730477474162521E-4</v>
      </c>
      <c r="O111" s="12">
        <v>3.1488221980485829E-4</v>
      </c>
      <c r="P111">
        <f t="shared" si="3"/>
        <v>-2.0808362586700692E-2</v>
      </c>
      <c r="Q111">
        <f t="shared" si="4"/>
        <v>1.7394251082221784E-2</v>
      </c>
      <c r="R111">
        <f t="shared" si="5"/>
        <v>9.3258911355226567E-3</v>
      </c>
    </row>
    <row r="112" spans="1:18" ht="13">
      <c r="A112" s="8" t="s">
        <v>40</v>
      </c>
      <c r="B112" s="9">
        <v>2017</v>
      </c>
      <c r="C112" s="4">
        <v>-2.5022094762249765</v>
      </c>
      <c r="D112" s="10">
        <v>0.42498714043164315</v>
      </c>
      <c r="E112" s="11">
        <v>5.8099999999999999E-2</v>
      </c>
      <c r="F112" s="11">
        <v>1.33E-3</v>
      </c>
      <c r="G112" s="12">
        <v>0.16986619603009978</v>
      </c>
      <c r="H112" s="12">
        <v>-1.4866821282295564E-2</v>
      </c>
      <c r="I112" s="12">
        <v>-0.16429951771784237</v>
      </c>
      <c r="J112" s="12">
        <v>9.8692259893487979E-3</v>
      </c>
      <c r="K112" s="12">
        <v>-8.6376231650137222E-4</v>
      </c>
      <c r="L112" s="12">
        <v>-9.5458019794066422E-3</v>
      </c>
      <c r="M112" s="12">
        <v>2.2592204072003272E-4</v>
      </c>
      <c r="N112" s="12">
        <v>-1.97728723054531E-5</v>
      </c>
      <c r="O112" s="12">
        <v>-2.1851835856473035E-4</v>
      </c>
      <c r="P112">
        <f t="shared" si="3"/>
        <v>7.2190948906833044E-2</v>
      </c>
      <c r="Q112">
        <f t="shared" si="4"/>
        <v>-6.3182078640710857E-3</v>
      </c>
      <c r="R112">
        <f t="shared" si="5"/>
        <v>-6.9825182209203918E-2</v>
      </c>
    </row>
    <row r="113" spans="1:18" ht="13">
      <c r="A113" s="8" t="s">
        <v>40</v>
      </c>
      <c r="B113" s="9">
        <v>2018</v>
      </c>
      <c r="C113" s="4">
        <v>-2.8502368772194839</v>
      </c>
      <c r="D113" s="10">
        <v>0.37179812250575922</v>
      </c>
      <c r="E113" s="11">
        <v>4.5400000000000003E-2</v>
      </c>
      <c r="F113" s="11">
        <v>2.5000000000000001E-3</v>
      </c>
      <c r="G113" s="12">
        <v>6.9022331624876046E-2</v>
      </c>
      <c r="H113" s="12">
        <v>-1.7266435474084563E-2</v>
      </c>
      <c r="I113" s="12">
        <v>4.5356827498433776E-2</v>
      </c>
      <c r="J113" s="12">
        <v>3.1336138557693728E-3</v>
      </c>
      <c r="K113" s="12">
        <v>-7.8389617052343919E-4</v>
      </c>
      <c r="L113" s="12">
        <v>2.0591999684288933E-3</v>
      </c>
      <c r="M113" s="12">
        <v>1.7255582906219012E-4</v>
      </c>
      <c r="N113" s="12">
        <v>-4.316608868521141E-5</v>
      </c>
      <c r="O113" s="12">
        <v>1.1339206874608444E-4</v>
      </c>
      <c r="P113">
        <f t="shared" si="3"/>
        <v>2.5662373309098804E-2</v>
      </c>
      <c r="Q113">
        <f t="shared" si="4"/>
        <v>-6.4196282916314795E-3</v>
      </c>
      <c r="R113">
        <f t="shared" si="5"/>
        <v>1.6863583306735271E-2</v>
      </c>
    </row>
    <row r="114" spans="1:18" ht="13">
      <c r="A114" s="8" t="s">
        <v>40</v>
      </c>
      <c r="B114" s="9">
        <v>2019</v>
      </c>
      <c r="C114" s="4">
        <v>-3.084334815192157</v>
      </c>
      <c r="D114" s="10">
        <v>0.32352341095169618</v>
      </c>
      <c r="E114" s="11">
        <v>4.3400000000000001E-2</v>
      </c>
      <c r="F114" s="11">
        <v>2.5000000000000001E-3</v>
      </c>
      <c r="G114" s="12">
        <v>0.14130622596695921</v>
      </c>
      <c r="H114" s="12">
        <v>-8.6635603702174296E-2</v>
      </c>
      <c r="I114" s="12">
        <v>-0.12321610041674352</v>
      </c>
      <c r="J114" s="12">
        <v>6.1326902069660299E-3</v>
      </c>
      <c r="K114" s="12">
        <v>-3.7599852006743647E-3</v>
      </c>
      <c r="L114" s="12">
        <v>-5.3475787580866694E-3</v>
      </c>
      <c r="M114" s="12">
        <v>3.5326556491739803E-4</v>
      </c>
      <c r="N114" s="12">
        <v>-2.1658900925543574E-4</v>
      </c>
      <c r="O114" s="12">
        <v>-3.0804025104185884E-4</v>
      </c>
      <c r="P114">
        <f t="shared" si="3"/>
        <v>4.5715872213541786E-2</v>
      </c>
      <c r="Q114">
        <f t="shared" si="4"/>
        <v>-2.8028646019586826E-2</v>
      </c>
      <c r="R114">
        <f t="shared" si="5"/>
        <v>-3.9863293090991576E-2</v>
      </c>
    </row>
    <row r="115" spans="1:18" ht="13">
      <c r="A115" s="8" t="s">
        <v>40</v>
      </c>
      <c r="B115" s="9">
        <v>2020</v>
      </c>
      <c r="C115" s="4">
        <v>-3.8235092938048445</v>
      </c>
      <c r="D115" s="10">
        <v>0.19852701622059216</v>
      </c>
      <c r="E115" s="11">
        <v>2.1600000000000001E-2</v>
      </c>
      <c r="F115" s="11">
        <v>2.5000000000000001E-3</v>
      </c>
      <c r="G115" s="12">
        <v>0.24963389310665968</v>
      </c>
      <c r="H115" s="12">
        <v>-4.3877979726179468E-3</v>
      </c>
      <c r="I115" s="12">
        <v>-0.23294929131577993</v>
      </c>
      <c r="J115" s="12">
        <v>5.3920920911038495E-3</v>
      </c>
      <c r="K115" s="12">
        <v>-9.4776436208547651E-5</v>
      </c>
      <c r="L115" s="12">
        <v>-5.0317046924208469E-3</v>
      </c>
      <c r="M115" s="12">
        <v>6.2408473276664924E-4</v>
      </c>
      <c r="N115" s="12">
        <v>-1.0969494931544868E-5</v>
      </c>
      <c r="O115" s="12">
        <v>-5.8237322828944981E-4</v>
      </c>
      <c r="P115">
        <f t="shared" si="3"/>
        <v>4.9559071945995396E-2</v>
      </c>
      <c r="Q115">
        <f t="shared" si="4"/>
        <v>-8.7109643928260446E-4</v>
      </c>
      <c r="R115">
        <f t="shared" si="5"/>
        <v>-4.6246727735623293E-2</v>
      </c>
    </row>
    <row r="116" spans="1:18" ht="13">
      <c r="A116" s="8" t="s">
        <v>40</v>
      </c>
      <c r="B116" s="9">
        <v>2021</v>
      </c>
      <c r="C116" s="4">
        <v>-3.3958783457968376</v>
      </c>
      <c r="D116" s="10">
        <v>0.26298433871119786</v>
      </c>
      <c r="E116" s="11">
        <v>1.9400000000000001E-2</v>
      </c>
      <c r="F116" s="11">
        <v>1.1999999999999999E-3</v>
      </c>
      <c r="G116" s="12">
        <v>-1.3569244569207431E-2</v>
      </c>
      <c r="H116" s="12">
        <v>9.5765538689487114E-3</v>
      </c>
      <c r="I116" s="12">
        <v>9.851747671089128E-3</v>
      </c>
      <c r="J116" s="12">
        <v>-2.6324334464262415E-4</v>
      </c>
      <c r="K116" s="12">
        <v>1.85785145057605E-4</v>
      </c>
      <c r="L116" s="12">
        <v>1.9112390481912909E-4</v>
      </c>
      <c r="M116" s="12">
        <v>-1.6283093483048915E-5</v>
      </c>
      <c r="N116" s="12">
        <v>1.1491864642738452E-5</v>
      </c>
      <c r="O116" s="12">
        <v>1.1822097205306953E-5</v>
      </c>
      <c r="P116">
        <f t="shared" si="3"/>
        <v>-3.5684988098435289E-3</v>
      </c>
      <c r="Q116">
        <f t="shared" si="4"/>
        <v>2.5184836863576402E-3</v>
      </c>
      <c r="R116">
        <f t="shared" si="5"/>
        <v>2.5908553464309581E-3</v>
      </c>
    </row>
    <row r="117" spans="1:18" ht="13">
      <c r="A117" s="8" t="s">
        <v>41</v>
      </c>
      <c r="B117" s="9">
        <v>2017</v>
      </c>
      <c r="C117" s="4">
        <v>-4.7304449742768888</v>
      </c>
      <c r="D117" s="10">
        <v>3.918471818785739E-2</v>
      </c>
      <c r="E117" s="11">
        <v>7.2599999999999998E-2</v>
      </c>
      <c r="F117" s="11">
        <v>2.6900000000000001E-3</v>
      </c>
      <c r="G117" s="12">
        <v>0.1846172382800797</v>
      </c>
      <c r="H117" s="12">
        <v>-0.16156817027262899</v>
      </c>
      <c r="I117" s="12">
        <v>-0.20644351382683565</v>
      </c>
      <c r="J117" s="12">
        <v>1.3403211499133786E-2</v>
      </c>
      <c r="K117" s="12">
        <v>-1.1729849161792864E-2</v>
      </c>
      <c r="L117" s="12">
        <v>-1.4987799103828268E-2</v>
      </c>
      <c r="M117" s="12">
        <v>4.9662037097341445E-4</v>
      </c>
      <c r="N117" s="12">
        <v>-4.3461837803337197E-4</v>
      </c>
      <c r="O117" s="12">
        <v>-5.5533305219418797E-4</v>
      </c>
      <c r="P117">
        <f t="shared" si="3"/>
        <v>7.2341744546254401E-3</v>
      </c>
      <c r="Q117">
        <f t="shared" si="4"/>
        <v>-6.3310032202607246E-3</v>
      </c>
      <c r="R117">
        <f t="shared" si="5"/>
        <v>-8.0894309110155962E-3</v>
      </c>
    </row>
    <row r="118" spans="1:18" ht="13">
      <c r="A118" s="8" t="s">
        <v>41</v>
      </c>
      <c r="B118" s="9">
        <v>2018</v>
      </c>
      <c r="C118" s="4">
        <v>-4.2596096317543495</v>
      </c>
      <c r="D118" s="10">
        <v>0.11331361829661514</v>
      </c>
      <c r="E118" s="11">
        <v>7.2700000000000001E-2</v>
      </c>
      <c r="F118" s="11">
        <v>1.47E-3</v>
      </c>
      <c r="G118" s="12">
        <v>0.25757397046723501</v>
      </c>
      <c r="H118" s="12">
        <v>6.3773548976613387E-2</v>
      </c>
      <c r="I118" s="12">
        <v>-0.1123160241753151</v>
      </c>
      <c r="J118" s="12">
        <v>1.8725627652967987E-2</v>
      </c>
      <c r="K118" s="12">
        <v>4.6363370105997935E-3</v>
      </c>
      <c r="L118" s="12">
        <v>-8.1653749575454071E-3</v>
      </c>
      <c r="M118" s="12">
        <v>3.7863373658683544E-4</v>
      </c>
      <c r="N118" s="12">
        <v>9.3747116995621682E-5</v>
      </c>
      <c r="O118" s="12">
        <v>-1.6510455553771317E-4</v>
      </c>
      <c r="P118">
        <f t="shared" si="3"/>
        <v>2.918663857266789E-2</v>
      </c>
      <c r="Q118">
        <f t="shared" si="4"/>
        <v>7.2264115861564605E-3</v>
      </c>
      <c r="R118">
        <f t="shared" si="5"/>
        <v>-1.2726935091995054E-2</v>
      </c>
    </row>
    <row r="119" spans="1:18" ht="13">
      <c r="A119" s="8" t="s">
        <v>41</v>
      </c>
      <c r="B119" s="9">
        <v>2019</v>
      </c>
      <c r="C119" s="4">
        <v>-4.3535530632315904</v>
      </c>
      <c r="D119" s="10">
        <v>9.5575507586050878E-2</v>
      </c>
      <c r="E119" s="11">
        <v>7.2700000000000001E-2</v>
      </c>
      <c r="F119" s="11">
        <v>3.0899999999999998E-4</v>
      </c>
      <c r="G119" s="12">
        <v>0.15369824454902478</v>
      </c>
      <c r="H119" s="12">
        <v>-0.29535559300339465</v>
      </c>
      <c r="I119" s="12">
        <v>-0.11853625082861696</v>
      </c>
      <c r="J119" s="12">
        <v>1.1173862378714101E-2</v>
      </c>
      <c r="K119" s="12">
        <v>-2.147235161134679E-2</v>
      </c>
      <c r="L119" s="12">
        <v>-8.6175854352404536E-3</v>
      </c>
      <c r="M119" s="12">
        <v>4.7492757565648652E-5</v>
      </c>
      <c r="N119" s="12">
        <v>-9.1264878238048934E-5</v>
      </c>
      <c r="O119" s="12">
        <v>-3.6627701506042641E-5</v>
      </c>
      <c r="P119">
        <f t="shared" si="3"/>
        <v>1.468978773785802E-2</v>
      </c>
      <c r="Q119">
        <f t="shared" si="4"/>
        <v>-2.8228760719678499E-2</v>
      </c>
      <c r="R119">
        <f t="shared" si="5"/>
        <v>-1.132916234029251E-2</v>
      </c>
    </row>
    <row r="120" spans="1:18" ht="13">
      <c r="A120" s="8" t="s">
        <v>41</v>
      </c>
      <c r="B120" s="9">
        <v>2020</v>
      </c>
      <c r="C120" s="4">
        <v>-4.4761310222495112</v>
      </c>
      <c r="D120" s="10">
        <v>8.2981060149789912E-2</v>
      </c>
      <c r="E120" s="11">
        <v>7.2700000000000001E-2</v>
      </c>
      <c r="F120" s="11">
        <v>8.4000000000000003E-4</v>
      </c>
      <c r="G120" s="12">
        <v>0.22201217308741522</v>
      </c>
      <c r="H120" s="12">
        <v>7.9911571518659977E-2</v>
      </c>
      <c r="I120" s="12">
        <v>-0.13021377301939333</v>
      </c>
      <c r="J120" s="12">
        <v>1.6140284983455086E-2</v>
      </c>
      <c r="K120" s="12">
        <v>5.8095712494065799E-3</v>
      </c>
      <c r="L120" s="12">
        <v>-9.4665412985098941E-3</v>
      </c>
      <c r="M120" s="12">
        <v>1.8649022539342879E-4</v>
      </c>
      <c r="N120" s="12">
        <v>6.7125720075674386E-5</v>
      </c>
      <c r="O120" s="12">
        <v>-1.093795693362904E-4</v>
      </c>
      <c r="P120">
        <f t="shared" si="3"/>
        <v>1.8422805488952372E-2</v>
      </c>
      <c r="Q120">
        <f t="shared" si="4"/>
        <v>6.6311469228541621E-3</v>
      </c>
      <c r="R120">
        <f t="shared" si="5"/>
        <v>-1.0805276931253369E-2</v>
      </c>
    </row>
    <row r="121" spans="1:18" ht="13">
      <c r="A121" s="8" t="s">
        <v>41</v>
      </c>
      <c r="B121" s="9">
        <v>2021</v>
      </c>
      <c r="C121" s="4">
        <v>-4.6530524331309593</v>
      </c>
      <c r="D121" s="10">
        <v>4.4648146783582643E-2</v>
      </c>
      <c r="E121" s="11">
        <v>7.2499999999999995E-2</v>
      </c>
      <c r="F121" s="11">
        <v>8.4000000000000003E-4</v>
      </c>
      <c r="G121" s="12">
        <v>0.15243091887112226</v>
      </c>
      <c r="H121" s="12">
        <v>3.1406676000294745E-2</v>
      </c>
      <c r="I121" s="12">
        <v>-0.11463562007221281</v>
      </c>
      <c r="J121" s="12">
        <v>1.1051241618156363E-2</v>
      </c>
      <c r="K121" s="12">
        <v>2.2769840100213688E-3</v>
      </c>
      <c r="L121" s="12">
        <v>-8.3110824552354284E-3</v>
      </c>
      <c r="M121" s="12">
        <v>1.2804197185174271E-4</v>
      </c>
      <c r="N121" s="12">
        <v>2.6381607840247587E-5</v>
      </c>
      <c r="O121" s="12">
        <v>-9.6293920860658771E-5</v>
      </c>
      <c r="P121">
        <f t="shared" si="3"/>
        <v>6.8057580401142438E-3</v>
      </c>
      <c r="Q121">
        <f t="shared" si="4"/>
        <v>1.4022498800455819E-3</v>
      </c>
      <c r="R121">
        <f t="shared" si="5"/>
        <v>-5.11826799161117E-3</v>
      </c>
    </row>
    <row r="122" spans="1:18" ht="13">
      <c r="A122" s="8" t="s">
        <v>42</v>
      </c>
      <c r="B122" s="9">
        <v>2017</v>
      </c>
      <c r="C122" s="4">
        <v>-1.2045219720474889</v>
      </c>
      <c r="D122" s="10">
        <v>0.56699837568379985</v>
      </c>
      <c r="E122" s="11">
        <v>5.3900000000000003E-2</v>
      </c>
      <c r="F122" s="11">
        <v>8.1999999999999998E-4</v>
      </c>
      <c r="G122" s="12">
        <v>0.11365027206777734</v>
      </c>
      <c r="H122" s="12">
        <v>-8.0680594711326034E-2</v>
      </c>
      <c r="I122" s="12">
        <v>-2.3373142564345119E-2</v>
      </c>
      <c r="J122" s="12">
        <v>6.1257496644531988E-3</v>
      </c>
      <c r="K122" s="12">
        <v>-4.3486840549404734E-3</v>
      </c>
      <c r="L122" s="12">
        <v>-1.2598123842182021E-3</v>
      </c>
      <c r="M122" s="12">
        <v>9.3193223095577413E-5</v>
      </c>
      <c r="N122" s="12">
        <v>-6.6158087663287341E-5</v>
      </c>
      <c r="O122" s="12">
        <v>-1.9165976902762996E-5</v>
      </c>
      <c r="P122">
        <f t="shared" si="3"/>
        <v>6.4439519658451683E-2</v>
      </c>
      <c r="Q122">
        <f t="shared" si="4"/>
        <v>-4.5745766150524836E-2</v>
      </c>
      <c r="R122">
        <f t="shared" si="5"/>
        <v>-1.3252533868609567E-2</v>
      </c>
    </row>
    <row r="123" spans="1:18" ht="13">
      <c r="A123" s="8" t="s">
        <v>42</v>
      </c>
      <c r="B123" s="9">
        <v>2018</v>
      </c>
      <c r="C123" s="4">
        <v>-1.5852410597293347</v>
      </c>
      <c r="D123" s="10">
        <v>0.50209342437917914</v>
      </c>
      <c r="E123" s="11">
        <v>5.4399999999999997E-2</v>
      </c>
      <c r="F123" s="11">
        <v>2.1000000000000001E-4</v>
      </c>
      <c r="G123" s="12">
        <v>0.16875930345202372</v>
      </c>
      <c r="H123" s="12">
        <v>-0.24068000850601326</v>
      </c>
      <c r="I123" s="12">
        <v>2.962927958793091E-2</v>
      </c>
      <c r="J123" s="12">
        <v>9.1805061077900908E-3</v>
      </c>
      <c r="K123" s="12">
        <v>-1.309299246272712E-2</v>
      </c>
      <c r="L123" s="12">
        <v>1.6118328095834414E-3</v>
      </c>
      <c r="M123" s="12">
        <v>3.5439453724924986E-5</v>
      </c>
      <c r="N123" s="12">
        <v>-5.0542801786262788E-5</v>
      </c>
      <c r="O123" s="12">
        <v>6.2221487134654913E-6</v>
      </c>
      <c r="P123">
        <f t="shared" si="3"/>
        <v>8.4732936566071615E-2</v>
      </c>
      <c r="Q123">
        <f t="shared" si="4"/>
        <v>-0.12084384965039416</v>
      </c>
      <c r="R123">
        <f t="shared" si="5"/>
        <v>1.4876666450192345E-2</v>
      </c>
    </row>
    <row r="124" spans="1:18" ht="13">
      <c r="A124" s="8" t="s">
        <v>42</v>
      </c>
      <c r="B124" s="9">
        <v>2019</v>
      </c>
      <c r="C124" s="4">
        <v>-1.8767620864492953</v>
      </c>
      <c r="D124" s="10">
        <v>0.47394971625567311</v>
      </c>
      <c r="E124" s="11">
        <v>4.8500000000000001E-2</v>
      </c>
      <c r="F124" s="11">
        <v>3.4000000000000002E-4</v>
      </c>
      <c r="G124" s="12">
        <v>8.6574846668242361E-2</v>
      </c>
      <c r="H124" s="12">
        <v>-1.094152503324476E-2</v>
      </c>
      <c r="I124" s="12">
        <v>0.1241456036938092</v>
      </c>
      <c r="J124" s="12">
        <v>4.1988800634097543E-3</v>
      </c>
      <c r="K124" s="12">
        <v>-5.306639641123709E-4</v>
      </c>
      <c r="L124" s="12">
        <v>6.0210617791497459E-3</v>
      </c>
      <c r="M124" s="12">
        <v>2.9435447867202406E-5</v>
      </c>
      <c r="N124" s="12">
        <v>-3.7201185113032188E-6</v>
      </c>
      <c r="O124" s="12">
        <v>4.2209505255895128E-5</v>
      </c>
      <c r="P124">
        <f t="shared" si="3"/>
        <v>4.1032124013291871E-2</v>
      </c>
      <c r="Q124">
        <f t="shared" si="4"/>
        <v>-5.1857326849106987E-3</v>
      </c>
      <c r="R124">
        <f t="shared" si="5"/>
        <v>5.8838773645070112E-2</v>
      </c>
    </row>
    <row r="125" spans="1:18" ht="13">
      <c r="A125" s="8" t="s">
        <v>42</v>
      </c>
      <c r="B125" s="9">
        <v>2020</v>
      </c>
      <c r="C125" s="4">
        <v>-1.4717048349991113</v>
      </c>
      <c r="D125" s="10">
        <v>0.54178809738319778</v>
      </c>
      <c r="E125" s="11">
        <v>4.8500000000000001E-2</v>
      </c>
      <c r="F125" s="11">
        <v>2.3000000000000001E-4</v>
      </c>
      <c r="G125" s="12">
        <v>0.17727833852273814</v>
      </c>
      <c r="H125" s="12">
        <v>-0.25627253628685376</v>
      </c>
      <c r="I125" s="12">
        <v>2.3021840242258089E-3</v>
      </c>
      <c r="J125" s="12">
        <v>8.5979994183528006E-3</v>
      </c>
      <c r="K125" s="12">
        <v>-1.2429218009912408E-2</v>
      </c>
      <c r="L125" s="12">
        <v>1.1165592517495173E-4</v>
      </c>
      <c r="M125" s="12">
        <v>4.0774017860229774E-5</v>
      </c>
      <c r="N125" s="12">
        <v>-5.8942683345976368E-5</v>
      </c>
      <c r="O125" s="12">
        <v>5.2950232557193606E-7</v>
      </c>
      <c r="P125">
        <f t="shared" si="3"/>
        <v>9.6047293735488745E-2</v>
      </c>
      <c r="Q125">
        <f t="shared" si="4"/>
        <v>-0.13884540984642102</v>
      </c>
      <c r="R125">
        <f t="shared" si="5"/>
        <v>1.2472959023112947E-3</v>
      </c>
    </row>
    <row r="126" spans="1:18" ht="13">
      <c r="A126" s="8" t="s">
        <v>42</v>
      </c>
      <c r="B126" s="9">
        <v>2021</v>
      </c>
      <c r="C126" s="4">
        <v>-1.6847388081071923</v>
      </c>
      <c r="D126" s="10">
        <v>0.50742856145525628</v>
      </c>
      <c r="E126" s="11">
        <v>4.7899999999999998E-2</v>
      </c>
      <c r="F126" s="11">
        <v>2.3000000000000001E-4</v>
      </c>
      <c r="G126" s="12">
        <v>6.6106561132370206E-2</v>
      </c>
      <c r="H126" s="12">
        <v>7.1737432532081341E-2</v>
      </c>
      <c r="I126" s="12">
        <v>-2.2754741843854037E-2</v>
      </c>
      <c r="J126" s="12">
        <v>3.1665042782405327E-3</v>
      </c>
      <c r="K126" s="12">
        <v>3.4362230182866959E-3</v>
      </c>
      <c r="L126" s="12">
        <v>-1.0899521343206084E-3</v>
      </c>
      <c r="M126" s="12">
        <v>1.5204509060445148E-5</v>
      </c>
      <c r="N126" s="12">
        <v>1.6499609482378709E-5</v>
      </c>
      <c r="O126" s="12">
        <v>-5.2335906240864287E-6</v>
      </c>
      <c r="P126">
        <f t="shared" si="3"/>
        <v>3.3544357218152569E-2</v>
      </c>
      <c r="Q126">
        <f t="shared" si="4"/>
        <v>3.6401622192247539E-2</v>
      </c>
      <c r="R126">
        <f t="shared" si="5"/>
        <v>-1.1546405920112579E-2</v>
      </c>
    </row>
    <row r="127" spans="1:18" ht="13">
      <c r="A127" s="8" t="s">
        <v>50</v>
      </c>
      <c r="B127" s="9">
        <v>2017</v>
      </c>
      <c r="C127" s="4">
        <v>-1.2344148726739275</v>
      </c>
      <c r="D127" s="10">
        <v>0.59326518586968124</v>
      </c>
      <c r="E127" s="11">
        <v>8.2000000000000003E-2</v>
      </c>
      <c r="F127" s="11">
        <v>4.6600000000000003E-2</v>
      </c>
      <c r="G127" s="12">
        <v>6.0178911924054557E-2</v>
      </c>
      <c r="H127" s="12">
        <v>-4.6828284860798403E-2</v>
      </c>
      <c r="I127" s="12">
        <v>4.9574860692661309E-2</v>
      </c>
      <c r="J127" s="12">
        <v>4.9346707777724735E-3</v>
      </c>
      <c r="K127" s="12">
        <v>-3.8399193585854693E-3</v>
      </c>
      <c r="L127" s="12">
        <v>4.0651385767982275E-3</v>
      </c>
      <c r="M127" s="12">
        <v>2.8043372956609424E-3</v>
      </c>
      <c r="N127" s="12">
        <v>-2.1821980745132057E-3</v>
      </c>
      <c r="O127" s="12">
        <v>2.3101885082780172E-3</v>
      </c>
      <c r="P127">
        <f t="shared" si="3"/>
        <v>3.5702053368059407E-2</v>
      </c>
      <c r="Q127">
        <f t="shared" si="4"/>
        <v>-2.7781591121899946E-2</v>
      </c>
      <c r="R127">
        <f t="shared" si="5"/>
        <v>2.9411038943295265E-2</v>
      </c>
    </row>
    <row r="128" spans="1:18" ht="13">
      <c r="A128" s="8" t="s">
        <v>50</v>
      </c>
      <c r="B128" s="9">
        <v>2018</v>
      </c>
      <c r="C128" s="4">
        <v>-1.0138556408627211</v>
      </c>
      <c r="D128" s="10">
        <v>0.61861985040248957</v>
      </c>
      <c r="E128" s="11">
        <v>8.8599999999999998E-2</v>
      </c>
      <c r="F128" s="11">
        <v>4.6399999999999997E-2</v>
      </c>
      <c r="G128" s="12">
        <v>7.7659468781071647E-2</v>
      </c>
      <c r="H128" s="12">
        <v>-0.11216251302000357</v>
      </c>
      <c r="I128" s="12">
        <v>-1.0879059994005858E-2</v>
      </c>
      <c r="J128" s="12">
        <v>6.8806289340029476E-3</v>
      </c>
      <c r="K128" s="12">
        <v>-9.9375986535723167E-3</v>
      </c>
      <c r="L128" s="12">
        <v>-9.6388471546891906E-4</v>
      </c>
      <c r="M128" s="12">
        <v>3.603399351441724E-3</v>
      </c>
      <c r="N128" s="12">
        <v>-5.204340604128165E-3</v>
      </c>
      <c r="O128" s="12">
        <v>-5.0478838372187182E-4</v>
      </c>
      <c r="P128">
        <f t="shared" si="3"/>
        <v>4.8041688959683353E-2</v>
      </c>
      <c r="Q128">
        <f t="shared" si="4"/>
        <v>-6.9385957025201894E-2</v>
      </c>
      <c r="R128">
        <f t="shared" si="5"/>
        <v>-6.7300024660116135E-3</v>
      </c>
    </row>
    <row r="129" spans="1:18" ht="13">
      <c r="A129" s="8" t="s">
        <v>50</v>
      </c>
      <c r="B129" s="9">
        <v>2019</v>
      </c>
      <c r="C129" s="4">
        <v>-1.5460488788641638</v>
      </c>
      <c r="D129" s="10">
        <v>0.52094349886650593</v>
      </c>
      <c r="E129" s="11">
        <v>0.37380000000000002</v>
      </c>
      <c r="F129" s="11">
        <v>3.4200000000000001E-2</v>
      </c>
      <c r="G129" s="12">
        <v>3.9150525047996224E-2</v>
      </c>
      <c r="H129" s="12">
        <v>-0.27232242455543959</v>
      </c>
      <c r="I129" s="12">
        <v>0.24948341881282637</v>
      </c>
      <c r="J129" s="12">
        <v>1.4634466262940989E-2</v>
      </c>
      <c r="K129" s="12">
        <v>-0.10179412229882333</v>
      </c>
      <c r="L129" s="12">
        <v>9.3256901952234503E-2</v>
      </c>
      <c r="M129" s="12">
        <v>1.338947956641471E-3</v>
      </c>
      <c r="N129" s="12">
        <v>-9.3134269197960341E-3</v>
      </c>
      <c r="O129" s="12">
        <v>8.5323329233986615E-3</v>
      </c>
      <c r="P129">
        <f t="shared" si="3"/>
        <v>2.0395211500963933E-2</v>
      </c>
      <c r="Q129">
        <f t="shared" si="4"/>
        <v>-0.14186459666772078</v>
      </c>
      <c r="R129">
        <f t="shared" si="5"/>
        <v>0.12996676510553165</v>
      </c>
    </row>
    <row r="130" spans="1:18" ht="13">
      <c r="A130" s="8" t="s">
        <v>50</v>
      </c>
      <c r="B130" s="9">
        <v>2020</v>
      </c>
      <c r="C130" s="4">
        <v>-1.4351264615327846</v>
      </c>
      <c r="D130" s="10">
        <v>0.54028649603772483</v>
      </c>
      <c r="E130" s="11">
        <v>0.61829000000000001</v>
      </c>
      <c r="F130" s="11">
        <v>3.4700000000000002E-2</v>
      </c>
      <c r="G130" s="12">
        <v>8.77998855991792E-2</v>
      </c>
      <c r="H130" s="12">
        <v>-6.402799879718396E-2</v>
      </c>
      <c r="I130" s="12">
        <v>-5.8582394270392888E-3</v>
      </c>
      <c r="J130" s="12">
        <v>5.4285791267116509E-2</v>
      </c>
      <c r="K130" s="12">
        <v>-3.9587871376310868E-2</v>
      </c>
      <c r="L130" s="12">
        <v>-3.622090855344122E-3</v>
      </c>
      <c r="M130" s="12">
        <v>3.0466560302915184E-3</v>
      </c>
      <c r="N130" s="12">
        <v>-2.2217715582622836E-3</v>
      </c>
      <c r="O130" s="12">
        <v>-2.0328090811826333E-4</v>
      </c>
      <c r="P130">
        <f t="shared" si="3"/>
        <v>4.7437092542893626E-2</v>
      </c>
      <c r="Q130">
        <f t="shared" si="4"/>
        <v>-3.4593463118438181E-2</v>
      </c>
      <c r="R130">
        <f t="shared" si="5"/>
        <v>-3.1651276529851059E-3</v>
      </c>
    </row>
    <row r="131" spans="1:18" ht="13">
      <c r="A131" s="8" t="s">
        <v>50</v>
      </c>
      <c r="B131" s="9">
        <v>2021</v>
      </c>
      <c r="C131" s="4">
        <v>-1.3032225607308963</v>
      </c>
      <c r="D131" s="10">
        <v>0.56799526765531805</v>
      </c>
      <c r="E131" s="11">
        <v>0.39340000000000003</v>
      </c>
      <c r="F131" s="11">
        <v>3.2399999999999998E-2</v>
      </c>
      <c r="G131" s="12">
        <v>9.1244728729047916E-2</v>
      </c>
      <c r="H131" s="12">
        <v>-0.11055985291974127</v>
      </c>
      <c r="I131" s="12">
        <v>2.3965083114555231E-2</v>
      </c>
      <c r="J131" s="12">
        <v>3.5895676282007453E-2</v>
      </c>
      <c r="K131" s="12">
        <v>-4.3494246138626215E-2</v>
      </c>
      <c r="L131" s="12">
        <v>9.4278636972660295E-3</v>
      </c>
      <c r="M131" s="12">
        <v>2.9563292108211524E-3</v>
      </c>
      <c r="N131" s="12">
        <v>-3.5821392345996169E-3</v>
      </c>
      <c r="O131" s="12">
        <v>7.7646869291158943E-4</v>
      </c>
      <c r="P131">
        <f t="shared" ref="P131:P194" si="6">G131*D131</f>
        <v>5.1826574116592458E-2</v>
      </c>
      <c r="Q131">
        <f t="shared" ref="Q131:Q194" si="7">H131*D131</f>
        <v>-6.2797473251081037E-2</v>
      </c>
      <c r="R131">
        <f t="shared" ref="R131:R194" si="8">I131*D131</f>
        <v>1.3612053798033742E-2</v>
      </c>
    </row>
    <row r="132" spans="1:18" ht="13">
      <c r="A132" s="8" t="s">
        <v>43</v>
      </c>
      <c r="B132" s="9">
        <v>2017</v>
      </c>
      <c r="C132" s="4">
        <v>0.76948194310354667</v>
      </c>
      <c r="D132" s="10">
        <v>0.91856939528948556</v>
      </c>
      <c r="E132" s="11">
        <v>5.1000000000000004E-3</v>
      </c>
      <c r="F132" s="11">
        <v>0.26989999999999997</v>
      </c>
      <c r="G132" s="12">
        <v>7.2222797842695641E-2</v>
      </c>
      <c r="H132" s="12">
        <v>-4.4351254519378103E-2</v>
      </c>
      <c r="I132" s="12">
        <v>-3.0365040326758533E-2</v>
      </c>
      <c r="J132" s="12">
        <v>3.6833626899774777E-4</v>
      </c>
      <c r="K132" s="12">
        <v>-2.2619139804882834E-4</v>
      </c>
      <c r="L132" s="12">
        <v>-1.5486170566646852E-4</v>
      </c>
      <c r="M132" s="12">
        <v>1.9492933137743553E-2</v>
      </c>
      <c r="N132" s="12">
        <v>-1.1970403594780148E-2</v>
      </c>
      <c r="O132" s="12">
        <v>-8.1955243841921269E-3</v>
      </c>
      <c r="P132">
        <f t="shared" si="6"/>
        <v>6.6341651740479693E-2</v>
      </c>
      <c r="Q132">
        <f t="shared" si="7"/>
        <v>-4.0739705044195204E-2</v>
      </c>
      <c r="R132">
        <f t="shared" si="8"/>
        <v>-2.7892396730891427E-2</v>
      </c>
    </row>
    <row r="133" spans="1:18" ht="13">
      <c r="A133" s="8" t="s">
        <v>43</v>
      </c>
      <c r="B133" s="9">
        <v>2018</v>
      </c>
      <c r="C133" s="4">
        <v>8.1587060282961407E-2</v>
      </c>
      <c r="D133" s="10">
        <v>0.84204303995654461</v>
      </c>
      <c r="E133" s="11">
        <v>4.0599999999999997E-2</v>
      </c>
      <c r="F133" s="11">
        <v>0.26989999999999997</v>
      </c>
      <c r="G133" s="12">
        <v>3.2713607865781431E-2</v>
      </c>
      <c r="H133" s="12">
        <v>-3.2262850022024371E-2</v>
      </c>
      <c r="I133" s="12">
        <v>-5.7868177865621666E-3</v>
      </c>
      <c r="J133" s="12">
        <v>1.3281724793507261E-3</v>
      </c>
      <c r="K133" s="12">
        <v>-1.3098717108941894E-3</v>
      </c>
      <c r="L133" s="12">
        <v>-2.3494480213442394E-4</v>
      </c>
      <c r="M133" s="12">
        <v>8.8294027629744077E-3</v>
      </c>
      <c r="N133" s="12">
        <v>-8.7077432209443761E-3</v>
      </c>
      <c r="O133" s="12">
        <v>-1.5618621205931286E-3</v>
      </c>
      <c r="P133">
        <f t="shared" si="6"/>
        <v>2.7546265815248928E-2</v>
      </c>
      <c r="Q133">
        <f t="shared" si="7"/>
        <v>-2.7166708310207476E-2</v>
      </c>
      <c r="R133">
        <f t="shared" si="8"/>
        <v>-4.8727496406714092E-3</v>
      </c>
    </row>
    <row r="134" spans="1:18" ht="13">
      <c r="A134" s="8" t="s">
        <v>43</v>
      </c>
      <c r="B134" s="9">
        <v>2019</v>
      </c>
      <c r="C134" s="4">
        <v>-0.22846911496626776</v>
      </c>
      <c r="D134" s="10">
        <v>0.75806348526297673</v>
      </c>
      <c r="E134" s="11">
        <v>1.61E-2</v>
      </c>
      <c r="F134" s="11">
        <v>0.26989999999999997</v>
      </c>
      <c r="G134" s="12">
        <v>-5.6884593638831436E-2</v>
      </c>
      <c r="H134" s="12">
        <v>-0.11509592321928366</v>
      </c>
      <c r="I134" s="12">
        <v>0.19731000600507795</v>
      </c>
      <c r="J134" s="12">
        <v>-9.1584195758518609E-4</v>
      </c>
      <c r="K134" s="12">
        <v>-1.8530443638304669E-3</v>
      </c>
      <c r="L134" s="12">
        <v>3.1766910966817548E-3</v>
      </c>
      <c r="M134" s="12">
        <v>-1.5353151823120604E-2</v>
      </c>
      <c r="N134" s="12">
        <v>-3.1064389676884657E-2</v>
      </c>
      <c r="O134" s="12">
        <v>5.325397062077053E-2</v>
      </c>
      <c r="P134">
        <f t="shared" si="6"/>
        <v>-4.3122133311620715E-2</v>
      </c>
      <c r="Q134">
        <f t="shared" si="7"/>
        <v>-8.7250016695170143E-2</v>
      </c>
      <c r="R134">
        <f t="shared" si="8"/>
        <v>0.14957351082946826</v>
      </c>
    </row>
    <row r="135" spans="1:18" ht="13">
      <c r="A135" s="8" t="s">
        <v>43</v>
      </c>
      <c r="B135" s="9">
        <v>2020</v>
      </c>
      <c r="C135" s="4">
        <v>-0.91508685807573287</v>
      </c>
      <c r="D135" s="10">
        <v>0.62637748406041005</v>
      </c>
      <c r="E135" s="11">
        <v>0.14149999999999999</v>
      </c>
      <c r="F135" s="11">
        <v>0.13589999999999999</v>
      </c>
      <c r="G135" s="12">
        <v>-8.5879837900884794E-3</v>
      </c>
      <c r="H135" s="12">
        <v>-9.330279292032316E-2</v>
      </c>
      <c r="I135" s="12">
        <v>7.9495962595810057E-2</v>
      </c>
      <c r="J135" s="12">
        <v>-1.2151997062975197E-3</v>
      </c>
      <c r="K135" s="12">
        <v>-1.3202345198225727E-2</v>
      </c>
      <c r="L135" s="12">
        <v>1.1248678707307122E-2</v>
      </c>
      <c r="M135" s="12">
        <v>-1.1671069970730242E-3</v>
      </c>
      <c r="N135" s="12">
        <v>-1.2679849557871917E-2</v>
      </c>
      <c r="O135" s="12">
        <v>1.0803501316770586E-2</v>
      </c>
      <c r="P135">
        <f t="shared" si="6"/>
        <v>-5.3793196795872064E-3</v>
      </c>
      <c r="Q135">
        <f t="shared" si="7"/>
        <v>-5.844276868524146E-2</v>
      </c>
      <c r="R135">
        <f t="shared" si="8"/>
        <v>4.979448104372397E-2</v>
      </c>
    </row>
    <row r="136" spans="1:18" ht="13">
      <c r="A136" s="8" t="s">
        <v>43</v>
      </c>
      <c r="B136" s="9">
        <v>2021</v>
      </c>
      <c r="C136" s="4">
        <v>-1.8138606348796518</v>
      </c>
      <c r="D136" s="10">
        <v>0.46474869341720138</v>
      </c>
      <c r="E136" s="11">
        <v>7.7899999999999997E-2</v>
      </c>
      <c r="F136" s="11">
        <v>4.3999999999999997E-2</v>
      </c>
      <c r="G136" s="12">
        <v>-0.1476099941195515</v>
      </c>
      <c r="H136" s="12">
        <v>-0.17386966547516008</v>
      </c>
      <c r="I136" s="12">
        <v>0.32982915314934358</v>
      </c>
      <c r="J136" s="12">
        <v>-1.1498818541913062E-2</v>
      </c>
      <c r="K136" s="12">
        <v>-1.354444694051497E-2</v>
      </c>
      <c r="L136" s="12">
        <v>2.5693691030333865E-2</v>
      </c>
      <c r="M136" s="12">
        <v>-6.4948397412602655E-3</v>
      </c>
      <c r="N136" s="12">
        <v>-7.6502652809070431E-3</v>
      </c>
      <c r="O136" s="12">
        <v>1.4512482738571116E-2</v>
      </c>
      <c r="P136">
        <f t="shared" si="6"/>
        <v>-6.8601551902382332E-2</v>
      </c>
      <c r="Q136">
        <f t="shared" si="7"/>
        <v>-8.0805699854466534E-2</v>
      </c>
      <c r="R136">
        <f t="shared" si="8"/>
        <v>0.15328766797705945</v>
      </c>
    </row>
    <row r="137" spans="1:18" ht="13">
      <c r="A137" s="8" t="s">
        <v>44</v>
      </c>
      <c r="B137" s="9">
        <v>2017</v>
      </c>
      <c r="C137" s="4">
        <v>-4.4525138202468559</v>
      </c>
      <c r="D137" s="10">
        <v>0.11842142545462789</v>
      </c>
      <c r="E137" s="11">
        <v>4.4999999999999997E-3</v>
      </c>
      <c r="F137" s="11">
        <v>2.06E-2</v>
      </c>
      <c r="G137" s="12">
        <v>0.24492764299976011</v>
      </c>
      <c r="H137" s="12">
        <v>-3.7037037037037035E-2</v>
      </c>
      <c r="I137" s="12">
        <v>-0.16107625961249669</v>
      </c>
      <c r="J137" s="12">
        <v>1.1021743934989203E-3</v>
      </c>
      <c r="K137" s="12">
        <v>-1.6666666666666663E-4</v>
      </c>
      <c r="L137" s="12">
        <v>-7.2484316825623509E-4</v>
      </c>
      <c r="M137" s="12">
        <v>5.0455094457950581E-3</v>
      </c>
      <c r="N137" s="12">
        <v>-7.629629629629629E-4</v>
      </c>
      <c r="O137" s="12">
        <v>-3.318170948017432E-3</v>
      </c>
      <c r="P137">
        <f t="shared" si="6"/>
        <v>2.9004680617273803E-2</v>
      </c>
      <c r="Q137">
        <f t="shared" si="7"/>
        <v>-4.3859787205417734E-3</v>
      </c>
      <c r="R137">
        <f t="shared" si="8"/>
        <v>-1.9074880270211567E-2</v>
      </c>
    </row>
    <row r="138" spans="1:18" ht="13">
      <c r="A138" s="8" t="s">
        <v>44</v>
      </c>
      <c r="B138" s="9">
        <v>2018</v>
      </c>
      <c r="C138" s="4">
        <v>-4.3783745318443161</v>
      </c>
      <c r="D138" s="10">
        <v>0.11555168196578434</v>
      </c>
      <c r="E138" s="11">
        <v>4.4000000000000003E-3</v>
      </c>
      <c r="F138" s="11">
        <v>2.06E-2</v>
      </c>
      <c r="G138" s="12">
        <v>0.28743305171710926</v>
      </c>
      <c r="H138" s="12">
        <v>-3.0541420076753308E-2</v>
      </c>
      <c r="I138" s="12">
        <v>-4.9243009966684008E-2</v>
      </c>
      <c r="J138" s="12">
        <v>1.2647054275552808E-3</v>
      </c>
      <c r="K138" s="12">
        <v>-1.3438224833771457E-4</v>
      </c>
      <c r="L138" s="12">
        <v>-2.1666924385340964E-4</v>
      </c>
      <c r="M138" s="12">
        <v>5.921120865372451E-3</v>
      </c>
      <c r="N138" s="12">
        <v>-6.2915325358111815E-4</v>
      </c>
      <c r="O138" s="12">
        <v>-1.0144060053136905E-3</v>
      </c>
      <c r="P138">
        <f t="shared" si="6"/>
        <v>3.3213372578470256E-2</v>
      </c>
      <c r="Q138">
        <f t="shared" si="7"/>
        <v>-3.529112459492419E-3</v>
      </c>
      <c r="R138">
        <f t="shared" si="8"/>
        <v>-5.6901126267082189E-3</v>
      </c>
    </row>
    <row r="139" spans="1:18" ht="13">
      <c r="A139" s="8" t="s">
        <v>44</v>
      </c>
      <c r="B139" s="9">
        <v>2019</v>
      </c>
      <c r="C139" s="4">
        <v>-3.9792230694596116</v>
      </c>
      <c r="D139" s="10">
        <v>0.13707617909150185</v>
      </c>
      <c r="E139" s="11">
        <v>4.4999999999999997E-3</v>
      </c>
      <c r="F139" s="11">
        <v>2.06E-2</v>
      </c>
      <c r="G139" s="12">
        <v>-9.3659763405470858E-2</v>
      </c>
      <c r="H139" s="12">
        <v>-4.9950321358710838E-2</v>
      </c>
      <c r="I139" s="12">
        <v>-0.16465558729468749</v>
      </c>
      <c r="J139" s="12">
        <v>-4.2146893532461885E-4</v>
      </c>
      <c r="K139" s="12">
        <v>-2.2477644611419874E-4</v>
      </c>
      <c r="L139" s="12">
        <v>-7.409501428260936E-4</v>
      </c>
      <c r="M139" s="12">
        <v>-1.9293911261526998E-3</v>
      </c>
      <c r="N139" s="12">
        <v>-1.0289766199894433E-3</v>
      </c>
      <c r="O139" s="12">
        <v>-3.3919050982705624E-3</v>
      </c>
      <c r="P139">
        <f t="shared" si="6"/>
        <v>-1.2838522502236015E-2</v>
      </c>
      <c r="Q139">
        <f t="shared" si="7"/>
        <v>-6.846999196244717E-3</v>
      </c>
      <c r="R139">
        <f t="shared" si="8"/>
        <v>-2.2570358772422999E-2</v>
      </c>
    </row>
    <row r="140" spans="1:18" ht="13">
      <c r="A140" s="8" t="s">
        <v>44</v>
      </c>
      <c r="B140" s="9">
        <v>2020</v>
      </c>
      <c r="C140" s="4">
        <v>-4.0115346523427133</v>
      </c>
      <c r="D140" s="10">
        <v>0.11228818233417101</v>
      </c>
      <c r="E140" s="11">
        <v>3.8999999999999998E-3</v>
      </c>
      <c r="F140" s="11">
        <v>2.0299999999999999E-2</v>
      </c>
      <c r="G140" s="12">
        <v>0.18346533601015641</v>
      </c>
      <c r="H140" s="12">
        <v>-2.0978698398117935E-3</v>
      </c>
      <c r="I140" s="12">
        <v>-8.4719043884789638E-2</v>
      </c>
      <c r="J140" s="12">
        <v>7.1551481043960995E-4</v>
      </c>
      <c r="K140" s="12">
        <v>-8.1816923752659937E-6</v>
      </c>
      <c r="L140" s="12">
        <v>-3.3040427115067956E-4</v>
      </c>
      <c r="M140" s="12">
        <v>3.7243463210061747E-3</v>
      </c>
      <c r="N140" s="12">
        <v>-4.2586757748179404E-5</v>
      </c>
      <c r="O140" s="12">
        <v>-1.7197965908612295E-3</v>
      </c>
      <c r="P140">
        <f t="shared" si="6"/>
        <v>2.0600989101908395E-2</v>
      </c>
      <c r="Q140">
        <f t="shared" si="7"/>
        <v>-2.3556599108614479E-4</v>
      </c>
      <c r="R140">
        <f t="shared" si="8"/>
        <v>-9.5129474469118937E-3</v>
      </c>
    </row>
    <row r="141" spans="1:18" ht="13">
      <c r="A141" s="8" t="s">
        <v>44</v>
      </c>
      <c r="B141" s="9">
        <v>2021</v>
      </c>
      <c r="C141" s="4">
        <v>-3.9873071724354823</v>
      </c>
      <c r="D141" s="10">
        <v>0.11744390747115482</v>
      </c>
      <c r="E141" s="11">
        <v>4.0000000000000001E-3</v>
      </c>
      <c r="F141" s="11">
        <v>1.95E-2</v>
      </c>
      <c r="G141" s="12">
        <v>5.5068417374013731E-2</v>
      </c>
      <c r="H141" s="12">
        <v>-5.7092345701161293E-3</v>
      </c>
      <c r="I141" s="12">
        <v>0</v>
      </c>
      <c r="J141" s="12">
        <v>2.2027366949605492E-4</v>
      </c>
      <c r="K141" s="12">
        <v>-2.2836938280464517E-5</v>
      </c>
      <c r="L141" s="12">
        <v>0</v>
      </c>
      <c r="M141" s="12">
        <v>1.0738341387932678E-3</v>
      </c>
      <c r="N141" s="12">
        <v>-1.1133007411726452E-4</v>
      </c>
      <c r="O141" s="12">
        <v>0</v>
      </c>
      <c r="P141">
        <f t="shared" si="6"/>
        <v>6.4674501146566032E-3</v>
      </c>
      <c r="Q141">
        <f t="shared" si="7"/>
        <v>-6.705148165838371E-4</v>
      </c>
      <c r="R141">
        <f t="shared" si="8"/>
        <v>0</v>
      </c>
    </row>
    <row r="142" spans="1:18" ht="13">
      <c r="A142" s="8" t="s">
        <v>45</v>
      </c>
      <c r="B142" s="9">
        <v>2017</v>
      </c>
      <c r="C142" s="4">
        <v>-1.865532755782372</v>
      </c>
      <c r="D142" s="10">
        <v>0.45825446317706459</v>
      </c>
      <c r="E142" s="11">
        <v>0</v>
      </c>
      <c r="F142" s="11">
        <v>0.1033</v>
      </c>
      <c r="G142" s="12">
        <v>1.2000220744460693E-2</v>
      </c>
      <c r="H142" s="12">
        <v>-0.13376286526309977</v>
      </c>
      <c r="I142" s="12">
        <v>0.1681382964046246</v>
      </c>
      <c r="J142" s="12">
        <v>0</v>
      </c>
      <c r="K142" s="12">
        <v>0</v>
      </c>
      <c r="L142" s="12">
        <v>0</v>
      </c>
      <c r="M142" s="12">
        <v>1.2396228029027897E-3</v>
      </c>
      <c r="N142" s="12">
        <v>-1.3817703981678206E-2</v>
      </c>
      <c r="O142" s="12">
        <v>1.7368686018597722E-2</v>
      </c>
      <c r="P142">
        <f t="shared" si="6"/>
        <v>5.4991547152591098E-3</v>
      </c>
      <c r="Q142">
        <f t="shared" si="7"/>
        <v>-6.1297430014167806E-2</v>
      </c>
      <c r="R142">
        <f t="shared" si="8"/>
        <v>7.7050124758407418E-2</v>
      </c>
    </row>
    <row r="143" spans="1:18" ht="13">
      <c r="A143" s="8" t="s">
        <v>45</v>
      </c>
      <c r="B143" s="9">
        <v>2018</v>
      </c>
      <c r="C143" s="4">
        <v>-1.9283305181286963</v>
      </c>
      <c r="D143" s="10">
        <v>0.44621115153955676</v>
      </c>
      <c r="E143" s="11">
        <v>0</v>
      </c>
      <c r="F143" s="11">
        <v>0.1033</v>
      </c>
      <c r="G143" s="12">
        <v>-0.14437173716077256</v>
      </c>
      <c r="H143" s="12">
        <v>5.4825766182963483E-2</v>
      </c>
      <c r="I143" s="12">
        <v>9.1999482260221754E-2</v>
      </c>
      <c r="J143" s="12">
        <v>0</v>
      </c>
      <c r="K143" s="12">
        <v>0</v>
      </c>
      <c r="L143" s="12">
        <v>0</v>
      </c>
      <c r="M143" s="12">
        <v>-1.4913600448707806E-2</v>
      </c>
      <c r="N143" s="12">
        <v>5.6635016467001279E-3</v>
      </c>
      <c r="O143" s="12">
        <v>9.503546517480907E-3</v>
      </c>
      <c r="P143">
        <f t="shared" si="6"/>
        <v>-6.4420279088274537E-2</v>
      </c>
      <c r="Q143">
        <f t="shared" si="7"/>
        <v>2.4463868262538626E-2</v>
      </c>
      <c r="R143">
        <f t="shared" si="8"/>
        <v>4.1051194920376573E-2</v>
      </c>
    </row>
    <row r="144" spans="1:18" ht="13">
      <c r="A144" s="8" t="s">
        <v>45</v>
      </c>
      <c r="B144" s="9">
        <v>2019</v>
      </c>
      <c r="C144" s="4">
        <v>-1.1090491734039725</v>
      </c>
      <c r="D144" s="10">
        <v>0.57125101617729557</v>
      </c>
      <c r="E144" s="11">
        <v>1.2999999999999999E-4</v>
      </c>
      <c r="F144" s="11">
        <v>0.1033</v>
      </c>
      <c r="G144" s="12">
        <v>-5.0728558967934514E-3</v>
      </c>
      <c r="H144" s="12">
        <v>-8.003894213781465E-2</v>
      </c>
      <c r="I144" s="12">
        <v>6.0530809013029312E-2</v>
      </c>
      <c r="J144" s="12">
        <v>-6.5947126658314857E-7</v>
      </c>
      <c r="K144" s="12">
        <v>-1.0405062477915903E-5</v>
      </c>
      <c r="L144" s="12">
        <v>7.8690051716938095E-6</v>
      </c>
      <c r="M144" s="12">
        <v>-5.2402601413876354E-4</v>
      </c>
      <c r="N144" s="12">
        <v>-8.2680227228362543E-3</v>
      </c>
      <c r="O144" s="12">
        <v>6.2528325710459283E-3</v>
      </c>
      <c r="P144">
        <f t="shared" si="6"/>
        <v>-2.8978740859642452E-3</v>
      </c>
      <c r="Q144">
        <f t="shared" si="7"/>
        <v>-4.5722327029982378E-2</v>
      </c>
      <c r="R144">
        <f t="shared" si="8"/>
        <v>3.4578286158726795E-2</v>
      </c>
    </row>
    <row r="145" spans="1:18" ht="13">
      <c r="A145" s="8" t="s">
        <v>45</v>
      </c>
      <c r="B145" s="9">
        <v>2020</v>
      </c>
      <c r="C145" s="4">
        <v>-0.26905440951718912</v>
      </c>
      <c r="D145" s="10">
        <v>0.71421356306039929</v>
      </c>
      <c r="E145" s="11">
        <v>6.1999999999999998E-3</v>
      </c>
      <c r="F145" s="11">
        <v>4.3299999999999998E-2</v>
      </c>
      <c r="G145" s="12">
        <v>0.33451340163344895</v>
      </c>
      <c r="H145" s="12">
        <v>-0.16435980628765964</v>
      </c>
      <c r="I145" s="12">
        <v>-0.12906004762894177</v>
      </c>
      <c r="J145" s="12">
        <v>2.0739830901273836E-3</v>
      </c>
      <c r="K145" s="12">
        <v>-1.0190307989834898E-3</v>
      </c>
      <c r="L145" s="12">
        <v>-8.0017229529943891E-4</v>
      </c>
      <c r="M145" s="12">
        <v>1.4484430290728339E-2</v>
      </c>
      <c r="N145" s="12">
        <v>-7.1167796122556621E-3</v>
      </c>
      <c r="O145" s="12">
        <v>-5.5883000623331786E-3</v>
      </c>
      <c r="P145">
        <f t="shared" si="6"/>
        <v>0.23891400847207997</v>
      </c>
      <c r="Q145">
        <f t="shared" si="7"/>
        <v>-0.11738800287262641</v>
      </c>
      <c r="R145">
        <f t="shared" si="8"/>
        <v>-9.2176436465811334E-2</v>
      </c>
    </row>
    <row r="146" spans="1:18" ht="13">
      <c r="A146" s="8" t="s">
        <v>45</v>
      </c>
      <c r="B146" s="9">
        <v>2021</v>
      </c>
      <c r="C146" s="4">
        <v>-1.8663688943304986</v>
      </c>
      <c r="D146" s="10">
        <v>0.45573211905266175</v>
      </c>
      <c r="E146" s="11">
        <v>1.0710000000000001E-2</v>
      </c>
      <c r="F146" s="11">
        <v>4.3299999999999998E-2</v>
      </c>
      <c r="G146" s="12">
        <v>-0.18304377888796144</v>
      </c>
      <c r="H146" s="12">
        <v>-0.11494605504129968</v>
      </c>
      <c r="I146" s="12">
        <v>0.29886036602838029</v>
      </c>
      <c r="J146" s="12">
        <v>-1.960398871890067E-3</v>
      </c>
      <c r="K146" s="12">
        <v>-1.2310722494923195E-3</v>
      </c>
      <c r="L146" s="12">
        <v>3.200794520163953E-3</v>
      </c>
      <c r="M146" s="12">
        <v>-7.9257956258487298E-3</v>
      </c>
      <c r="N146" s="12">
        <v>-4.9771641832882761E-3</v>
      </c>
      <c r="O146" s="12">
        <v>1.2940653849028866E-2</v>
      </c>
      <c r="P146">
        <f t="shared" si="6"/>
        <v>-8.3418929232017533E-2</v>
      </c>
      <c r="Q146">
        <f t="shared" si="7"/>
        <v>-5.2384609240715398E-2</v>
      </c>
      <c r="R146">
        <f t="shared" si="8"/>
        <v>0.13620026791096787</v>
      </c>
    </row>
    <row r="147" spans="1:18" ht="13">
      <c r="A147" s="8" t="s">
        <v>46</v>
      </c>
      <c r="B147" s="9">
        <v>2017</v>
      </c>
      <c r="C147" s="4">
        <v>-0.40821788963384059</v>
      </c>
      <c r="D147" s="10">
        <v>0.69429728592965068</v>
      </c>
      <c r="E147" s="11">
        <v>6.8000000000000005E-2</v>
      </c>
      <c r="F147" s="11">
        <v>2.3E-3</v>
      </c>
      <c r="G147" s="12">
        <v>-7.0801326926372601E-2</v>
      </c>
      <c r="H147" s="12">
        <v>-5.3617048372321389E-2</v>
      </c>
      <c r="I147" s="12">
        <v>0.12504119595494897</v>
      </c>
      <c r="J147" s="12">
        <v>-4.8144902309933376E-3</v>
      </c>
      <c r="K147" s="12">
        <v>-3.6459592893178547E-3</v>
      </c>
      <c r="L147" s="12">
        <v>8.5028013249365316E-3</v>
      </c>
      <c r="M147" s="12">
        <v>-1.6284305193065699E-4</v>
      </c>
      <c r="N147" s="12">
        <v>-1.2331921125633921E-4</v>
      </c>
      <c r="O147" s="12">
        <v>2.8759475069638262E-4</v>
      </c>
      <c r="P147">
        <f t="shared" si="6"/>
        <v>-4.9157169125198394E-2</v>
      </c>
      <c r="Q147">
        <f t="shared" si="7"/>
        <v>-3.7226171164461537E-2</v>
      </c>
      <c r="R147">
        <f t="shared" si="8"/>
        <v>8.6815762980918684E-2</v>
      </c>
    </row>
    <row r="148" spans="1:18" ht="13">
      <c r="A148" s="8" t="s">
        <v>46</v>
      </c>
      <c r="B148" s="9">
        <v>2018</v>
      </c>
      <c r="C148" s="4">
        <v>-0.36634602872606181</v>
      </c>
      <c r="D148" s="10">
        <v>0.69203017858215343</v>
      </c>
      <c r="E148" s="11">
        <v>0.04</v>
      </c>
      <c r="F148" s="11">
        <v>2.0479999999999999E-3</v>
      </c>
      <c r="G148" s="12">
        <v>8.377393814757518E-2</v>
      </c>
      <c r="H148" s="12">
        <v>-4.6398638111746909E-2</v>
      </c>
      <c r="I148" s="12">
        <v>-2.5886697773055904E-2</v>
      </c>
      <c r="J148" s="12">
        <v>3.3509575259030072E-3</v>
      </c>
      <c r="K148" s="12">
        <v>-1.8559455244698765E-3</v>
      </c>
      <c r="L148" s="12">
        <v>-1.0354679109222363E-3</v>
      </c>
      <c r="M148" s="12">
        <v>1.7156902532623397E-4</v>
      </c>
      <c r="N148" s="12">
        <v>-9.5024410852857666E-5</v>
      </c>
      <c r="O148" s="12">
        <v>-5.301595703921849E-5</v>
      </c>
      <c r="P148">
        <f t="shared" si="6"/>
        <v>5.797409337679673E-2</v>
      </c>
      <c r="Q148">
        <f t="shared" si="7"/>
        <v>-3.2109257818440921E-2</v>
      </c>
      <c r="R148">
        <f t="shared" si="8"/>
        <v>-1.7914376082790111E-2</v>
      </c>
    </row>
    <row r="149" spans="1:18" ht="13">
      <c r="A149" s="8" t="s">
        <v>46</v>
      </c>
      <c r="B149" s="9">
        <v>2019</v>
      </c>
      <c r="C149" s="4">
        <v>-0.51947744292319564</v>
      </c>
      <c r="D149" s="10">
        <v>0.67480690624949224</v>
      </c>
      <c r="E149" s="11">
        <v>0.04</v>
      </c>
      <c r="F149" s="11">
        <v>1.2639999999999999E-3</v>
      </c>
      <c r="G149" s="12">
        <v>3.3885810930859413E-2</v>
      </c>
      <c r="H149" s="12">
        <v>-1.2300505605051543E-2</v>
      </c>
      <c r="I149" s="12">
        <v>-2.532978059350811E-2</v>
      </c>
      <c r="J149" s="12">
        <v>1.3554324372343765E-3</v>
      </c>
      <c r="K149" s="12">
        <v>-4.9202022420206178E-4</v>
      </c>
      <c r="L149" s="12">
        <v>-1.0131912237403245E-3</v>
      </c>
      <c r="M149" s="12">
        <v>4.2831665016606294E-5</v>
      </c>
      <c r="N149" s="12">
        <v>-1.5547839084785149E-5</v>
      </c>
      <c r="O149" s="12">
        <v>-3.201684267019425E-5</v>
      </c>
      <c r="P149">
        <f t="shared" si="6"/>
        <v>2.2866379240008467E-2</v>
      </c>
      <c r="Q149">
        <f t="shared" si="7"/>
        <v>-8.3004661326493701E-3</v>
      </c>
      <c r="R149">
        <f t="shared" si="8"/>
        <v>-1.7092710878283634E-2</v>
      </c>
    </row>
    <row r="150" spans="1:18" ht="13">
      <c r="A150" s="8" t="s">
        <v>46</v>
      </c>
      <c r="B150" s="9">
        <v>2020</v>
      </c>
      <c r="C150" s="4">
        <v>-0.6176497702300302</v>
      </c>
      <c r="D150" s="10">
        <v>0.66552223576273151</v>
      </c>
      <c r="E150" s="11">
        <v>1.9E-2</v>
      </c>
      <c r="F150" s="11">
        <v>0</v>
      </c>
      <c r="G150" s="12">
        <v>8.3021066812054498E-2</v>
      </c>
      <c r="H150" s="12">
        <v>-2.3322893417135889E-2</v>
      </c>
      <c r="I150" s="12">
        <v>-3.5371149379439949E-2</v>
      </c>
      <c r="J150" s="12">
        <v>1.5774002694290354E-3</v>
      </c>
      <c r="K150" s="12">
        <v>-4.4313497492558186E-4</v>
      </c>
      <c r="L150" s="12">
        <v>-6.7205183820935903E-4</v>
      </c>
      <c r="M150" s="12">
        <v>0</v>
      </c>
      <c r="N150" s="12">
        <v>0</v>
      </c>
      <c r="O150" s="12">
        <v>0</v>
      </c>
      <c r="P150">
        <f t="shared" si="6"/>
        <v>5.5252366000165615E-2</v>
      </c>
      <c r="Q150">
        <f t="shared" si="7"/>
        <v>-1.552190417142817E-2</v>
      </c>
      <c r="R150">
        <f t="shared" si="8"/>
        <v>-2.3540286416502427E-2</v>
      </c>
    </row>
    <row r="151" spans="1:18" ht="13">
      <c r="A151" s="8" t="s">
        <v>46</v>
      </c>
      <c r="B151" s="9">
        <v>2021</v>
      </c>
      <c r="C151" s="4">
        <v>-0.42426914071061378</v>
      </c>
      <c r="D151" s="10">
        <v>0.68859526221115519</v>
      </c>
      <c r="E151" s="11">
        <v>1.9E-2</v>
      </c>
      <c r="F151" s="11">
        <v>0</v>
      </c>
      <c r="G151" s="12">
        <v>-6.4565729648312448E-2</v>
      </c>
      <c r="H151" s="12">
        <v>-2.0833026079104602E-3</v>
      </c>
      <c r="I151" s="12">
        <v>4.9175266216957482E-2</v>
      </c>
      <c r="J151" s="12">
        <v>-1.2267488633179364E-3</v>
      </c>
      <c r="K151" s="12">
        <v>-3.9582749550298743E-5</v>
      </c>
      <c r="L151" s="12">
        <v>9.343300581221921E-4</v>
      </c>
      <c r="M151" s="12">
        <v>0</v>
      </c>
      <c r="N151" s="12">
        <v>0</v>
      </c>
      <c r="O151" s="12">
        <v>0</v>
      </c>
      <c r="P151">
        <f t="shared" si="6"/>
        <v>-4.4459655537034265E-2</v>
      </c>
      <c r="Q151">
        <f t="shared" si="7"/>
        <v>-1.4345523055592868E-3</v>
      </c>
      <c r="R151">
        <f t="shared" si="8"/>
        <v>3.3861855334969201E-2</v>
      </c>
    </row>
    <row r="152" spans="1:18" ht="13">
      <c r="A152" s="8" t="s">
        <v>47</v>
      </c>
      <c r="B152" s="9">
        <v>2017</v>
      </c>
      <c r="C152" s="4">
        <v>-3.9175611252288554</v>
      </c>
      <c r="D152" s="10">
        <v>0.2479330949114</v>
      </c>
      <c r="E152" s="11">
        <v>0.2034</v>
      </c>
      <c r="F152" s="11">
        <v>1.83E-3</v>
      </c>
      <c r="G152" s="12">
        <v>0.23297845569448195</v>
      </c>
      <c r="H152" s="12">
        <v>-9.0526861041158091E-2</v>
      </c>
      <c r="I152" s="12">
        <v>-0.1404586224061512</v>
      </c>
      <c r="J152" s="12">
        <v>4.7387817888257626E-2</v>
      </c>
      <c r="K152" s="12">
        <v>-1.8413163535771555E-2</v>
      </c>
      <c r="L152" s="12">
        <v>-2.8569283797411155E-2</v>
      </c>
      <c r="M152" s="12">
        <v>4.2635057392090194E-4</v>
      </c>
      <c r="N152" s="12">
        <v>-1.6566415570531932E-4</v>
      </c>
      <c r="O152" s="12">
        <v>-2.5703927900325673E-4</v>
      </c>
      <c r="P152">
        <f t="shared" si="6"/>
        <v>5.7763069568011395E-2</v>
      </c>
      <c r="Q152">
        <f t="shared" si="7"/>
        <v>-2.2444604830548567E-2</v>
      </c>
      <c r="R152">
        <f t="shared" si="8"/>
        <v>-3.4824340960148782E-2</v>
      </c>
    </row>
    <row r="153" spans="1:18" ht="13">
      <c r="A153" s="8" t="s">
        <v>47</v>
      </c>
      <c r="B153" s="9">
        <v>2018</v>
      </c>
      <c r="C153" s="4">
        <v>-3.8870050248166628</v>
      </c>
      <c r="D153" s="10">
        <v>0.25303934321280591</v>
      </c>
      <c r="E153" s="11">
        <v>0.20130000000000001</v>
      </c>
      <c r="F153" s="11">
        <v>1.7899999999999999E-3</v>
      </c>
      <c r="G153" s="12">
        <v>9.4796651513176636E-2</v>
      </c>
      <c r="H153" s="12">
        <v>-0.17740932954895092</v>
      </c>
      <c r="I153" s="12">
        <v>-0.19696522322802146</v>
      </c>
      <c r="J153" s="12">
        <v>1.9082565949602458E-2</v>
      </c>
      <c r="K153" s="12">
        <v>-3.5712498038203817E-2</v>
      </c>
      <c r="L153" s="12">
        <v>-3.9649099435800722E-2</v>
      </c>
      <c r="M153" s="12">
        <v>1.6968600620858616E-4</v>
      </c>
      <c r="N153" s="12">
        <v>-3.1756269989262212E-4</v>
      </c>
      <c r="O153" s="12">
        <v>-3.5256774957815841E-4</v>
      </c>
      <c r="P153">
        <f t="shared" si="6"/>
        <v>2.398728243766746E-2</v>
      </c>
      <c r="Q153">
        <f t="shared" si="7"/>
        <v>-4.4891540228890782E-2</v>
      </c>
      <c r="R153">
        <f t="shared" si="8"/>
        <v>-4.9839950721382253E-2</v>
      </c>
    </row>
    <row r="154" spans="1:18" ht="13">
      <c r="A154" s="8" t="s">
        <v>47</v>
      </c>
      <c r="B154" s="9">
        <v>2019</v>
      </c>
      <c r="C154" s="4">
        <v>-3.7234841165649235</v>
      </c>
      <c r="D154" s="10">
        <v>0.26027554280889875</v>
      </c>
      <c r="E154" s="11">
        <v>0.152</v>
      </c>
      <c r="F154" s="11">
        <v>5.0000000000000001E-4</v>
      </c>
      <c r="G154" s="12">
        <v>-9.4374360668904367E-2</v>
      </c>
      <c r="H154" s="12">
        <v>0.1060139415681023</v>
      </c>
      <c r="I154" s="12">
        <v>-2.3906832759681074E-2</v>
      </c>
      <c r="J154" s="12">
        <v>-1.4344902821673463E-2</v>
      </c>
      <c r="K154" s="12">
        <v>1.611411911835155E-2</v>
      </c>
      <c r="L154" s="12">
        <v>-3.6338385794715232E-3</v>
      </c>
      <c r="M154" s="12">
        <v>-4.7187180334452185E-5</v>
      </c>
      <c r="N154" s="12">
        <v>5.3006970784051149E-5</v>
      </c>
      <c r="O154" s="12">
        <v>-1.1953416379840538E-5</v>
      </c>
      <c r="P154">
        <f t="shared" si="6"/>
        <v>-2.4563337950341869E-2</v>
      </c>
      <c r="Q154">
        <f t="shared" si="7"/>
        <v>2.7592836186948702E-2</v>
      </c>
      <c r="R154">
        <f t="shared" si="8"/>
        <v>-6.2223638733675543E-3</v>
      </c>
    </row>
    <row r="155" spans="1:18" ht="13">
      <c r="A155" s="8" t="s">
        <v>47</v>
      </c>
      <c r="B155" s="9">
        <v>2020</v>
      </c>
      <c r="C155" s="4">
        <v>-3.6444595594330065</v>
      </c>
      <c r="D155" s="10">
        <v>0.22681606734731424</v>
      </c>
      <c r="E155" s="11">
        <v>0.1181</v>
      </c>
      <c r="F155" s="11">
        <v>8.7000000000000001E-5</v>
      </c>
      <c r="G155" s="12">
        <v>0.22354446340691747</v>
      </c>
      <c r="H155" s="12">
        <v>-0.12221557637578642</v>
      </c>
      <c r="I155" s="12">
        <v>-0.13152540650641195</v>
      </c>
      <c r="J155" s="12">
        <v>2.6400601128356953E-2</v>
      </c>
      <c r="K155" s="12">
        <v>-1.4433659569980377E-2</v>
      </c>
      <c r="L155" s="12">
        <v>-1.5533150508407251E-2</v>
      </c>
      <c r="M155" s="12">
        <v>1.944836831640182E-5</v>
      </c>
      <c r="N155" s="12">
        <v>-1.0632755144693418E-5</v>
      </c>
      <c r="O155" s="12">
        <v>-1.144271036605784E-5</v>
      </c>
      <c r="P155">
        <f t="shared" si="6"/>
        <v>5.0703476067222621E-2</v>
      </c>
      <c r="Q155">
        <f t="shared" si="7"/>
        <v>-2.77204564021412E-2</v>
      </c>
      <c r="R155">
        <f t="shared" si="8"/>
        <v>-2.9832075460041216E-2</v>
      </c>
    </row>
    <row r="156" spans="1:18" ht="13">
      <c r="A156" s="8" t="s">
        <v>47</v>
      </c>
      <c r="B156" s="9">
        <v>2021</v>
      </c>
      <c r="C156" s="4">
        <v>-3.8272102451663144</v>
      </c>
      <c r="D156" s="10">
        <v>0.20340874902633663</v>
      </c>
      <c r="E156" s="11">
        <v>8.8999999999999999E-3</v>
      </c>
      <c r="F156" s="11">
        <v>9.3999999999999994E-5</v>
      </c>
      <c r="G156" s="12">
        <v>9.7462499364628835E-2</v>
      </c>
      <c r="H156" s="12">
        <v>1.6588338569707425E-2</v>
      </c>
      <c r="I156" s="12">
        <v>-6.7989520840860476E-2</v>
      </c>
      <c r="J156" s="12">
        <v>8.6741624434519661E-4</v>
      </c>
      <c r="K156" s="12">
        <v>1.4763621327039609E-4</v>
      </c>
      <c r="L156" s="12">
        <v>-6.0510673548365825E-4</v>
      </c>
      <c r="M156" s="12">
        <v>9.1614749402751091E-6</v>
      </c>
      <c r="N156" s="12">
        <v>1.5593038255524978E-6</v>
      </c>
      <c r="O156" s="12">
        <v>-6.3910149590408846E-6</v>
      </c>
      <c r="P156">
        <f t="shared" si="6"/>
        <v>1.9824725072739281E-2</v>
      </c>
      <c r="Q156">
        <f t="shared" si="7"/>
        <v>3.3742131968895173E-3</v>
      </c>
      <c r="R156">
        <f t="shared" si="8"/>
        <v>-1.3829663381139471E-2</v>
      </c>
    </row>
    <row r="157" spans="1:18" ht="13">
      <c r="A157" s="8" t="s">
        <v>48</v>
      </c>
      <c r="B157" s="9">
        <v>2017</v>
      </c>
      <c r="C157" s="4">
        <v>-1.6982214814656564</v>
      </c>
      <c r="D157" s="10">
        <v>0.53980338492936908</v>
      </c>
      <c r="E157" s="11">
        <v>0.42399999999999999</v>
      </c>
      <c r="F157" s="11">
        <v>2.7300000000000001E-2</v>
      </c>
      <c r="G157" s="12">
        <v>6.9757310397133829E-2</v>
      </c>
      <c r="H157" s="12">
        <v>-6.6714416124940001E-2</v>
      </c>
      <c r="I157" s="12">
        <v>-2.5434081499154958E-2</v>
      </c>
      <c r="J157" s="12">
        <v>2.9577099608384741E-2</v>
      </c>
      <c r="K157" s="12">
        <v>-2.8286912436974558E-2</v>
      </c>
      <c r="L157" s="12">
        <v>-1.0784050555641701E-2</v>
      </c>
      <c r="M157" s="12">
        <v>1.9043745738417535E-3</v>
      </c>
      <c r="N157" s="12">
        <v>-1.8213035602108621E-3</v>
      </c>
      <c r="O157" s="12">
        <v>-6.9435042492693038E-4</v>
      </c>
      <c r="P157">
        <f t="shared" si="6"/>
        <v>3.765523227594151E-2</v>
      </c>
      <c r="Q157">
        <f t="shared" si="7"/>
        <v>-3.6012667647829094E-2</v>
      </c>
      <c r="R157">
        <f t="shared" si="8"/>
        <v>-1.3729403285813287E-2</v>
      </c>
    </row>
    <row r="158" spans="1:18" ht="13">
      <c r="A158" s="8" t="s">
        <v>48</v>
      </c>
      <c r="B158" s="9">
        <v>2018</v>
      </c>
      <c r="C158" s="4">
        <v>-1.7088003341101203</v>
      </c>
      <c r="D158" s="10">
        <v>0.52669178337996858</v>
      </c>
      <c r="E158" s="11">
        <v>0.4713</v>
      </c>
      <c r="F158" s="11">
        <v>4.65E-2</v>
      </c>
      <c r="G158" s="12">
        <v>-5.5512489671172199E-2</v>
      </c>
      <c r="H158" s="12">
        <v>6.0699238979160804E-2</v>
      </c>
      <c r="I158" s="12">
        <v>-4.4910614067202155E-2</v>
      </c>
      <c r="J158" s="12">
        <v>-2.6163036382023459E-2</v>
      </c>
      <c r="K158" s="12">
        <v>2.8607551330878486E-2</v>
      </c>
      <c r="L158" s="12">
        <v>-2.1166372409872375E-2</v>
      </c>
      <c r="M158" s="12">
        <v>-2.5813307697095072E-3</v>
      </c>
      <c r="N158" s="12">
        <v>2.8225146125309773E-3</v>
      </c>
      <c r="O158" s="12">
        <v>-2.0883435541249004E-3</v>
      </c>
      <c r="P158">
        <f t="shared" si="6"/>
        <v>-2.9237972184771772E-2</v>
      </c>
      <c r="Q158">
        <f t="shared" si="7"/>
        <v>3.1969790427741104E-2</v>
      </c>
      <c r="R158">
        <f t="shared" si="8"/>
        <v>-2.3654051415744209E-2</v>
      </c>
    </row>
    <row r="159" spans="1:18" ht="13">
      <c r="A159" s="8" t="s">
        <v>48</v>
      </c>
      <c r="B159" s="9">
        <v>2019</v>
      </c>
      <c r="C159" s="4">
        <v>-1.7853624289365051</v>
      </c>
      <c r="D159" s="10">
        <v>0.47715242961314375</v>
      </c>
      <c r="E159" s="11">
        <v>0.47599999999999998</v>
      </c>
      <c r="F159" s="11">
        <v>3.6900000000000002E-2</v>
      </c>
      <c r="G159" s="12">
        <v>-2.0922061427384217E-2</v>
      </c>
      <c r="H159" s="12">
        <v>4.7482738572418234E-2</v>
      </c>
      <c r="I159" s="12">
        <v>-1.1269206166320366E-2</v>
      </c>
      <c r="J159" s="12">
        <v>-9.958901239434886E-3</v>
      </c>
      <c r="K159" s="12">
        <v>2.260178356047108E-2</v>
      </c>
      <c r="L159" s="12">
        <v>-5.3641421351684941E-3</v>
      </c>
      <c r="M159" s="12">
        <v>-7.7202406667047768E-4</v>
      </c>
      <c r="N159" s="12">
        <v>1.7521130533222329E-3</v>
      </c>
      <c r="O159" s="12">
        <v>-4.1583370753722152E-4</v>
      </c>
      <c r="P159">
        <f t="shared" si="6"/>
        <v>-9.9830124425918168E-3</v>
      </c>
      <c r="Q159">
        <f t="shared" si="7"/>
        <v>2.2656504074515096E-2</v>
      </c>
      <c r="R159">
        <f t="shared" si="8"/>
        <v>-5.3771291020711836E-3</v>
      </c>
    </row>
    <row r="160" spans="1:18" ht="13">
      <c r="A160" s="8" t="s">
        <v>48</v>
      </c>
      <c r="B160" s="9">
        <v>2020</v>
      </c>
      <c r="C160" s="4">
        <v>-2.0967240264722404</v>
      </c>
      <c r="D160" s="10">
        <v>0.40676527554857655</v>
      </c>
      <c r="E160" s="11">
        <v>0.46200000000000002</v>
      </c>
      <c r="F160" s="11">
        <v>2.4000000000000001E-4</v>
      </c>
      <c r="G160" s="12">
        <v>-4.003867090689521E-2</v>
      </c>
      <c r="H160" s="12">
        <v>9.8295147566861266E-2</v>
      </c>
      <c r="I160" s="12">
        <v>-1.6182829447724666E-2</v>
      </c>
      <c r="J160" s="12">
        <v>-1.8497865958985588E-2</v>
      </c>
      <c r="K160" s="12">
        <v>4.5412358175889907E-2</v>
      </c>
      <c r="L160" s="12">
        <v>-7.4764672048487956E-3</v>
      </c>
      <c r="M160" s="12">
        <v>-9.609281017654851E-6</v>
      </c>
      <c r="N160" s="12">
        <v>2.3590835416046704E-5</v>
      </c>
      <c r="O160" s="12">
        <v>-3.8838790674539196E-6</v>
      </c>
      <c r="P160">
        <f t="shared" si="6"/>
        <v>-1.6286341004042006E-2</v>
      </c>
      <c r="Q160">
        <f t="shared" si="7"/>
        <v>3.9983052785122319E-2</v>
      </c>
      <c r="R160">
        <f t="shared" si="8"/>
        <v>-6.5826130794593429E-3</v>
      </c>
    </row>
    <row r="161" spans="1:18" ht="13">
      <c r="A161" s="8" t="s">
        <v>48</v>
      </c>
      <c r="B161" s="9">
        <v>2021</v>
      </c>
      <c r="C161" s="4">
        <v>-1.9928953603076702</v>
      </c>
      <c r="D161" s="10">
        <v>0.40769904396618023</v>
      </c>
      <c r="E161" s="11">
        <v>0.46500000000000002</v>
      </c>
      <c r="F161" s="11">
        <v>2.2899999999999999E-3</v>
      </c>
      <c r="G161" s="12">
        <v>3.0246013318001249E-2</v>
      </c>
      <c r="H161" s="12">
        <v>-4.887274417412852E-2</v>
      </c>
      <c r="I161" s="12">
        <v>-1.815030824557266E-2</v>
      </c>
      <c r="J161" s="12">
        <v>1.4064396192870582E-2</v>
      </c>
      <c r="K161" s="12">
        <v>-2.2725826040969763E-2</v>
      </c>
      <c r="L161" s="12">
        <v>-8.4398933341912879E-3</v>
      </c>
      <c r="M161" s="12">
        <v>6.9263370498222858E-5</v>
      </c>
      <c r="N161" s="12">
        <v>-1.1191858415875431E-4</v>
      </c>
      <c r="O161" s="12">
        <v>-4.1564205882361388E-5</v>
      </c>
      <c r="P161">
        <f t="shared" si="6"/>
        <v>1.2331270713537464E-2</v>
      </c>
      <c r="Q161">
        <f t="shared" si="7"/>
        <v>-1.9925371075795902E-2</v>
      </c>
      <c r="R161">
        <f t="shared" si="8"/>
        <v>-7.3998633194114517E-3</v>
      </c>
    </row>
    <row r="162" spans="1:18" ht="13">
      <c r="A162" s="8" t="s">
        <v>49</v>
      </c>
      <c r="B162" s="9">
        <v>2017</v>
      </c>
      <c r="C162" s="4">
        <v>-0.63166118804274618</v>
      </c>
      <c r="D162" s="10">
        <v>0.67250222206520049</v>
      </c>
      <c r="E162" s="11">
        <v>0.27950000000000003</v>
      </c>
      <c r="F162" s="11">
        <v>9.9570000000000006E-2</v>
      </c>
      <c r="G162" s="12">
        <v>3.3279842614561871E-2</v>
      </c>
      <c r="H162" s="12">
        <v>-0.14249690398446974</v>
      </c>
      <c r="I162" s="12">
        <v>0.11322003280102941</v>
      </c>
      <c r="J162" s="12">
        <v>9.3017160107700444E-3</v>
      </c>
      <c r="K162" s="12">
        <v>-3.9827884663659295E-2</v>
      </c>
      <c r="L162" s="12">
        <v>3.1644999167887725E-2</v>
      </c>
      <c r="M162" s="12">
        <v>3.3136739291319255E-3</v>
      </c>
      <c r="N162" s="12">
        <v>-1.4188416729733653E-2</v>
      </c>
      <c r="O162" s="12">
        <v>1.1273318665998499E-2</v>
      </c>
      <c r="P162">
        <f t="shared" si="6"/>
        <v>2.2380768108273011E-2</v>
      </c>
      <c r="Q162">
        <f t="shared" si="7"/>
        <v>-9.5829484566967424E-2</v>
      </c>
      <c r="R162">
        <f t="shared" si="8"/>
        <v>7.614072364098716E-2</v>
      </c>
    </row>
    <row r="163" spans="1:18" ht="13">
      <c r="A163" s="8" t="s">
        <v>49</v>
      </c>
      <c r="B163" s="9">
        <v>2018</v>
      </c>
      <c r="C163" s="4">
        <v>-0.62590826663755217</v>
      </c>
      <c r="D163" s="10">
        <v>0.66816792618073806</v>
      </c>
      <c r="E163" s="11">
        <v>0.28560000000000002</v>
      </c>
      <c r="F163" s="11">
        <v>0.1002</v>
      </c>
      <c r="G163" s="12">
        <v>2.1983034932329337E-2</v>
      </c>
      <c r="H163" s="12">
        <v>-4.4972326805529225E-3</v>
      </c>
      <c r="I163" s="12">
        <v>-5.4057531352420174E-3</v>
      </c>
      <c r="J163" s="12">
        <v>6.2783547766732594E-3</v>
      </c>
      <c r="K163" s="12">
        <v>-1.2844096535659147E-3</v>
      </c>
      <c r="L163" s="12">
        <v>-1.5438830954251203E-3</v>
      </c>
      <c r="M163" s="12">
        <v>2.2027001002193993E-3</v>
      </c>
      <c r="N163" s="12">
        <v>-4.5062271459140284E-4</v>
      </c>
      <c r="O163" s="12">
        <v>-5.4165646415125016E-4</v>
      </c>
      <c r="P163">
        <f t="shared" si="6"/>
        <v>1.4688358861893215E-2</v>
      </c>
      <c r="Q163">
        <f t="shared" si="7"/>
        <v>-3.0049066337172877E-3</v>
      </c>
      <c r="R163">
        <f t="shared" si="8"/>
        <v>-3.6119508618196816E-3</v>
      </c>
    </row>
    <row r="164" spans="1:18" ht="13">
      <c r="A164" s="8" t="s">
        <v>49</v>
      </c>
      <c r="B164" s="9">
        <v>2019</v>
      </c>
      <c r="C164" s="4">
        <v>-0.52031513224365789</v>
      </c>
      <c r="D164" s="10">
        <v>0.67820531060096623</v>
      </c>
      <c r="E164" s="11">
        <v>0.18770000000000001</v>
      </c>
      <c r="F164" s="11">
        <v>8.5870000000000002E-2</v>
      </c>
      <c r="G164" s="12">
        <v>2.2528168771390019E-2</v>
      </c>
      <c r="H164" s="12">
        <v>-6.2589856856426082E-2</v>
      </c>
      <c r="I164" s="12">
        <v>-1.3192113185839223E-2</v>
      </c>
      <c r="J164" s="12">
        <v>4.2285372783899067E-3</v>
      </c>
      <c r="K164" s="12">
        <v>-1.1748116131951177E-2</v>
      </c>
      <c r="L164" s="12">
        <v>-2.4761596449820221E-3</v>
      </c>
      <c r="M164" s="12">
        <v>1.934493852399261E-3</v>
      </c>
      <c r="N164" s="12">
        <v>-5.374591008261308E-3</v>
      </c>
      <c r="O164" s="12">
        <v>-1.132806759268014E-3</v>
      </c>
      <c r="P164">
        <f t="shared" si="6"/>
        <v>1.5278723698871555E-2</v>
      </c>
      <c r="Q164">
        <f t="shared" si="7"/>
        <v>-4.2448773309782466E-2</v>
      </c>
      <c r="R164">
        <f t="shared" si="8"/>
        <v>-8.9469612206851921E-3</v>
      </c>
    </row>
    <row r="165" spans="1:18" ht="13">
      <c r="A165" s="8" t="s">
        <v>49</v>
      </c>
      <c r="B165" s="9">
        <v>2020</v>
      </c>
      <c r="C165" s="4">
        <v>-0.40173784918644656</v>
      </c>
      <c r="D165" s="10">
        <v>0.70225199289111506</v>
      </c>
      <c r="E165" s="11">
        <v>5.0500000000000003E-2</v>
      </c>
      <c r="F165" s="11">
        <v>8.5870000000000002E-2</v>
      </c>
      <c r="G165" s="12">
        <v>6.6659589855383672E-2</v>
      </c>
      <c r="H165" s="12">
        <v>-2.4682696600548507E-2</v>
      </c>
      <c r="I165" s="12">
        <v>-1.973216549763188E-2</v>
      </c>
      <c r="J165" s="12">
        <v>3.3663092876968755E-3</v>
      </c>
      <c r="K165" s="12">
        <v>-1.2464761783276997E-3</v>
      </c>
      <c r="L165" s="12">
        <v>-9.9647435763040989E-4</v>
      </c>
      <c r="M165" s="12">
        <v>5.7240589808817957E-3</v>
      </c>
      <c r="N165" s="12">
        <v>-2.1195031570891004E-3</v>
      </c>
      <c r="O165" s="12">
        <v>-1.6944010512816496E-3</v>
      </c>
      <c r="P165">
        <f t="shared" si="6"/>
        <v>4.6811829821247541E-2</v>
      </c>
      <c r="Q165">
        <f t="shared" si="7"/>
        <v>-1.7333472877661939E-2</v>
      </c>
      <c r="R165">
        <f t="shared" si="8"/>
        <v>-1.3856952544769289E-2</v>
      </c>
    </row>
    <row r="166" spans="1:18" ht="13">
      <c r="A166" s="8" t="s">
        <v>49</v>
      </c>
      <c r="B166" s="9">
        <v>2021</v>
      </c>
      <c r="C166" s="4">
        <v>-9.5359676726775991E-2</v>
      </c>
      <c r="D166" s="10">
        <v>0.73607458208658005</v>
      </c>
      <c r="E166" s="11">
        <v>1.21E-2</v>
      </c>
      <c r="F166" s="11">
        <v>5.2699999999999997E-2</v>
      </c>
      <c r="G166" s="12">
        <v>5.4237005848779621E-2</v>
      </c>
      <c r="H166" s="12">
        <v>-8.071770096466066E-2</v>
      </c>
      <c r="I166" s="12">
        <v>3.3522867186880634E-2</v>
      </c>
      <c r="J166" s="12">
        <v>6.5626777077023343E-4</v>
      </c>
      <c r="K166" s="12">
        <v>-9.7668418167239394E-4</v>
      </c>
      <c r="L166" s="12">
        <v>4.0562669296125567E-4</v>
      </c>
      <c r="M166" s="12">
        <v>2.858290208230686E-3</v>
      </c>
      <c r="N166" s="12">
        <v>-4.2538228408376165E-3</v>
      </c>
      <c r="O166" s="12">
        <v>1.7666551007486093E-3</v>
      </c>
      <c r="P166">
        <f t="shared" si="6"/>
        <v>3.9922481413767856E-2</v>
      </c>
      <c r="Q166">
        <f t="shared" si="7"/>
        <v>-5.9414248004552132E-2</v>
      </c>
      <c r="R166">
        <f t="shared" si="8"/>
        <v>2.4675330454927091E-2</v>
      </c>
    </row>
    <row r="167" spans="1:18" ht="13">
      <c r="A167" s="8" t="s">
        <v>51</v>
      </c>
      <c r="B167" s="9">
        <v>2017</v>
      </c>
      <c r="C167" s="4">
        <v>-0.83042038552727238</v>
      </c>
      <c r="D167" s="10">
        <v>0.6587309750727246</v>
      </c>
      <c r="E167" s="11">
        <v>9.5500000000000002E-2</v>
      </c>
      <c r="F167" s="11">
        <v>6.4999999999999997E-3</v>
      </c>
      <c r="G167" s="12">
        <v>-6.4035454267851691E-2</v>
      </c>
      <c r="H167" s="12">
        <v>-0.16060172610533419</v>
      </c>
      <c r="I167" s="12">
        <v>-1.2885520965590395E-2</v>
      </c>
      <c r="J167" s="12">
        <v>-6.1153858825798366E-3</v>
      </c>
      <c r="K167" s="12">
        <v>-1.5337464843059414E-2</v>
      </c>
      <c r="L167" s="12">
        <v>-1.2305672522138827E-3</v>
      </c>
      <c r="M167" s="12">
        <v>-4.1623045274103598E-4</v>
      </c>
      <c r="N167" s="12">
        <v>-1.0439112196846722E-3</v>
      </c>
      <c r="O167" s="12">
        <v>-8.3755886276337571E-5</v>
      </c>
      <c r="P167">
        <f t="shared" si="6"/>
        <v>-4.2182137229086807E-2</v>
      </c>
      <c r="Q167">
        <f t="shared" si="7"/>
        <v>-0.10579333163572943</v>
      </c>
      <c r="R167">
        <f t="shared" si="8"/>
        <v>-8.4880917899833961E-3</v>
      </c>
    </row>
    <row r="168" spans="1:18" ht="13">
      <c r="A168" s="8" t="s">
        <v>51</v>
      </c>
      <c r="B168" s="9">
        <v>2018</v>
      </c>
      <c r="C168" s="4">
        <v>-0.5757538084413123</v>
      </c>
      <c r="D168" s="10">
        <v>0.70177303782912415</v>
      </c>
      <c r="E168" s="11">
        <v>1.72E-2</v>
      </c>
      <c r="F168" s="11">
        <v>6.6E-3</v>
      </c>
      <c r="G168" s="12">
        <v>0.28797262828448328</v>
      </c>
      <c r="H168" s="12">
        <v>-0.26576580258238203</v>
      </c>
      <c r="I168" s="12">
        <v>-2.9972078787989288E-2</v>
      </c>
      <c r="J168" s="12">
        <v>4.9531292064931122E-3</v>
      </c>
      <c r="K168" s="12">
        <v>-4.5711718044169711E-3</v>
      </c>
      <c r="L168" s="12">
        <v>-5.155197551534158E-4</v>
      </c>
      <c r="M168" s="12">
        <v>1.9006193466775897E-3</v>
      </c>
      <c r="N168" s="12">
        <v>-1.7540542970437213E-3</v>
      </c>
      <c r="O168" s="12">
        <v>-1.9781572000072929E-4</v>
      </c>
      <c r="P168">
        <f t="shared" si="6"/>
        <v>0.20209142616283898</v>
      </c>
      <c r="Q168">
        <f t="shared" si="7"/>
        <v>-0.18650727462933353</v>
      </c>
      <c r="R168">
        <f t="shared" si="8"/>
        <v>-2.1033596781101095E-2</v>
      </c>
    </row>
    <row r="169" spans="1:18" ht="13">
      <c r="A169" s="8" t="s">
        <v>51</v>
      </c>
      <c r="B169" s="9">
        <v>2019</v>
      </c>
      <c r="C169" s="4">
        <v>-1.5783001789590394</v>
      </c>
      <c r="D169" s="10">
        <v>0.62016854692839762</v>
      </c>
      <c r="E169" s="11">
        <v>5.91E-2</v>
      </c>
      <c r="F169" s="11">
        <v>6.7000000000000002E-3</v>
      </c>
      <c r="G169" s="12">
        <v>0.25758013269520702</v>
      </c>
      <c r="H169" s="12">
        <v>-0.26628337154848558</v>
      </c>
      <c r="I169" s="12">
        <v>-7.6535134115171526E-3</v>
      </c>
      <c r="J169" s="12">
        <v>1.5222985842286735E-2</v>
      </c>
      <c r="K169" s="12">
        <v>-1.5737347258515499E-2</v>
      </c>
      <c r="L169" s="12">
        <v>-4.5232264262066372E-4</v>
      </c>
      <c r="M169" s="12">
        <v>1.7257868890578872E-3</v>
      </c>
      <c r="N169" s="12">
        <v>-1.7840985893748534E-3</v>
      </c>
      <c r="O169" s="12">
        <v>-5.1278539857164925E-5</v>
      </c>
      <c r="P169">
        <f t="shared" si="6"/>
        <v>0.15974309661121039</v>
      </c>
      <c r="Q169">
        <f t="shared" si="7"/>
        <v>-0.16514057160441892</v>
      </c>
      <c r="R169">
        <f t="shared" si="8"/>
        <v>-4.7464682913175961E-3</v>
      </c>
    </row>
    <row r="170" spans="1:18" ht="13">
      <c r="A170" s="8" t="s">
        <v>51</v>
      </c>
      <c r="B170" s="9">
        <v>2020</v>
      </c>
      <c r="C170" s="4">
        <v>-1.9721217489781417</v>
      </c>
      <c r="D170" s="10">
        <v>0.51617702620216577</v>
      </c>
      <c r="E170" s="11">
        <v>3.9699999999999999E-2</v>
      </c>
      <c r="F170" s="11">
        <v>1.09E-2</v>
      </c>
      <c r="G170" s="12">
        <v>-0.14944103477068676</v>
      </c>
      <c r="H170" s="12">
        <v>0.17557831776895039</v>
      </c>
      <c r="I170" s="12">
        <v>-4.7794658948609334E-2</v>
      </c>
      <c r="J170" s="12">
        <v>-5.9328090803962641E-3</v>
      </c>
      <c r="K170" s="12">
        <v>6.9704592154273305E-3</v>
      </c>
      <c r="L170" s="12">
        <v>-1.8974479602597905E-3</v>
      </c>
      <c r="M170" s="12">
        <v>-1.6289072790004857E-3</v>
      </c>
      <c r="N170" s="12">
        <v>1.9138036636815593E-3</v>
      </c>
      <c r="O170" s="12">
        <v>-5.2096178253984175E-4</v>
      </c>
      <c r="P170">
        <f t="shared" si="6"/>
        <v>-7.7138028920507543E-2</v>
      </c>
      <c r="Q170">
        <f t="shared" si="7"/>
        <v>9.0629493931555685E-2</v>
      </c>
      <c r="R170">
        <f t="shared" si="8"/>
        <v>-2.4670504924439896E-2</v>
      </c>
    </row>
    <row r="171" spans="1:18" ht="13">
      <c r="A171" s="8" t="s">
        <v>51</v>
      </c>
      <c r="B171" s="9">
        <v>2021</v>
      </c>
      <c r="C171" s="4">
        <v>-2.7491430147334652</v>
      </c>
      <c r="D171" s="10">
        <v>0.38578464198448836</v>
      </c>
      <c r="E171" s="11">
        <v>2.52E-2</v>
      </c>
      <c r="F171" s="11">
        <v>7.4999999999999997E-3</v>
      </c>
      <c r="G171" s="12">
        <v>-0.20789222020904677</v>
      </c>
      <c r="H171" s="12">
        <v>0.25634822162449078</v>
      </c>
      <c r="I171" s="12">
        <v>-5.9140140155833222E-2</v>
      </c>
      <c r="J171" s="12">
        <v>-5.2388839492679782E-3</v>
      </c>
      <c r="K171" s="12">
        <v>6.4599751849371678E-3</v>
      </c>
      <c r="L171" s="12">
        <v>-1.4903315319269971E-3</v>
      </c>
      <c r="M171" s="12">
        <v>-1.5591916515678508E-3</v>
      </c>
      <c r="N171" s="12">
        <v>1.9226116621836808E-3</v>
      </c>
      <c r="O171" s="12">
        <v>-4.4355105116874912E-4</v>
      </c>
      <c r="P171">
        <f t="shared" si="6"/>
        <v>-8.020162574470753E-2</v>
      </c>
      <c r="Q171">
        <f t="shared" si="7"/>
        <v>9.889520690276446E-2</v>
      </c>
      <c r="R171">
        <f t="shared" si="8"/>
        <v>-2.2815357796930582E-2</v>
      </c>
    </row>
    <row r="172" spans="1:18" ht="13">
      <c r="A172" s="8" t="s">
        <v>52</v>
      </c>
      <c r="B172" s="9">
        <v>2017</v>
      </c>
      <c r="C172" s="4">
        <v>-1.7232306996892177</v>
      </c>
      <c r="D172" s="10">
        <v>0.48236511648527036</v>
      </c>
      <c r="E172" s="11">
        <v>3.8800000000000001E-2</v>
      </c>
      <c r="F172" s="11">
        <v>0.38163000000000002</v>
      </c>
      <c r="G172" s="12">
        <v>-1.5149458027619534E-2</v>
      </c>
      <c r="H172" s="12">
        <v>6.0944184603107757E-2</v>
      </c>
      <c r="I172" s="12">
        <v>-3.6110710881564076E-2</v>
      </c>
      <c r="J172" s="12">
        <v>-5.87798971471638E-4</v>
      </c>
      <c r="K172" s="12">
        <v>2.3646343626005811E-3</v>
      </c>
      <c r="L172" s="12">
        <v>-1.4010955822046861E-3</v>
      </c>
      <c r="M172" s="12">
        <v>-5.7814876670804431E-3</v>
      </c>
      <c r="N172" s="12">
        <v>2.3258129170084015E-2</v>
      </c>
      <c r="O172" s="12">
        <v>-1.3780930593731299E-2</v>
      </c>
      <c r="P172">
        <f t="shared" si="6"/>
        <v>-7.3075700861814112E-3</v>
      </c>
      <c r="Q172">
        <f t="shared" si="7"/>
        <v>2.9397348705177892E-2</v>
      </c>
      <c r="R172">
        <f t="shared" si="8"/>
        <v>-1.7418547260751576E-2</v>
      </c>
    </row>
    <row r="173" spans="1:18" ht="13">
      <c r="A173" s="8" t="s">
        <v>52</v>
      </c>
      <c r="B173" s="9">
        <v>2018</v>
      </c>
      <c r="C173" s="4">
        <v>-1.4990358148035496</v>
      </c>
      <c r="D173" s="10">
        <v>0.50175175726593657</v>
      </c>
      <c r="E173" s="11">
        <v>2.7699999999999999E-2</v>
      </c>
      <c r="F173" s="11">
        <v>0.32319999999999999</v>
      </c>
      <c r="G173" s="12">
        <v>-1.1223916444483617E-2</v>
      </c>
      <c r="H173" s="12">
        <v>-2.9843223233369321E-3</v>
      </c>
      <c r="I173" s="12">
        <v>5.7276403058413939E-3</v>
      </c>
      <c r="J173" s="12">
        <v>-3.109024855121962E-4</v>
      </c>
      <c r="K173" s="12">
        <v>-8.2665728356433009E-5</v>
      </c>
      <c r="L173" s="12">
        <v>1.5865563647180661E-4</v>
      </c>
      <c r="M173" s="12">
        <v>-3.6275697948571048E-3</v>
      </c>
      <c r="N173" s="12">
        <v>-9.6453297490249645E-4</v>
      </c>
      <c r="O173" s="12">
        <v>1.8511733468479384E-3</v>
      </c>
      <c r="P173">
        <f t="shared" si="6"/>
        <v>-5.6316197994256975E-3</v>
      </c>
      <c r="Q173">
        <f t="shared" si="7"/>
        <v>-1.4973889699822682E-3</v>
      </c>
      <c r="R173">
        <f t="shared" si="8"/>
        <v>2.8738535884431258E-3</v>
      </c>
    </row>
    <row r="174" spans="1:18" ht="13">
      <c r="A174" s="8" t="s">
        <v>52</v>
      </c>
      <c r="B174" s="9">
        <v>2019</v>
      </c>
      <c r="C174" s="4">
        <v>-6.2966163879104506</v>
      </c>
      <c r="D174" s="10">
        <v>0.42042857738078071</v>
      </c>
      <c r="E174" s="11">
        <v>5.4999999999999997E-3</v>
      </c>
      <c r="F174" s="11">
        <v>0.1477</v>
      </c>
      <c r="G174" s="12">
        <v>2.0380822348073292E-2</v>
      </c>
      <c r="H174" s="12">
        <v>0.12319836927780929</v>
      </c>
      <c r="I174" s="12">
        <v>-0.14349746321420215</v>
      </c>
      <c r="J174" s="12">
        <v>1.120945229144031E-4</v>
      </c>
      <c r="K174" s="12">
        <v>6.7759103102795111E-4</v>
      </c>
      <c r="L174" s="12">
        <v>-7.892360476781118E-4</v>
      </c>
      <c r="M174" s="12">
        <v>3.0102474608104252E-3</v>
      </c>
      <c r="N174" s="12">
        <v>1.8196399142332433E-2</v>
      </c>
      <c r="O174" s="12">
        <v>-2.1194575316737657E-2</v>
      </c>
      <c r="P174">
        <f t="shared" si="6"/>
        <v>8.5686801456508772E-3</v>
      </c>
      <c r="Q174">
        <f t="shared" si="7"/>
        <v>5.1796115131101439E-2</v>
      </c>
      <c r="R174">
        <f t="shared" si="8"/>
        <v>-6.033043431689792E-2</v>
      </c>
    </row>
    <row r="175" spans="1:18" ht="13">
      <c r="A175" s="8" t="s">
        <v>52</v>
      </c>
      <c r="B175" s="9">
        <v>2020</v>
      </c>
      <c r="C175" s="4">
        <v>-1.4073815044401692</v>
      </c>
      <c r="D175" s="10">
        <v>0.464929523287957</v>
      </c>
      <c r="E175" s="11">
        <v>5.4999999999999997E-3</v>
      </c>
      <c r="F175" s="11">
        <v>0.27960000000000002</v>
      </c>
      <c r="G175" s="12">
        <v>-1.2322015334063527</v>
      </c>
      <c r="H175" s="12">
        <v>-3.5412754915766967E-2</v>
      </c>
      <c r="I175" s="12">
        <v>3.4097428675741934E-2</v>
      </c>
      <c r="J175" s="12">
        <v>-6.7771084337349399E-3</v>
      </c>
      <c r="K175" s="12">
        <v>-1.9477015203671832E-4</v>
      </c>
      <c r="L175" s="12">
        <v>1.8753585771658063E-4</v>
      </c>
      <c r="M175" s="12">
        <v>-0.34452354874041624</v>
      </c>
      <c r="N175" s="12">
        <v>-9.9014062744484446E-3</v>
      </c>
      <c r="O175" s="12">
        <v>9.5336410577374457E-3</v>
      </c>
      <c r="P175">
        <f t="shared" si="6"/>
        <v>-0.57288687152130524</v>
      </c>
      <c r="Q175">
        <f t="shared" si="7"/>
        <v>-1.6464435261300793E-2</v>
      </c>
      <c r="R175">
        <f t="shared" si="8"/>
        <v>1.5852901259557812E-2</v>
      </c>
    </row>
    <row r="176" spans="1:18" ht="13">
      <c r="A176" s="8" t="s">
        <v>52</v>
      </c>
      <c r="B176" s="9">
        <v>2021</v>
      </c>
      <c r="C176" s="4">
        <v>-3.1191436782275681</v>
      </c>
      <c r="D176" s="10">
        <v>0.23407494685438276</v>
      </c>
      <c r="E176" s="11">
        <v>0</v>
      </c>
      <c r="F176" s="11">
        <v>1E-4</v>
      </c>
      <c r="G176" s="12">
        <v>-9.3797134572865384E-2</v>
      </c>
      <c r="H176" s="12">
        <v>-0.30812746430637428</v>
      </c>
      <c r="I176" s="12">
        <v>0.40623480603180567</v>
      </c>
      <c r="J176" s="12">
        <v>0</v>
      </c>
      <c r="K176" s="12">
        <v>0</v>
      </c>
      <c r="L176" s="12">
        <v>0</v>
      </c>
      <c r="M176" s="12">
        <v>-9.3797134572865387E-6</v>
      </c>
      <c r="N176" s="12">
        <v>-3.0812746430637429E-5</v>
      </c>
      <c r="O176" s="12">
        <v>4.0623480603180571E-5</v>
      </c>
      <c r="P176">
        <f t="shared" si="6"/>
        <v>-2.1955559290236851E-2</v>
      </c>
      <c r="Q176">
        <f t="shared" si="7"/>
        <v>-7.2124919831890275E-2</v>
      </c>
      <c r="R176">
        <f t="shared" si="8"/>
        <v>9.5089390632295406E-2</v>
      </c>
    </row>
    <row r="177" spans="1:18" ht="13">
      <c r="A177" s="8" t="s">
        <v>53</v>
      </c>
      <c r="B177" s="9">
        <v>2017</v>
      </c>
      <c r="C177" s="4">
        <v>-0.74158877438600346</v>
      </c>
      <c r="D177" s="10">
        <v>0.64028452652535139</v>
      </c>
      <c r="E177" s="11">
        <v>0</v>
      </c>
      <c r="F177" s="11">
        <v>1.0660000000000001E-3</v>
      </c>
      <c r="G177" s="12">
        <v>-9.4680558160925105E-2</v>
      </c>
      <c r="H177" s="12">
        <v>3.3907792105629414E-2</v>
      </c>
      <c r="I177" s="12">
        <v>0.12229436574547523</v>
      </c>
      <c r="J177" s="12">
        <v>0</v>
      </c>
      <c r="K177" s="12">
        <v>0</v>
      </c>
      <c r="L177" s="12">
        <v>0</v>
      </c>
      <c r="M177" s="12">
        <v>-1.0092947499954617E-4</v>
      </c>
      <c r="N177" s="12">
        <v>3.6145706384600959E-5</v>
      </c>
      <c r="O177" s="12">
        <v>1.303657938846766E-4</v>
      </c>
      <c r="P177">
        <f t="shared" si="6"/>
        <v>-6.0622496353223927E-2</v>
      </c>
      <c r="Q177">
        <f t="shared" si="7"/>
        <v>2.1710634613872976E-2</v>
      </c>
      <c r="R177">
        <f t="shared" si="8"/>
        <v>7.8303190068059761E-2</v>
      </c>
    </row>
    <row r="178" spans="1:18" ht="13">
      <c r="A178" s="8" t="s">
        <v>53</v>
      </c>
      <c r="B178" s="9">
        <v>2018</v>
      </c>
      <c r="C178" s="4">
        <v>-0.97103597180560375</v>
      </c>
      <c r="D178" s="10">
        <v>0.6145432712524197</v>
      </c>
      <c r="E178" s="11">
        <v>0</v>
      </c>
      <c r="F178" s="11">
        <v>5.1999999999999997E-5</v>
      </c>
      <c r="G178" s="12">
        <v>-1.7278663516182794E-2</v>
      </c>
      <c r="H178" s="12">
        <v>-4.6286809579284612E-2</v>
      </c>
      <c r="I178" s="12">
        <v>4.705980434529829E-3</v>
      </c>
      <c r="J178" s="12">
        <v>0</v>
      </c>
      <c r="K178" s="12">
        <v>0</v>
      </c>
      <c r="L178" s="12">
        <v>0</v>
      </c>
      <c r="M178" s="12">
        <v>-8.9849050284150523E-7</v>
      </c>
      <c r="N178" s="12">
        <v>-2.4069140981227998E-6</v>
      </c>
      <c r="O178" s="12">
        <v>2.4471098259555108E-7</v>
      </c>
      <c r="P178">
        <f t="shared" si="6"/>
        <v>-1.061848640010481E-2</v>
      </c>
      <c r="Q178">
        <f t="shared" si="7"/>
        <v>-2.8445247374691403E-2</v>
      </c>
      <c r="R178">
        <f t="shared" si="8"/>
        <v>2.8920286106858448E-3</v>
      </c>
    </row>
    <row r="179" spans="1:18" ht="13">
      <c r="A179" s="8" t="s">
        <v>53</v>
      </c>
      <c r="B179" s="9">
        <v>2019</v>
      </c>
      <c r="C179" s="4">
        <v>-0.9154395218178254</v>
      </c>
      <c r="D179" s="10">
        <v>0.6258939283333862</v>
      </c>
      <c r="E179" s="11">
        <v>2.0000000000000002E-5</v>
      </c>
      <c r="F179" s="11">
        <v>4.8999999999999998E-5</v>
      </c>
      <c r="G179" s="12">
        <v>-2.5255974862728917E-2</v>
      </c>
      <c r="H179" s="12">
        <v>-8.3854381566001205E-4</v>
      </c>
      <c r="I179" s="12">
        <v>8.0476719459167803E-2</v>
      </c>
      <c r="J179" s="12">
        <v>-5.0511949725457833E-7</v>
      </c>
      <c r="K179" s="12">
        <v>-1.6770876313200241E-8</v>
      </c>
      <c r="L179" s="12">
        <v>1.6095343891833563E-6</v>
      </c>
      <c r="M179" s="12">
        <v>-1.2375427682737169E-6</v>
      </c>
      <c r="N179" s="12">
        <v>-4.1088646967340588E-8</v>
      </c>
      <c r="O179" s="12">
        <v>3.9433592534992223E-6</v>
      </c>
      <c r="P179">
        <f t="shared" si="6"/>
        <v>-1.5807561320722655E-2</v>
      </c>
      <c r="Q179">
        <f t="shared" si="7"/>
        <v>-5.2483948286311183E-4</v>
      </c>
      <c r="R179">
        <f t="shared" si="8"/>
        <v>5.0369890081682397E-2</v>
      </c>
    </row>
    <row r="180" spans="1:18" ht="13">
      <c r="A180" s="8" t="s">
        <v>53</v>
      </c>
      <c r="B180" s="9">
        <v>2020</v>
      </c>
      <c r="C180" s="4">
        <v>-0.99508099397852101</v>
      </c>
      <c r="D180" s="10">
        <v>0.60573059714513355</v>
      </c>
      <c r="E180" s="11">
        <v>1E-4</v>
      </c>
      <c r="F180" s="11">
        <v>0</v>
      </c>
      <c r="G180" s="12">
        <v>6.9708010049012739E-2</v>
      </c>
      <c r="H180" s="12">
        <v>2.4838240910316587E-2</v>
      </c>
      <c r="I180" s="12">
        <v>1.1962180767536662E-2</v>
      </c>
      <c r="J180" s="12">
        <v>6.9708010049012745E-6</v>
      </c>
      <c r="K180" s="12">
        <v>2.4838240910316588E-6</v>
      </c>
      <c r="L180" s="12">
        <v>1.1962180767536662E-6</v>
      </c>
      <c r="M180" s="12">
        <v>0</v>
      </c>
      <c r="N180" s="12">
        <v>0</v>
      </c>
      <c r="O180" s="12">
        <v>0</v>
      </c>
      <c r="P180">
        <f t="shared" si="6"/>
        <v>4.2224274552787454E-2</v>
      </c>
      <c r="Q180">
        <f t="shared" si="7"/>
        <v>1.5045282498640752E-2</v>
      </c>
      <c r="R180">
        <f t="shared" si="8"/>
        <v>7.2458588994780146E-3</v>
      </c>
    </row>
    <row r="181" spans="1:18" ht="13">
      <c r="A181" s="8" t="s">
        <v>53</v>
      </c>
      <c r="B181" s="9">
        <v>2021</v>
      </c>
      <c r="C181" s="4">
        <v>-1.0970927041287</v>
      </c>
      <c r="D181" s="10">
        <v>0.57967024689361457</v>
      </c>
      <c r="E181" s="11">
        <v>1E-4</v>
      </c>
      <c r="F181" s="11">
        <v>0</v>
      </c>
      <c r="G181" s="12">
        <v>5.8913559871286464E-2</v>
      </c>
      <c r="H181" s="12">
        <v>-9.5668124214833297E-2</v>
      </c>
      <c r="I181" s="12">
        <v>-0.10971334612761775</v>
      </c>
      <c r="J181" s="12">
        <v>5.8913559871286462E-6</v>
      </c>
      <c r="K181" s="12">
        <v>-9.5668124214833294E-6</v>
      </c>
      <c r="L181" s="12">
        <v>-1.0971334612761777E-5</v>
      </c>
      <c r="M181" s="12">
        <v>0</v>
      </c>
      <c r="N181" s="12">
        <v>0</v>
      </c>
      <c r="O181" s="12">
        <v>0</v>
      </c>
      <c r="P181">
        <f t="shared" si="6"/>
        <v>3.4150437795970372E-2</v>
      </c>
      <c r="Q181">
        <f t="shared" si="7"/>
        <v>-5.5455965183461402E-2</v>
      </c>
      <c r="R181">
        <f t="shared" si="8"/>
        <v>-6.3597562437320773E-2</v>
      </c>
    </row>
    <row r="182" spans="1:18" ht="13">
      <c r="A182" s="8" t="s">
        <v>54</v>
      </c>
      <c r="B182" s="9">
        <v>2017</v>
      </c>
      <c r="C182" s="4">
        <v>-0.77367112937576543</v>
      </c>
      <c r="D182" s="10">
        <v>0.64193174769984895</v>
      </c>
      <c r="E182" s="11">
        <v>0.27</v>
      </c>
      <c r="F182" s="11">
        <v>0.04</v>
      </c>
      <c r="G182" s="12">
        <v>1.1666260087863945E-2</v>
      </c>
      <c r="H182" s="12">
        <v>-0.13381388324726023</v>
      </c>
      <c r="I182" s="12">
        <v>0.1144368859736036</v>
      </c>
      <c r="J182" s="12">
        <v>3.1498902237232654E-3</v>
      </c>
      <c r="K182" s="12">
        <v>-3.6129748476760266E-2</v>
      </c>
      <c r="L182" s="12">
        <v>3.0897959212872975E-2</v>
      </c>
      <c r="M182" s="12">
        <v>4.666504035145578E-4</v>
      </c>
      <c r="N182" s="12">
        <v>-5.3525553298904094E-3</v>
      </c>
      <c r="O182" s="12">
        <v>4.5774754389441442E-3</v>
      </c>
      <c r="P182">
        <f t="shared" si="6"/>
        <v>7.4889427273234959E-3</v>
      </c>
      <c r="Q182">
        <f t="shared" si="7"/>
        <v>-8.5899379939417306E-2</v>
      </c>
      <c r="R182">
        <f t="shared" si="8"/>
        <v>7.3460670214363685E-2</v>
      </c>
    </row>
    <row r="183" spans="1:18" ht="13">
      <c r="A183" s="8" t="s">
        <v>54</v>
      </c>
      <c r="B183" s="9">
        <v>2018</v>
      </c>
      <c r="C183" s="4">
        <v>-0.67271223149068304</v>
      </c>
      <c r="D183" s="10">
        <v>0.67107500311676149</v>
      </c>
      <c r="E183" s="11">
        <v>0.27760000000000001</v>
      </c>
      <c r="F183" s="11">
        <v>3.9E-2</v>
      </c>
      <c r="G183" s="12">
        <v>2.7385466345980537E-2</v>
      </c>
      <c r="H183" s="12">
        <v>-0.1023476250875298</v>
      </c>
      <c r="I183" s="12">
        <v>6.5877981267813593E-2</v>
      </c>
      <c r="J183" s="12">
        <v>7.6022054576441976E-3</v>
      </c>
      <c r="K183" s="12">
        <v>-2.8411700724298276E-2</v>
      </c>
      <c r="L183" s="12">
        <v>1.8287727599945056E-2</v>
      </c>
      <c r="M183" s="12">
        <v>1.0680331874932409E-3</v>
      </c>
      <c r="N183" s="12">
        <v>-3.9915573784136621E-3</v>
      </c>
      <c r="O183" s="12">
        <v>2.5692412694447303E-3</v>
      </c>
      <c r="P183">
        <f t="shared" si="6"/>
        <v>1.8377701913482855E-2</v>
      </c>
      <c r="Q183">
        <f t="shared" si="7"/>
        <v>-6.8682932824607204E-2</v>
      </c>
      <c r="R183">
        <f t="shared" si="8"/>
        <v>4.4209066484623964E-2</v>
      </c>
    </row>
    <row r="184" spans="1:18" ht="13">
      <c r="A184" s="8" t="s">
        <v>54</v>
      </c>
      <c r="B184" s="9">
        <v>2019</v>
      </c>
      <c r="C184" s="4">
        <v>-0.54495812054020298</v>
      </c>
      <c r="D184" s="10">
        <v>0.68453075733293955</v>
      </c>
      <c r="E184" s="11">
        <v>0.26629999999999998</v>
      </c>
      <c r="F184" s="11">
        <v>3.9E-2</v>
      </c>
      <c r="G184" s="12">
        <v>5.1554933087459821E-2</v>
      </c>
      <c r="H184" s="12">
        <v>-9.1128953899134307E-2</v>
      </c>
      <c r="I184" s="12">
        <v>4.1167340358409847E-2</v>
      </c>
      <c r="J184" s="12">
        <v>1.3729078681190549E-2</v>
      </c>
      <c r="K184" s="12">
        <v>-2.4267640423339464E-2</v>
      </c>
      <c r="L184" s="12">
        <v>1.0962862737444541E-2</v>
      </c>
      <c r="M184" s="12">
        <v>2.0106423904109332E-3</v>
      </c>
      <c r="N184" s="12">
        <v>-3.5540292020662381E-3</v>
      </c>
      <c r="O184" s="12">
        <v>1.6055262739779841E-3</v>
      </c>
      <c r="P184">
        <f t="shared" si="6"/>
        <v>3.5290937390607895E-2</v>
      </c>
      <c r="Q184">
        <f t="shared" si="7"/>
        <v>-6.2380571827532941E-2</v>
      </c>
      <c r="R184">
        <f t="shared" si="8"/>
        <v>2.8180310672925181E-2</v>
      </c>
    </row>
    <row r="185" spans="1:18" ht="13">
      <c r="A185" s="8" t="s">
        <v>54</v>
      </c>
      <c r="B185" s="9">
        <v>2020</v>
      </c>
      <c r="C185" s="4">
        <v>-1.6021166266608278</v>
      </c>
      <c r="D185" s="10">
        <v>0.58352171721756596</v>
      </c>
      <c r="E185" s="11">
        <v>2.1000000000000001E-2</v>
      </c>
      <c r="F185" s="11">
        <v>3.6900000000000002E-2</v>
      </c>
      <c r="G185" s="12">
        <v>0.21473198768748999</v>
      </c>
      <c r="H185" s="12">
        <v>-5.7823911466190737E-2</v>
      </c>
      <c r="I185" s="12">
        <v>-0.15025039918243951</v>
      </c>
      <c r="J185" s="12">
        <v>4.5093717414372899E-3</v>
      </c>
      <c r="K185" s="12">
        <v>-1.2143021407900055E-3</v>
      </c>
      <c r="L185" s="12">
        <v>-3.15525838283123E-3</v>
      </c>
      <c r="M185" s="12">
        <v>7.9236103456683821E-3</v>
      </c>
      <c r="N185" s="12">
        <v>-2.1337023331024383E-3</v>
      </c>
      <c r="O185" s="12">
        <v>-5.544239729832018E-3</v>
      </c>
      <c r="P185">
        <f t="shared" si="6"/>
        <v>0.12530077819694541</v>
      </c>
      <c r="Q185">
        <f t="shared" si="7"/>
        <v>-3.374150811498812E-2</v>
      </c>
      <c r="R185">
        <f t="shared" si="8"/>
        <v>-8.7674370943561869E-2</v>
      </c>
    </row>
    <row r="186" spans="1:18" ht="13">
      <c r="A186" s="8" t="s">
        <v>54</v>
      </c>
      <c r="B186" s="9">
        <v>2021</v>
      </c>
      <c r="C186" s="4">
        <v>-1.4069025932426387</v>
      </c>
      <c r="D186" s="10">
        <v>0.56861682804983071</v>
      </c>
      <c r="E186" s="11">
        <v>2.93E-2</v>
      </c>
      <c r="F186" s="11">
        <v>3.7100000000000001E-2</v>
      </c>
      <c r="G186" s="12">
        <v>5.398104350045118E-2</v>
      </c>
      <c r="H186" s="12">
        <v>-2.5057366803423946E-2</v>
      </c>
      <c r="I186" s="12">
        <v>-3.1918276309604539E-2</v>
      </c>
      <c r="J186" s="12">
        <v>1.5816445745632196E-3</v>
      </c>
      <c r="K186" s="12">
        <v>-7.3418084734032157E-4</v>
      </c>
      <c r="L186" s="12">
        <v>-9.3520549587141298E-4</v>
      </c>
      <c r="M186" s="12">
        <v>2.0026967138667387E-3</v>
      </c>
      <c r="N186" s="12">
        <v>-9.2962830840702848E-4</v>
      </c>
      <c r="O186" s="12">
        <v>-1.1841680510863285E-3</v>
      </c>
      <c r="P186">
        <f t="shared" si="6"/>
        <v>3.069452973004648E-2</v>
      </c>
      <c r="Q186">
        <f t="shared" si="7"/>
        <v>-1.4248040431044051E-2</v>
      </c>
      <c r="R186">
        <f t="shared" si="8"/>
        <v>-1.8149269031985389E-2</v>
      </c>
    </row>
    <row r="187" spans="1:18" ht="13">
      <c r="A187" s="8" t="s">
        <v>55</v>
      </c>
      <c r="B187" s="9">
        <v>2017</v>
      </c>
      <c r="C187" s="4">
        <v>-1.1232872006698382</v>
      </c>
      <c r="D187" s="10">
        <v>0.59431772877697142</v>
      </c>
      <c r="E187" s="11">
        <v>3.1699999999999999E-2</v>
      </c>
      <c r="F187" s="11">
        <v>0.01</v>
      </c>
      <c r="G187" s="12">
        <v>8.2769082169447131E-2</v>
      </c>
      <c r="H187" s="12">
        <v>-8.6101108190366288E-2</v>
      </c>
      <c r="I187" s="12">
        <v>4.8113418535529182E-2</v>
      </c>
      <c r="J187" s="12">
        <v>2.623779904771474E-3</v>
      </c>
      <c r="K187" s="12">
        <v>-2.7294051296346111E-3</v>
      </c>
      <c r="L187" s="12">
        <v>1.525195367576275E-3</v>
      </c>
      <c r="M187" s="12">
        <v>8.2769082169447132E-4</v>
      </c>
      <c r="N187" s="12">
        <v>-8.6101108190366285E-4</v>
      </c>
      <c r="O187" s="12">
        <v>4.811341853552918E-4</v>
      </c>
      <c r="P187">
        <f t="shared" si="6"/>
        <v>4.9191132927900338E-2</v>
      </c>
      <c r="Q187">
        <f t="shared" si="7"/>
        <v>-5.1171415064878781E-2</v>
      </c>
      <c r="R187">
        <f t="shared" si="8"/>
        <v>2.8594657627731543E-2</v>
      </c>
    </row>
    <row r="188" spans="1:18" ht="13">
      <c r="A188" s="8" t="s">
        <v>55</v>
      </c>
      <c r="B188" s="9">
        <v>2018</v>
      </c>
      <c r="C188" s="4">
        <v>-0.97302631115189531</v>
      </c>
      <c r="D188" s="10">
        <v>0.61158739542756257</v>
      </c>
      <c r="E188" s="11">
        <v>3.8100000000000002E-2</v>
      </c>
      <c r="F188" s="11">
        <v>7.0000000000000001E-3</v>
      </c>
      <c r="G188" s="12">
        <v>-6.376792814972586E-3</v>
      </c>
      <c r="H188" s="12">
        <v>-1.7897780189343937E-3</v>
      </c>
      <c r="I188" s="12">
        <v>-2.7807157492367122E-2</v>
      </c>
      <c r="J188" s="12">
        <v>-2.4295580625045553E-4</v>
      </c>
      <c r="K188" s="12">
        <v>-6.8190542521400399E-5</v>
      </c>
      <c r="L188" s="12">
        <v>-1.0594527004591874E-3</v>
      </c>
      <c r="M188" s="12">
        <v>-4.4637549704808101E-5</v>
      </c>
      <c r="N188" s="12">
        <v>-1.2528446132540755E-5</v>
      </c>
      <c r="O188" s="12">
        <v>-1.9465010244656985E-4</v>
      </c>
      <c r="P188">
        <f t="shared" si="6"/>
        <v>-3.8999661088902787E-3</v>
      </c>
      <c r="Q188">
        <f t="shared" si="7"/>
        <v>-1.0946056769935886E-3</v>
      </c>
      <c r="R188">
        <f t="shared" si="8"/>
        <v>-1.7006507025000839E-2</v>
      </c>
    </row>
    <row r="189" spans="1:18" ht="13">
      <c r="A189" s="8" t="s">
        <v>55</v>
      </c>
      <c r="B189" s="9">
        <v>2019</v>
      </c>
      <c r="C189" s="4">
        <v>-0.66521102770436757</v>
      </c>
      <c r="D189" s="10">
        <v>0.66684967730369304</v>
      </c>
      <c r="E189" s="11">
        <v>3.6299999999999999E-2</v>
      </c>
      <c r="F189" s="11">
        <v>8.4000000000000005E-2</v>
      </c>
      <c r="G189" s="12">
        <v>-0.11103610164933668</v>
      </c>
      <c r="H189" s="12">
        <v>-3.8991069827895297E-2</v>
      </c>
      <c r="I189" s="12">
        <v>0.13017518599856578</v>
      </c>
      <c r="J189" s="12">
        <v>-4.0306104898709212E-3</v>
      </c>
      <c r="K189" s="12">
        <v>-1.4153758347525993E-3</v>
      </c>
      <c r="L189" s="12">
        <v>4.7253592517479378E-3</v>
      </c>
      <c r="M189" s="12">
        <v>-9.3270325385442811E-3</v>
      </c>
      <c r="N189" s="12">
        <v>-3.2752498655432053E-3</v>
      </c>
      <c r="O189" s="12">
        <v>1.0934715623879527E-2</v>
      </c>
      <c r="P189">
        <f t="shared" si="6"/>
        <v>-7.4044388553920218E-2</v>
      </c>
      <c r="Q189">
        <f t="shared" si="7"/>
        <v>-2.600118233245774E-2</v>
      </c>
      <c r="R189">
        <f t="shared" si="8"/>
        <v>8.6807280776091816E-2</v>
      </c>
    </row>
    <row r="190" spans="1:18" ht="13">
      <c r="A190" s="8" t="s">
        <v>55</v>
      </c>
      <c r="B190" s="9">
        <v>2020</v>
      </c>
      <c r="C190" s="4">
        <v>-0.24590695867459</v>
      </c>
      <c r="D190" s="10">
        <v>0.72457180544693334</v>
      </c>
      <c r="E190" s="11">
        <v>3.5799999999999998E-2</v>
      </c>
      <c r="F190" s="11">
        <v>8.1799999999999998E-2</v>
      </c>
      <c r="G190" s="12">
        <v>-0.10395986657843197</v>
      </c>
      <c r="H190" s="12">
        <v>-5.4589652921214881E-3</v>
      </c>
      <c r="I190" s="12">
        <v>0.109290713297371</v>
      </c>
      <c r="J190" s="12">
        <v>-3.7217632235078645E-3</v>
      </c>
      <c r="K190" s="12">
        <v>-1.9543095745794926E-4</v>
      </c>
      <c r="L190" s="12">
        <v>3.9126075360458815E-3</v>
      </c>
      <c r="M190" s="12">
        <v>-8.5039170861157341E-3</v>
      </c>
      <c r="N190" s="12">
        <v>-4.4654336089553772E-4</v>
      </c>
      <c r="O190" s="12">
        <v>8.9399803477249479E-3</v>
      </c>
      <c r="P190">
        <f t="shared" si="6"/>
        <v>-7.5326388220756754E-2</v>
      </c>
      <c r="Q190">
        <f t="shared" si="7"/>
        <v>-3.9554123375846123E-3</v>
      </c>
      <c r="R190">
        <f t="shared" si="8"/>
        <v>7.9188969452459276E-2</v>
      </c>
    </row>
    <row r="191" spans="1:18" ht="13">
      <c r="A191" s="8" t="s">
        <v>55</v>
      </c>
      <c r="B191" s="9">
        <v>2021</v>
      </c>
      <c r="C191" s="4">
        <v>-0.12253097920677332</v>
      </c>
      <c r="D191" s="10">
        <v>0.74643166186144438</v>
      </c>
      <c r="E191" s="11">
        <v>2.8000000000000001E-2</v>
      </c>
      <c r="F191" s="11">
        <v>0.20050000000000001</v>
      </c>
      <c r="G191" s="12">
        <v>-4.7754040389280182E-2</v>
      </c>
      <c r="H191" s="12">
        <v>9.808752577856672E-2</v>
      </c>
      <c r="I191" s="12">
        <v>-6.6510290460754962E-2</v>
      </c>
      <c r="J191" s="12">
        <v>-1.3371131308998452E-3</v>
      </c>
      <c r="K191" s="12">
        <v>2.7464507217998682E-3</v>
      </c>
      <c r="L191" s="12">
        <v>-1.862288132901139E-3</v>
      </c>
      <c r="M191" s="12">
        <v>-9.5746850980506764E-3</v>
      </c>
      <c r="N191" s="12">
        <v>1.9666548918602627E-2</v>
      </c>
      <c r="O191" s="12">
        <v>-1.3335313237381371E-2</v>
      </c>
      <c r="P191">
        <f t="shared" si="6"/>
        <v>-3.564512772836894E-2</v>
      </c>
      <c r="Q191">
        <f t="shared" si="7"/>
        <v>7.3215634874772825E-2</v>
      </c>
      <c r="R191">
        <f t="shared" si="8"/>
        <v>-4.9645386639508696E-2</v>
      </c>
    </row>
    <row r="192" spans="1:18" ht="13">
      <c r="A192" s="8" t="s">
        <v>56</v>
      </c>
      <c r="B192" s="9">
        <v>2017</v>
      </c>
      <c r="C192" s="4">
        <v>-0.16271068014660525</v>
      </c>
      <c r="D192" s="10">
        <v>0.74291818990934477</v>
      </c>
      <c r="E192" s="11">
        <v>3.0000000000000001E-3</v>
      </c>
      <c r="F192" s="11">
        <v>9.4700000000000006E-2</v>
      </c>
      <c r="G192" s="12">
        <v>-4.9316823846949985E-2</v>
      </c>
      <c r="H192" s="12">
        <v>-1.8420968709865395E-2</v>
      </c>
      <c r="I192" s="12">
        <v>8.1036027286458534E-2</v>
      </c>
      <c r="J192" s="12">
        <v>-1.4795047154084995E-4</v>
      </c>
      <c r="K192" s="12">
        <v>-5.5262906129596189E-5</v>
      </c>
      <c r="L192" s="12">
        <v>2.4310808185937561E-4</v>
      </c>
      <c r="M192" s="12">
        <v>-4.6703032183061637E-3</v>
      </c>
      <c r="N192" s="12">
        <v>-1.744465736824253E-3</v>
      </c>
      <c r="O192" s="12">
        <v>7.674111784027624E-3</v>
      </c>
      <c r="P192">
        <f t="shared" si="6"/>
        <v>-3.6638365504454089E-2</v>
      </c>
      <c r="Q192">
        <f t="shared" si="7"/>
        <v>-1.3685272730309877E-2</v>
      </c>
      <c r="R192">
        <f t="shared" si="8"/>
        <v>6.0203138709100046E-2</v>
      </c>
    </row>
    <row r="193" spans="1:18" ht="13">
      <c r="A193" s="8" t="s">
        <v>56</v>
      </c>
      <c r="B193" s="9">
        <v>2018</v>
      </c>
      <c r="C193" s="4">
        <v>-1.1431428785853757</v>
      </c>
      <c r="D193" s="10">
        <v>0.58625185541781999</v>
      </c>
      <c r="E193" s="11">
        <v>1.2999999999999999E-3</v>
      </c>
      <c r="F193" s="11">
        <v>3.5700000000000003E-2</v>
      </c>
      <c r="G193" s="12">
        <v>7.9887557381840696E-2</v>
      </c>
      <c r="H193" s="12">
        <v>-4.1131532646757098E-2</v>
      </c>
      <c r="I193" s="12">
        <v>-3.2841611792147354E-2</v>
      </c>
      <c r="J193" s="12">
        <v>1.038538245963929E-4</v>
      </c>
      <c r="K193" s="12">
        <v>-5.3470992440784224E-5</v>
      </c>
      <c r="L193" s="12">
        <v>-4.2694095329791561E-5</v>
      </c>
      <c r="M193" s="12">
        <v>2.851985798531713E-3</v>
      </c>
      <c r="N193" s="12">
        <v>-1.4683957154892286E-3</v>
      </c>
      <c r="O193" s="12">
        <v>-1.1724455409796606E-3</v>
      </c>
      <c r="P193">
        <f t="shared" si="6"/>
        <v>4.6834228739901666E-2</v>
      </c>
      <c r="Q193">
        <f t="shared" si="7"/>
        <v>-2.4113437330339986E-2</v>
      </c>
      <c r="R193">
        <f t="shared" si="8"/>
        <v>-1.9253455848058144E-2</v>
      </c>
    </row>
    <row r="194" spans="1:18" ht="13">
      <c r="A194" s="8" t="s">
        <v>56</v>
      </c>
      <c r="B194" s="9">
        <v>2019</v>
      </c>
      <c r="C194" s="4">
        <v>-1.7023588889119499</v>
      </c>
      <c r="D194" s="10">
        <v>0.48765181142161934</v>
      </c>
      <c r="E194" s="11">
        <v>8.0000000000000004E-4</v>
      </c>
      <c r="F194" s="11">
        <v>1.8200000000000001E-2</v>
      </c>
      <c r="G194" s="12">
        <v>-0.28691183029280676</v>
      </c>
      <c r="H194" s="12">
        <v>-5.4838699890474296E-3</v>
      </c>
      <c r="I194" s="12">
        <v>0.31660512798730595</v>
      </c>
      <c r="J194" s="12">
        <v>-2.2952946423424541E-4</v>
      </c>
      <c r="K194" s="12">
        <v>-4.3870959912379437E-6</v>
      </c>
      <c r="L194" s="12">
        <v>2.5328410238984475E-4</v>
      </c>
      <c r="M194" s="12">
        <v>-5.2217953113290836E-3</v>
      </c>
      <c r="N194" s="12">
        <v>-9.9806433800663224E-5</v>
      </c>
      <c r="O194" s="12">
        <v>5.7622133293689683E-3</v>
      </c>
      <c r="P194">
        <f t="shared" si="6"/>
        <v>-0.13991307376057946</v>
      </c>
      <c r="Q194">
        <f t="shared" si="7"/>
        <v>-2.6742191337596347E-3</v>
      </c>
      <c r="R194">
        <f t="shared" si="8"/>
        <v>0.15439306416838339</v>
      </c>
    </row>
    <row r="195" spans="1:18" ht="13">
      <c r="A195" s="8" t="s">
        <v>56</v>
      </c>
      <c r="B195" s="9">
        <v>2020</v>
      </c>
      <c r="C195" s="4">
        <v>-2.2255012745692113</v>
      </c>
      <c r="D195" s="10">
        <v>0.40628248863550542</v>
      </c>
      <c r="E195" s="11">
        <v>2.3999999999999998E-3</v>
      </c>
      <c r="F195" s="11">
        <v>1.9199999999999998E-2</v>
      </c>
      <c r="G195" s="12">
        <v>6.8174112573172241E-2</v>
      </c>
      <c r="H195" s="12">
        <v>1.3970012838785668E-2</v>
      </c>
      <c r="I195" s="12">
        <v>-5.873382899508784E-2</v>
      </c>
      <c r="J195" s="12">
        <v>1.6361787017561336E-4</v>
      </c>
      <c r="K195" s="12">
        <v>3.3528030813085598E-5</v>
      </c>
      <c r="L195" s="12">
        <v>-1.4096118958821079E-4</v>
      </c>
      <c r="M195" s="12">
        <v>1.3089429614049069E-3</v>
      </c>
      <c r="N195" s="12">
        <v>2.6822424650468479E-4</v>
      </c>
      <c r="O195" s="12">
        <v>-1.1276895167056863E-3</v>
      </c>
      <c r="P195">
        <f t="shared" ref="P195:P258" si="9">G195*D195</f>
        <v>2.769794811674552E-2</v>
      </c>
      <c r="Q195">
        <f t="shared" ref="Q195:Q258" si="10">H195*D195</f>
        <v>5.6757715824118033E-3</v>
      </c>
      <c r="R195">
        <f t="shared" ref="R195:R258" si="11">I195*D195</f>
        <v>-2.3862526211216494E-2</v>
      </c>
    </row>
    <row r="196" spans="1:18" ht="13">
      <c r="A196" s="8" t="s">
        <v>56</v>
      </c>
      <c r="B196" s="9">
        <v>2021</v>
      </c>
      <c r="C196" s="4">
        <v>-2.2994555712312534</v>
      </c>
      <c r="D196" s="10">
        <v>0.38681237413325753</v>
      </c>
      <c r="E196" s="11">
        <v>1.5E-3</v>
      </c>
      <c r="F196" s="11">
        <v>1.38E-2</v>
      </c>
      <c r="G196" s="12">
        <v>-0.15346753007304725</v>
      </c>
      <c r="H196" s="12">
        <v>-0.82816114610168357</v>
      </c>
      <c r="I196" s="12">
        <v>0.3067028083117635</v>
      </c>
      <c r="J196" s="12">
        <v>-2.302012951095709E-4</v>
      </c>
      <c r="K196" s="12">
        <v>-1.2422417191525253E-3</v>
      </c>
      <c r="L196" s="12">
        <v>4.6005421246764525E-4</v>
      </c>
      <c r="M196" s="12">
        <v>-2.117851915008052E-3</v>
      </c>
      <c r="N196" s="12">
        <v>-1.1428623816203232E-2</v>
      </c>
      <c r="O196" s="12">
        <v>4.2324987547023366E-3</v>
      </c>
      <c r="P196">
        <f t="shared" si="9"/>
        <v>-5.9363139659922508E-2</v>
      </c>
      <c r="Q196">
        <f t="shared" si="10"/>
        <v>-0.32034297908851178</v>
      </c>
      <c r="R196">
        <f t="shared" si="11"/>
        <v>0.11863644143641063</v>
      </c>
    </row>
    <row r="197" spans="1:18" ht="13">
      <c r="A197" s="8" t="s">
        <v>57</v>
      </c>
      <c r="B197" s="9">
        <v>2017</v>
      </c>
      <c r="C197" s="4">
        <v>-2.5826189533849955</v>
      </c>
      <c r="D197" s="10">
        <v>0.35162468472599817</v>
      </c>
      <c r="E197" s="11">
        <v>2.9399999999999999E-2</v>
      </c>
      <c r="F197" s="11">
        <v>1.2719999999999998E-5</v>
      </c>
      <c r="G197" s="12">
        <v>4.078908578728422E-2</v>
      </c>
      <c r="H197" s="12">
        <v>-0.22206754233679452</v>
      </c>
      <c r="I197" s="12">
        <v>0.18849290838219399</v>
      </c>
      <c r="J197" s="12">
        <v>1.199199122146156E-3</v>
      </c>
      <c r="K197" s="12">
        <v>-6.5287857447017582E-3</v>
      </c>
      <c r="L197" s="12">
        <v>5.5416915064365026E-3</v>
      </c>
      <c r="M197" s="12">
        <v>5.1883717121425525E-7</v>
      </c>
      <c r="N197" s="12">
        <v>-2.8246991385240257E-6</v>
      </c>
      <c r="O197" s="12">
        <v>2.397629794621507E-6</v>
      </c>
      <c r="P197">
        <f t="shared" si="9"/>
        <v>1.4342449430215507E-2</v>
      </c>
      <c r="Q197">
        <f t="shared" si="10"/>
        <v>-7.8084429562052624E-2</v>
      </c>
      <c r="R197">
        <f t="shared" si="11"/>
        <v>6.6278759482975416E-2</v>
      </c>
    </row>
    <row r="198" spans="1:18" ht="13">
      <c r="A198" s="8" t="s">
        <v>57</v>
      </c>
      <c r="B198" s="9">
        <v>2018</v>
      </c>
      <c r="C198" s="4">
        <v>-1.29892752043432</v>
      </c>
      <c r="D198" s="10">
        <v>0.53485698439567164</v>
      </c>
      <c r="E198" s="11">
        <v>2.9399999999999999E-2</v>
      </c>
      <c r="F198" s="11">
        <v>8.9700000000000005E-6</v>
      </c>
      <c r="G198" s="12">
        <v>-3.6558381910302556E-2</v>
      </c>
      <c r="H198" s="12">
        <v>-0.26781556735396578</v>
      </c>
      <c r="I198" s="12">
        <v>0.30592802712992434</v>
      </c>
      <c r="J198" s="12">
        <v>-1.074816428162895E-3</v>
      </c>
      <c r="K198" s="12">
        <v>-7.8737776802065944E-3</v>
      </c>
      <c r="L198" s="12">
        <v>8.9942839976197755E-3</v>
      </c>
      <c r="M198" s="12">
        <v>-3.2792868573541396E-7</v>
      </c>
      <c r="N198" s="12">
        <v>-2.4023056391650733E-6</v>
      </c>
      <c r="O198" s="12">
        <v>2.7441744033554213E-6</v>
      </c>
      <c r="P198">
        <f t="shared" si="9"/>
        <v>-1.9553505902929699E-2</v>
      </c>
      <c r="Q198">
        <f t="shared" si="10"/>
        <v>-0.14324302672915804</v>
      </c>
      <c r="R198">
        <f t="shared" si="11"/>
        <v>0.16362774203282857</v>
      </c>
    </row>
    <row r="199" spans="1:18" ht="13">
      <c r="A199" s="8" t="s">
        <v>57</v>
      </c>
      <c r="B199" s="9">
        <v>2019</v>
      </c>
      <c r="C199" s="4">
        <v>-1.7892890653404478</v>
      </c>
      <c r="D199" s="10">
        <v>0.48354131751213159</v>
      </c>
      <c r="E199" s="11">
        <v>3.2199999999999999E-2</v>
      </c>
      <c r="F199" s="11">
        <v>1.7690000000000002E-4</v>
      </c>
      <c r="G199" s="12">
        <v>4.4135079738623156E-2</v>
      </c>
      <c r="H199" s="12">
        <v>1.077975088614691E-2</v>
      </c>
      <c r="I199" s="12">
        <v>-5.9639000975199565E-2</v>
      </c>
      <c r="J199" s="12">
        <v>1.4211495675836656E-3</v>
      </c>
      <c r="K199" s="12">
        <v>3.4710797853393052E-4</v>
      </c>
      <c r="L199" s="12">
        <v>-1.920375831401426E-3</v>
      </c>
      <c r="M199" s="12">
        <v>7.8074956057624366E-6</v>
      </c>
      <c r="N199" s="12">
        <v>1.9069379317593887E-6</v>
      </c>
      <c r="O199" s="12">
        <v>-1.0550139272512804E-5</v>
      </c>
      <c r="P199">
        <f t="shared" si="9"/>
        <v>2.1341134605316826E-2</v>
      </c>
      <c r="Q199">
        <f t="shared" si="10"/>
        <v>5.2124549459400451E-3</v>
      </c>
      <c r="R199">
        <f t="shared" si="11"/>
        <v>-2.8837921106655298E-2</v>
      </c>
    </row>
    <row r="200" spans="1:18" ht="13">
      <c r="A200" s="8" t="s">
        <v>57</v>
      </c>
      <c r="B200" s="9">
        <v>2020</v>
      </c>
      <c r="C200" s="4">
        <v>-1.8632093712862077</v>
      </c>
      <c r="D200" s="10">
        <v>0.46067840103087626</v>
      </c>
      <c r="E200" s="11">
        <v>2.53E-2</v>
      </c>
      <c r="F200" s="11">
        <v>1.7690000000000002E-4</v>
      </c>
      <c r="G200" s="12">
        <v>5.1860409573374955E-2</v>
      </c>
      <c r="H200" s="12">
        <v>-3.6958248398975789E-2</v>
      </c>
      <c r="I200" s="12">
        <v>3.0548597263956544E-4</v>
      </c>
      <c r="J200" s="12">
        <v>1.3120683622063864E-3</v>
      </c>
      <c r="K200" s="12">
        <v>-9.3504368449408748E-4</v>
      </c>
      <c r="L200" s="12">
        <v>7.7287951077810048E-6</v>
      </c>
      <c r="M200" s="12">
        <v>9.1741064535300296E-6</v>
      </c>
      <c r="N200" s="12">
        <v>-6.5379141417788181E-6</v>
      </c>
      <c r="O200" s="12">
        <v>5.4040468559939133E-8</v>
      </c>
      <c r="P200">
        <f t="shared" si="9"/>
        <v>2.3890970559068723E-2</v>
      </c>
      <c r="Q200">
        <f t="shared" si="10"/>
        <v>-1.7025866777342108E-2</v>
      </c>
      <c r="R200">
        <f t="shared" si="11"/>
        <v>1.4073078941295703E-4</v>
      </c>
    </row>
    <row r="201" spans="1:18" ht="13">
      <c r="A201" s="8" t="s">
        <v>57</v>
      </c>
      <c r="B201" s="9">
        <v>2021</v>
      </c>
      <c r="C201" s="4">
        <v>-2.0992123987504798</v>
      </c>
      <c r="D201" s="10">
        <v>0.42636002762446451</v>
      </c>
      <c r="E201" s="11">
        <v>2.4400000000000002E-2</v>
      </c>
      <c r="F201" s="11">
        <v>1.7000000000000001E-4</v>
      </c>
      <c r="G201" s="12">
        <v>2.1369656883937948E-2</v>
      </c>
      <c r="H201" s="12">
        <v>0.1211489980516892</v>
      </c>
      <c r="I201" s="12">
        <v>-0.14286676810609591</v>
      </c>
      <c r="J201" s="12">
        <v>5.2141962796808591E-4</v>
      </c>
      <c r="K201" s="12">
        <v>2.9560355524612166E-3</v>
      </c>
      <c r="L201" s="12">
        <v>-3.4859491417887404E-3</v>
      </c>
      <c r="M201" s="12">
        <v>3.6328416702694513E-6</v>
      </c>
      <c r="N201" s="12">
        <v>2.0595329668787164E-5</v>
      </c>
      <c r="O201" s="12">
        <v>-2.4287350578036307E-5</v>
      </c>
      <c r="P201">
        <f t="shared" si="9"/>
        <v>9.1111674993611114E-3</v>
      </c>
      <c r="Q201">
        <f t="shared" si="10"/>
        <v>5.1653090155994404E-2</v>
      </c>
      <c r="R201">
        <f t="shared" si="11"/>
        <v>-6.0912679196333017E-2</v>
      </c>
    </row>
    <row r="202" spans="1:18" ht="13">
      <c r="A202" s="8" t="s">
        <v>58</v>
      </c>
      <c r="B202" s="9">
        <v>2017</v>
      </c>
      <c r="C202" s="4">
        <v>-1.6552547106529687</v>
      </c>
      <c r="D202" s="10">
        <v>0.50598579337452321</v>
      </c>
      <c r="E202" s="11">
        <v>2.9499999999999998E-2</v>
      </c>
      <c r="F202" s="11">
        <v>2.8182000000000001E-4</v>
      </c>
      <c r="G202" s="12">
        <v>1.8193407920257931E-2</v>
      </c>
      <c r="H202" s="12">
        <v>1.8798730909044201E-2</v>
      </c>
      <c r="I202" s="12">
        <v>-0.11381998946705887</v>
      </c>
      <c r="J202" s="12">
        <v>5.3670553364760891E-4</v>
      </c>
      <c r="K202" s="12">
        <v>5.5456256181680389E-4</v>
      </c>
      <c r="L202" s="12">
        <v>-3.3576896892782366E-3</v>
      </c>
      <c r="M202" s="12">
        <v>5.1272662200870901E-6</v>
      </c>
      <c r="N202" s="12">
        <v>5.2978583447868371E-6</v>
      </c>
      <c r="O202" s="12">
        <v>-3.2076749431606531E-5</v>
      </c>
      <c r="P202">
        <f t="shared" si="9"/>
        <v>9.2056059407180438E-3</v>
      </c>
      <c r="Q202">
        <f t="shared" si="10"/>
        <v>9.5118907734469023E-3</v>
      </c>
      <c r="R202">
        <f t="shared" si="11"/>
        <v>-5.759129767236966E-2</v>
      </c>
    </row>
    <row r="203" spans="1:18" ht="13">
      <c r="A203" s="8" t="s">
        <v>58</v>
      </c>
      <c r="B203" s="9">
        <v>2018</v>
      </c>
      <c r="C203" s="4">
        <v>-2.1138564563784437</v>
      </c>
      <c r="D203" s="10">
        <v>0.4316822581566353</v>
      </c>
      <c r="E203" s="11">
        <v>3.9300000000000002E-2</v>
      </c>
      <c r="F203" s="11">
        <v>2.2497000000000004E-4</v>
      </c>
      <c r="G203" s="12">
        <v>1.386145256056113E-2</v>
      </c>
      <c r="H203" s="12">
        <v>-5.267351973013229E-2</v>
      </c>
      <c r="I203" s="12">
        <v>-0.231924130984834</v>
      </c>
      <c r="J203" s="12">
        <v>5.4475508563005249E-4</v>
      </c>
      <c r="K203" s="12">
        <v>-2.0700693253941989E-3</v>
      </c>
      <c r="L203" s="12">
        <v>-9.1146183477039764E-3</v>
      </c>
      <c r="M203" s="12">
        <v>3.118410982549438E-6</v>
      </c>
      <c r="N203" s="12">
        <v>-1.1849961733687864E-5</v>
      </c>
      <c r="O203" s="12">
        <v>-5.2175971747658111E-5</v>
      </c>
      <c r="P203">
        <f t="shared" si="9"/>
        <v>5.9837431426741031E-3</v>
      </c>
      <c r="Q203">
        <f t="shared" si="10"/>
        <v>-2.273822394216159E-2</v>
      </c>
      <c r="R203">
        <f t="shared" si="11"/>
        <v>-0.1001175325845484</v>
      </c>
    </row>
    <row r="204" spans="1:18" ht="13">
      <c r="A204" s="8" t="s">
        <v>58</v>
      </c>
      <c r="B204" s="9">
        <v>2019</v>
      </c>
      <c r="C204" s="4">
        <v>-2.2159098857549191</v>
      </c>
      <c r="D204" s="10">
        <v>0.39972809284557814</v>
      </c>
      <c r="E204" s="11">
        <v>2.4400000000000002E-2</v>
      </c>
      <c r="F204" s="11">
        <v>8.4999999999999994E-8</v>
      </c>
      <c r="G204" s="12">
        <v>1.3475427595135557E-2</v>
      </c>
      <c r="H204" s="12">
        <v>2.0608320988066951E-2</v>
      </c>
      <c r="I204" s="12">
        <v>-0.13711257408388619</v>
      </c>
      <c r="J204" s="12">
        <v>3.2880043332130762E-4</v>
      </c>
      <c r="K204" s="12">
        <v>5.028430321088336E-4</v>
      </c>
      <c r="L204" s="12">
        <v>-3.3455468076468231E-3</v>
      </c>
      <c r="M204" s="12">
        <v>1.1454113455865223E-9</v>
      </c>
      <c r="N204" s="12">
        <v>1.7517072839856906E-9</v>
      </c>
      <c r="O204" s="12">
        <v>-1.1654568797130326E-8</v>
      </c>
      <c r="P204">
        <f t="shared" si="9"/>
        <v>5.3865069728822115E-3</v>
      </c>
      <c r="Q204">
        <f t="shared" si="10"/>
        <v>8.237724845309503E-3</v>
      </c>
      <c r="R204">
        <f t="shared" si="11"/>
        <v>-5.4807747743699869E-2</v>
      </c>
    </row>
    <row r="205" spans="1:18" ht="13">
      <c r="A205" s="8" t="s">
        <v>58</v>
      </c>
      <c r="B205" s="9">
        <v>2020</v>
      </c>
      <c r="C205" s="4">
        <v>-3.0863255132695251</v>
      </c>
      <c r="D205" s="10">
        <v>0.27427995246332659</v>
      </c>
      <c r="E205" s="11">
        <v>3.2599999999999997E-2</v>
      </c>
      <c r="F205" s="11">
        <v>1.5119210999999999E-3</v>
      </c>
      <c r="G205" s="12">
        <v>2.0425627589624525E-2</v>
      </c>
      <c r="H205" s="12">
        <v>-5.2937316747500428E-2</v>
      </c>
      <c r="I205" s="12">
        <v>-0.14683601224206996</v>
      </c>
      <c r="J205" s="12">
        <v>6.6587545942175944E-4</v>
      </c>
      <c r="K205" s="12">
        <v>-1.7257565259685137E-3</v>
      </c>
      <c r="L205" s="12">
        <v>-4.7868539990914803E-3</v>
      </c>
      <c r="M205" s="12">
        <v>3.088193733349546E-5</v>
      </c>
      <c r="N205" s="12">
        <v>-8.0037046167929268E-5</v>
      </c>
      <c r="O205" s="12">
        <v>-2.2200446514864387E-4</v>
      </c>
      <c r="P205">
        <f t="shared" si="9"/>
        <v>5.6023401643158265E-3</v>
      </c>
      <c r="Q205">
        <f t="shared" si="10"/>
        <v>-1.4519644721040481E-2</v>
      </c>
      <c r="R205">
        <f t="shared" si="11"/>
        <v>-4.0274174457659392E-2</v>
      </c>
    </row>
    <row r="206" spans="1:18" ht="13">
      <c r="A206" s="8" t="s">
        <v>58</v>
      </c>
      <c r="B206" s="9">
        <v>2021</v>
      </c>
      <c r="C206" s="4">
        <v>-3.2010915798374007</v>
      </c>
      <c r="D206" s="10">
        <v>0.32460088944122711</v>
      </c>
      <c r="E206" s="11">
        <v>5.8500000000000003E-2</v>
      </c>
      <c r="F206" s="11">
        <v>7.7260000000000002E-5</v>
      </c>
      <c r="G206" s="12">
        <v>2.3200615600264447E-2</v>
      </c>
      <c r="H206" s="12">
        <v>-0.18986698121046375</v>
      </c>
      <c r="I206" s="12">
        <v>-4.9583097004006454E-2</v>
      </c>
      <c r="J206" s="12">
        <v>1.3572360126154702E-3</v>
      </c>
      <c r="K206" s="12">
        <v>-1.110721840081213E-2</v>
      </c>
      <c r="L206" s="12">
        <v>-2.9006111747343776E-3</v>
      </c>
      <c r="M206" s="12">
        <v>1.7924795612764312E-6</v>
      </c>
      <c r="N206" s="12">
        <v>-1.466912296832043E-5</v>
      </c>
      <c r="O206" s="12">
        <v>-3.8307900745295388E-6</v>
      </c>
      <c r="P206">
        <f t="shared" si="9"/>
        <v>7.5309404594298491E-3</v>
      </c>
      <c r="Q206">
        <f t="shared" si="10"/>
        <v>-6.1630990976437289E-2</v>
      </c>
      <c r="R206">
        <f t="shared" si="11"/>
        <v>-1.6094717388751137E-2</v>
      </c>
    </row>
    <row r="207" spans="1:18" ht="13">
      <c r="A207" s="8" t="s">
        <v>59</v>
      </c>
      <c r="B207" s="9">
        <v>2017</v>
      </c>
      <c r="C207" s="4">
        <v>-3.5423569176656193</v>
      </c>
      <c r="D207" s="10">
        <v>0.2484572949922724</v>
      </c>
      <c r="E207" s="11">
        <v>1.38E-2</v>
      </c>
      <c r="F207" s="11">
        <v>0.26569999999999999</v>
      </c>
      <c r="G207" s="12">
        <v>-4.8170752343670686E-2</v>
      </c>
      <c r="H207" s="12">
        <v>0.12736482294146184</v>
      </c>
      <c r="I207" s="12">
        <v>-8.5398734248615243E-3</v>
      </c>
      <c r="J207" s="12">
        <v>-6.6475638234265544E-4</v>
      </c>
      <c r="K207" s="12">
        <v>1.7576345565921733E-3</v>
      </c>
      <c r="L207" s="12">
        <v>-1.1785025326308904E-4</v>
      </c>
      <c r="M207" s="12">
        <v>-1.27989688977133E-2</v>
      </c>
      <c r="N207" s="12">
        <v>3.3840833455546407E-2</v>
      </c>
      <c r="O207" s="12">
        <v>-2.269044368985707E-3</v>
      </c>
      <c r="P207">
        <f t="shared" si="9"/>
        <v>-1.1968374825051085E-2</v>
      </c>
      <c r="Q207">
        <f t="shared" si="10"/>
        <v>3.1644719385205328E-2</v>
      </c>
      <c r="R207">
        <f t="shared" si="11"/>
        <v>-2.1217938507174872E-3</v>
      </c>
    </row>
    <row r="208" spans="1:18" ht="13">
      <c r="A208" s="8" t="s">
        <v>59</v>
      </c>
      <c r="B208" s="9">
        <v>2018</v>
      </c>
      <c r="C208" s="4">
        <v>-3.2504065608581114</v>
      </c>
      <c r="D208" s="10">
        <v>0.33077589852008454</v>
      </c>
      <c r="E208" s="11">
        <v>9.5999999999999992E-3</v>
      </c>
      <c r="F208" s="11">
        <v>0.21840000000000001</v>
      </c>
      <c r="G208" s="12">
        <v>0.11926638477801269</v>
      </c>
      <c r="H208" s="12">
        <v>-0.13455391120507401</v>
      </c>
      <c r="I208" s="12">
        <v>5.5811839323467234E-2</v>
      </c>
      <c r="J208" s="12">
        <v>1.1449572938689217E-3</v>
      </c>
      <c r="K208" s="12">
        <v>-1.2917175475687104E-3</v>
      </c>
      <c r="L208" s="12">
        <v>5.3579365750528536E-4</v>
      </c>
      <c r="M208" s="12">
        <v>2.6047778435517973E-2</v>
      </c>
      <c r="N208" s="12">
        <v>-2.9386574207188165E-2</v>
      </c>
      <c r="O208" s="12">
        <v>1.2189305708245245E-2</v>
      </c>
      <c r="P208">
        <f t="shared" si="9"/>
        <v>3.9450445588189283E-2</v>
      </c>
      <c r="Q208">
        <f t="shared" si="10"/>
        <v>-4.450719087825003E-2</v>
      </c>
      <c r="R208">
        <f t="shared" si="11"/>
        <v>1.8461211300278463E-2</v>
      </c>
    </row>
    <row r="209" spans="1:18" ht="13">
      <c r="A209" s="8" t="s">
        <v>59</v>
      </c>
      <c r="B209" s="9">
        <v>2019</v>
      </c>
      <c r="C209" s="4">
        <v>-3.3183867669495584</v>
      </c>
      <c r="D209" s="10">
        <v>0.26902534170856401</v>
      </c>
      <c r="E209" s="11">
        <v>1.6899999999999998E-2</v>
      </c>
      <c r="F209" s="11">
        <v>0.21080000000000002</v>
      </c>
      <c r="G209" s="12">
        <v>0.17933187345664633</v>
      </c>
      <c r="H209" s="12">
        <v>-0.10131812463732513</v>
      </c>
      <c r="I209" s="12">
        <v>-0.10906295400541313</v>
      </c>
      <c r="J209" s="12">
        <v>3.0307086614173228E-3</v>
      </c>
      <c r="K209" s="12">
        <v>-1.7122763063707946E-3</v>
      </c>
      <c r="L209" s="12">
        <v>-1.8431639226914817E-3</v>
      </c>
      <c r="M209" s="12">
        <v>3.7803158924661052E-2</v>
      </c>
      <c r="N209" s="12">
        <v>-2.135786067354814E-2</v>
      </c>
      <c r="O209" s="12">
        <v>-2.2990470704341091E-2</v>
      </c>
      <c r="P209">
        <f t="shared" si="9"/>
        <v>4.8244818535911241E-2</v>
      </c>
      <c r="Q209">
        <f t="shared" si="10"/>
        <v>-2.7257143101827273E-2</v>
      </c>
      <c r="R209">
        <f t="shared" si="11"/>
        <v>-2.9340698469051667E-2</v>
      </c>
    </row>
    <row r="210" spans="1:18" ht="13">
      <c r="A210" s="8" t="s">
        <v>59</v>
      </c>
      <c r="B210" s="9">
        <v>2020</v>
      </c>
      <c r="C210" s="4">
        <v>-3.2791329931793536</v>
      </c>
      <c r="D210" s="10">
        <v>0.30780698246300725</v>
      </c>
      <c r="E210" s="11">
        <v>1.6799999999999999E-2</v>
      </c>
      <c r="F210" s="11">
        <v>0.21080000000000002</v>
      </c>
      <c r="G210" s="12">
        <v>0.18260085259906572</v>
      </c>
      <c r="H210" s="12">
        <v>-0.18737949167397019</v>
      </c>
      <c r="I210" s="12">
        <v>3.109008449409903E-2</v>
      </c>
      <c r="J210" s="12">
        <v>3.0676943236643038E-3</v>
      </c>
      <c r="K210" s="12">
        <v>-3.147975460122699E-3</v>
      </c>
      <c r="L210" s="12">
        <v>5.2231341950086368E-4</v>
      </c>
      <c r="M210" s="12">
        <v>3.849225972788306E-2</v>
      </c>
      <c r="N210" s="12">
        <v>-3.949959684487292E-2</v>
      </c>
      <c r="O210" s="12">
        <v>6.553789811356076E-3</v>
      </c>
      <c r="P210">
        <f t="shared" si="9"/>
        <v>5.6205817433690797E-2</v>
      </c>
      <c r="Q210">
        <f t="shared" si="10"/>
        <v>-5.7676715907616957E-2</v>
      </c>
      <c r="R210">
        <f t="shared" si="11"/>
        <v>9.5697450926485531E-3</v>
      </c>
    </row>
    <row r="211" spans="1:18" ht="13">
      <c r="A211" s="8" t="s">
        <v>59</v>
      </c>
      <c r="B211" s="9">
        <v>2021</v>
      </c>
      <c r="C211" s="4">
        <v>-4.1746058372987411</v>
      </c>
      <c r="D211" s="10">
        <v>0.25684152955439832</v>
      </c>
      <c r="E211" s="11">
        <v>8.1699999999999995E-2</v>
      </c>
      <c r="F211" s="11">
        <v>0.21760000000000002</v>
      </c>
      <c r="G211" s="12">
        <v>0.30744719431856998</v>
      </c>
      <c r="H211" s="12">
        <v>-0.26297974623227344</v>
      </c>
      <c r="I211" s="12">
        <v>-6.3051104468222707E-2</v>
      </c>
      <c r="J211" s="12">
        <v>2.5118435775827164E-2</v>
      </c>
      <c r="K211" s="12">
        <v>-2.1485445267176738E-2</v>
      </c>
      <c r="L211" s="12">
        <v>-5.1512752350537944E-3</v>
      </c>
      <c r="M211" s="12">
        <v>6.6900509483720838E-2</v>
      </c>
      <c r="N211" s="12">
        <v>-5.7224392780142706E-2</v>
      </c>
      <c r="O211" s="12">
        <v>-1.3719920332285262E-2</v>
      </c>
      <c r="P211">
        <f t="shared" si="9"/>
        <v>7.8965207645989841E-2</v>
      </c>
      <c r="Q211">
        <f t="shared" si="10"/>
        <v>-6.7544120264124624E-2</v>
      </c>
      <c r="R211">
        <f t="shared" si="11"/>
        <v>-1.6194142111712478E-2</v>
      </c>
    </row>
    <row r="212" spans="1:18" ht="13">
      <c r="A212" s="8" t="s">
        <v>60</v>
      </c>
      <c r="B212" s="9">
        <v>2017</v>
      </c>
      <c r="C212" s="4">
        <v>-1.2935469048656274</v>
      </c>
      <c r="D212" s="10">
        <v>0.56746737369258526</v>
      </c>
      <c r="E212" s="11">
        <v>0.1056</v>
      </c>
      <c r="F212" s="11">
        <v>0.1807</v>
      </c>
      <c r="G212" s="12">
        <v>-0.14577004127223223</v>
      </c>
      <c r="H212" s="12">
        <v>-8.7706700106985423E-3</v>
      </c>
      <c r="I212" s="12">
        <v>0.15532492712795032</v>
      </c>
      <c r="J212" s="12">
        <v>-1.5393316358347724E-2</v>
      </c>
      <c r="K212" s="12">
        <v>-9.2618275312976602E-4</v>
      </c>
      <c r="L212" s="12">
        <v>1.6402312304711553E-2</v>
      </c>
      <c r="M212" s="12">
        <v>-2.6340646457892362E-2</v>
      </c>
      <c r="N212" s="12">
        <v>-1.5848600709332265E-3</v>
      </c>
      <c r="O212" s="12">
        <v>2.8067214332020623E-2</v>
      </c>
      <c r="P212">
        <f t="shared" si="9"/>
        <v>-8.2719742483813377E-2</v>
      </c>
      <c r="Q212">
        <f t="shared" si="10"/>
        <v>-4.9770690764954209E-3</v>
      </c>
      <c r="R212">
        <f t="shared" si="11"/>
        <v>8.8141828466290165E-2</v>
      </c>
    </row>
    <row r="213" spans="1:18" ht="13">
      <c r="A213" s="8" t="s">
        <v>60</v>
      </c>
      <c r="B213" s="9">
        <v>2018</v>
      </c>
      <c r="C213" s="4">
        <v>-0.7925378481040114</v>
      </c>
      <c r="D213" s="10">
        <v>0.6552570368584405</v>
      </c>
      <c r="E213" s="11">
        <v>0.1077</v>
      </c>
      <c r="F213" s="11">
        <v>0.1807</v>
      </c>
      <c r="G213" s="12">
        <v>-5.6487185724722139E-2</v>
      </c>
      <c r="H213" s="12">
        <v>-4.8305786661638327E-3</v>
      </c>
      <c r="I213" s="12">
        <v>7.8017893429495208E-2</v>
      </c>
      <c r="J213" s="12">
        <v>-6.0836699025525742E-3</v>
      </c>
      <c r="K213" s="12">
        <v>-5.2025332234584482E-4</v>
      </c>
      <c r="L213" s="12">
        <v>8.4025271223566334E-3</v>
      </c>
      <c r="M213" s="12">
        <v>-1.0207234460457291E-2</v>
      </c>
      <c r="N213" s="12">
        <v>-8.7288556497580453E-4</v>
      </c>
      <c r="O213" s="12">
        <v>1.4097833342709785E-2</v>
      </c>
      <c r="P213">
        <f t="shared" si="9"/>
        <v>-3.701362593845383E-2</v>
      </c>
      <c r="Q213">
        <f t="shared" si="10"/>
        <v>-3.165270663102111E-3</v>
      </c>
      <c r="R213">
        <f t="shared" si="11"/>
        <v>5.1121773670548626E-2</v>
      </c>
    </row>
    <row r="214" spans="1:18" ht="13">
      <c r="A214" s="8" t="s">
        <v>60</v>
      </c>
      <c r="B214" s="9">
        <v>2019</v>
      </c>
      <c r="C214" s="4">
        <v>-1.1034179317741888</v>
      </c>
      <c r="D214" s="10">
        <v>0.61545647175544538</v>
      </c>
      <c r="E214" s="11">
        <v>0.16700000000000001</v>
      </c>
      <c r="F214" s="11">
        <v>0.18520000000000003</v>
      </c>
      <c r="G214" s="12">
        <v>0.11920308513567332</v>
      </c>
      <c r="H214" s="12">
        <v>-7.317919349777985E-4</v>
      </c>
      <c r="I214" s="12">
        <v>-9.3773315395194831E-2</v>
      </c>
      <c r="J214" s="12">
        <v>1.9906915217657445E-2</v>
      </c>
      <c r="K214" s="12">
        <v>-1.2220925314129235E-4</v>
      </c>
      <c r="L214" s="12">
        <v>-1.5660143670997537E-2</v>
      </c>
      <c r="M214" s="12">
        <v>2.2076411367126701E-2</v>
      </c>
      <c r="N214" s="12">
        <v>-1.3552786635788829E-4</v>
      </c>
      <c r="O214" s="12">
        <v>-1.7366818011190086E-2</v>
      </c>
      <c r="P214">
        <f t="shared" si="9"/>
        <v>7.3364310199965477E-2</v>
      </c>
      <c r="Q214">
        <f t="shared" si="10"/>
        <v>-4.5038608236052616E-4</v>
      </c>
      <c r="R214">
        <f t="shared" si="11"/>
        <v>-5.7713393837937201E-2</v>
      </c>
    </row>
    <row r="215" spans="1:18" ht="13">
      <c r="A215" s="8" t="s">
        <v>60</v>
      </c>
      <c r="B215" s="9">
        <v>2020</v>
      </c>
      <c r="C215" s="4">
        <v>-1.1500335238078461</v>
      </c>
      <c r="D215" s="10">
        <v>0.62245625191752318</v>
      </c>
      <c r="E215" s="11">
        <v>0.28539999999999999</v>
      </c>
      <c r="F215" s="11">
        <v>0.13320000000000001</v>
      </c>
      <c r="G215" s="12">
        <v>0.26929230896561113</v>
      </c>
      <c r="H215" s="12">
        <v>-1.9037085020112782E-2</v>
      </c>
      <c r="I215" s="12">
        <v>-7.0549964170736335E-3</v>
      </c>
      <c r="J215" s="12">
        <v>7.6856024978785409E-2</v>
      </c>
      <c r="K215" s="12">
        <v>-5.4331840647401878E-3</v>
      </c>
      <c r="L215" s="12">
        <v>-2.0134959774328149E-3</v>
      </c>
      <c r="M215" s="12">
        <v>3.5869735554219406E-2</v>
      </c>
      <c r="N215" s="12">
        <v>-2.5357397246790229E-3</v>
      </c>
      <c r="O215" s="12">
        <v>-9.3972552275420806E-4</v>
      </c>
      <c r="P215">
        <f t="shared" si="9"/>
        <v>0.16762268130894992</v>
      </c>
      <c r="Q215">
        <f t="shared" si="10"/>
        <v>-1.1849752589054628E-2</v>
      </c>
      <c r="R215">
        <f t="shared" si="11"/>
        <v>-4.391426627063209E-3</v>
      </c>
    </row>
    <row r="216" spans="1:18" ht="13">
      <c r="A216" s="8" t="s">
        <v>60</v>
      </c>
      <c r="B216" s="9">
        <v>2021</v>
      </c>
      <c r="C216" s="4">
        <v>-0.60690320587992563</v>
      </c>
      <c r="D216" s="10">
        <v>0.72783300868852518</v>
      </c>
      <c r="E216" s="11">
        <v>0.2707</v>
      </c>
      <c r="F216" s="11">
        <v>6.6E-3</v>
      </c>
      <c r="G216" s="12">
        <v>2.2807340985809901E-2</v>
      </c>
      <c r="H216" s="12">
        <v>1.8701805698821813E-3</v>
      </c>
      <c r="I216" s="12">
        <v>6.9586302037699499E-2</v>
      </c>
      <c r="J216" s="12">
        <v>6.1739472048587402E-3</v>
      </c>
      <c r="K216" s="12">
        <v>5.0625788026710647E-4</v>
      </c>
      <c r="L216" s="12">
        <v>1.8837011961605254E-2</v>
      </c>
      <c r="M216" s="12">
        <v>1.5052845050634534E-4</v>
      </c>
      <c r="N216" s="12">
        <v>1.2343191761222397E-5</v>
      </c>
      <c r="O216" s="12">
        <v>4.5926959344881667E-4</v>
      </c>
      <c r="P216">
        <f t="shared" si="9"/>
        <v>1.6599935609887134E-2</v>
      </c>
      <c r="Q216">
        <f t="shared" si="10"/>
        <v>1.3611791509681686E-3</v>
      </c>
      <c r="R216">
        <f t="shared" si="11"/>
        <v>5.0647207575607277E-2</v>
      </c>
    </row>
    <row r="217" spans="1:18" ht="13">
      <c r="A217" s="8" t="s">
        <v>61</v>
      </c>
      <c r="B217" s="9">
        <v>2017</v>
      </c>
      <c r="C217" s="4">
        <v>-4.6575373462944798</v>
      </c>
      <c r="D217" s="10">
        <v>6.4723565546987327E-2</v>
      </c>
      <c r="E217" s="11">
        <v>0.1208</v>
      </c>
      <c r="F217" s="11">
        <v>5.7500000000000002E-2</v>
      </c>
      <c r="G217" s="12">
        <v>0.13240099333420466</v>
      </c>
      <c r="H217" s="12">
        <v>5.9704613775976995E-2</v>
      </c>
      <c r="I217" s="12">
        <v>-9.8418507384655587E-2</v>
      </c>
      <c r="J217" s="12">
        <v>1.5994039994771923E-2</v>
      </c>
      <c r="K217" s="12">
        <v>7.2123173441380212E-3</v>
      </c>
      <c r="L217" s="12">
        <v>-1.1888955692066395E-2</v>
      </c>
      <c r="M217" s="12">
        <v>7.6130571167167685E-3</v>
      </c>
      <c r="N217" s="12">
        <v>3.4330152921186775E-3</v>
      </c>
      <c r="O217" s="12">
        <v>-5.6590641746176963E-3</v>
      </c>
      <c r="P217">
        <f t="shared" si="9"/>
        <v>8.5694643705526274E-3</v>
      </c>
      <c r="Q217">
        <f t="shared" si="10"/>
        <v>3.8642954831870097E-3</v>
      </c>
      <c r="R217">
        <f t="shared" si="11"/>
        <v>-6.369996713747412E-3</v>
      </c>
    </row>
    <row r="218" spans="1:18" ht="13">
      <c r="A218" s="8" t="s">
        <v>61</v>
      </c>
      <c r="B218" s="9">
        <v>2018</v>
      </c>
      <c r="C218" s="4">
        <v>-4.6018869126399888</v>
      </c>
      <c r="D218" s="10">
        <v>7.8400038162476746E-2</v>
      </c>
      <c r="E218" s="11">
        <v>9.7799999999999998E-2</v>
      </c>
      <c r="F218" s="11">
        <v>6.0500000000000005E-2</v>
      </c>
      <c r="G218" s="12">
        <v>9.9341697276153218E-2</v>
      </c>
      <c r="H218" s="12">
        <v>2.2706673663120736E-2</v>
      </c>
      <c r="I218" s="12">
        <v>-7.2198635691456375E-2</v>
      </c>
      <c r="J218" s="12">
        <v>9.7156179936077839E-3</v>
      </c>
      <c r="K218" s="12">
        <v>2.220712684253208E-3</v>
      </c>
      <c r="L218" s="12">
        <v>-7.0610265706244337E-3</v>
      </c>
      <c r="M218" s="12">
        <v>6.0101726852072705E-3</v>
      </c>
      <c r="N218" s="12">
        <v>1.3737537566188046E-3</v>
      </c>
      <c r="O218" s="12">
        <v>-4.3680174593331107E-3</v>
      </c>
      <c r="P218">
        <f t="shared" si="9"/>
        <v>7.7883928575756241E-3</v>
      </c>
      <c r="Q218">
        <f t="shared" si="10"/>
        <v>1.7802040817315712E-3</v>
      </c>
      <c r="R218">
        <f t="shared" si="11"/>
        <v>-5.6603757934889356E-3</v>
      </c>
    </row>
    <row r="219" spans="1:18" ht="13">
      <c r="A219" s="8" t="s">
        <v>61</v>
      </c>
      <c r="B219" s="9">
        <v>2019</v>
      </c>
      <c r="C219" s="4">
        <v>-4.5171311319175773</v>
      </c>
      <c r="D219" s="10">
        <v>9.2641646545863723E-2</v>
      </c>
      <c r="E219" s="11">
        <v>9.6199999999999994E-2</v>
      </c>
      <c r="F219" s="11">
        <v>5.9700000000000003E-2</v>
      </c>
      <c r="G219" s="12">
        <v>0.13704024941981763</v>
      </c>
      <c r="H219" s="12">
        <v>-5.4384772263766146E-2</v>
      </c>
      <c r="I219" s="12">
        <v>-0.1447291310157294</v>
      </c>
      <c r="J219" s="12">
        <v>1.3183271994186455E-2</v>
      </c>
      <c r="K219" s="12">
        <v>-5.2318150917743025E-3</v>
      </c>
      <c r="L219" s="12">
        <v>-1.3922942403713168E-2</v>
      </c>
      <c r="M219" s="12">
        <v>8.1813028903631128E-3</v>
      </c>
      <c r="N219" s="12">
        <v>-3.2467709041468389E-3</v>
      </c>
      <c r="O219" s="12">
        <v>-8.6403291216390465E-3</v>
      </c>
      <c r="P219">
        <f t="shared" si="9"/>
        <v>1.269563434930775E-2</v>
      </c>
      <c r="Q219">
        <f t="shared" si="10"/>
        <v>-5.0382948495371165E-3</v>
      </c>
      <c r="R219">
        <f t="shared" si="11"/>
        <v>-1.3407945000449206E-2</v>
      </c>
    </row>
    <row r="220" spans="1:18" ht="13">
      <c r="A220" s="8" t="s">
        <v>61</v>
      </c>
      <c r="B220" s="9">
        <v>2020</v>
      </c>
      <c r="C220" s="4">
        <v>-4.7002232010630021</v>
      </c>
      <c r="D220" s="10">
        <v>9.8329968029614676E-2</v>
      </c>
      <c r="E220" s="11">
        <v>0.12670000000000001</v>
      </c>
      <c r="F220" s="11">
        <v>2.92E-2</v>
      </c>
      <c r="G220" s="12">
        <v>0.22229934376577487</v>
      </c>
      <c r="H220" s="12">
        <v>-0.18235739525492176</v>
      </c>
      <c r="I220" s="12">
        <v>-0.10844691233383813</v>
      </c>
      <c r="J220" s="12">
        <v>2.8165326855123678E-2</v>
      </c>
      <c r="K220" s="12">
        <v>-2.3104681978798589E-2</v>
      </c>
      <c r="L220" s="12">
        <v>-1.3740223792697293E-2</v>
      </c>
      <c r="M220" s="12">
        <v>6.4911408379606265E-3</v>
      </c>
      <c r="N220" s="12">
        <v>-5.3248359414437155E-3</v>
      </c>
      <c r="O220" s="12">
        <v>-3.1666498401480736E-3</v>
      </c>
      <c r="P220">
        <f t="shared" si="9"/>
        <v>2.1858687365492964E-2</v>
      </c>
      <c r="Q220">
        <f t="shared" si="10"/>
        <v>-1.7931196845380262E-2</v>
      </c>
      <c r="R220">
        <f t="shared" si="11"/>
        <v>-1.0663581422696728E-2</v>
      </c>
    </row>
    <row r="221" spans="1:18" ht="13">
      <c r="A221" s="8" t="s">
        <v>61</v>
      </c>
      <c r="B221" s="9">
        <v>2021</v>
      </c>
      <c r="C221" s="4">
        <v>-4.4199743159515243</v>
      </c>
      <c r="D221" s="10">
        <v>0.11791724709160047</v>
      </c>
      <c r="E221" s="11">
        <v>0.1391</v>
      </c>
      <c r="F221" s="11">
        <v>1.7899999999999999E-2</v>
      </c>
      <c r="G221" s="12">
        <v>0.2603629381423892</v>
      </c>
      <c r="H221" s="12">
        <v>5.1202891457399948E-3</v>
      </c>
      <c r="I221" s="12">
        <v>-8.3167049433379769E-2</v>
      </c>
      <c r="J221" s="12">
        <v>3.6216484695606337E-2</v>
      </c>
      <c r="K221" s="12">
        <v>7.1223222017243327E-4</v>
      </c>
      <c r="L221" s="12">
        <v>-1.1568536576183126E-2</v>
      </c>
      <c r="M221" s="12">
        <v>4.6604965927487668E-3</v>
      </c>
      <c r="N221" s="12">
        <v>9.1653175708745905E-5</v>
      </c>
      <c r="O221" s="12">
        <v>-1.4886901848574978E-3</v>
      </c>
      <c r="P221">
        <f t="shared" si="9"/>
        <v>3.0701280910431197E-2</v>
      </c>
      <c r="Q221">
        <f t="shared" si="10"/>
        <v>6.0377040037866284E-4</v>
      </c>
      <c r="R221">
        <f t="shared" si="11"/>
        <v>-9.8068295179151929E-3</v>
      </c>
    </row>
    <row r="222" spans="1:18" ht="13">
      <c r="A222" s="8" t="s">
        <v>62</v>
      </c>
      <c r="B222" s="9">
        <v>2017</v>
      </c>
      <c r="C222" s="4">
        <v>-2.0291084388099638</v>
      </c>
      <c r="D222" s="10">
        <v>0.44871506647544479</v>
      </c>
      <c r="E222" s="11">
        <v>0.36199999999999999</v>
      </c>
      <c r="F222" s="11">
        <v>0.22020000000000003</v>
      </c>
      <c r="G222" s="12">
        <v>7.7444862203961389E-3</v>
      </c>
      <c r="H222" s="12">
        <v>-0.26960734912205897</v>
      </c>
      <c r="I222" s="12">
        <v>0.32115973487344468</v>
      </c>
      <c r="J222" s="12">
        <v>2.803504011783402E-3</v>
      </c>
      <c r="K222" s="12">
        <v>-9.7597860382185347E-2</v>
      </c>
      <c r="L222" s="12">
        <v>0.11625982402418697</v>
      </c>
      <c r="M222" s="12">
        <v>1.7053358657312301E-3</v>
      </c>
      <c r="N222" s="12">
        <v>-5.9367538276677394E-2</v>
      </c>
      <c r="O222" s="12">
        <v>7.0719373619132525E-2</v>
      </c>
      <c r="P222">
        <f t="shared" si="9"/>
        <v>3.4750676492032195E-3</v>
      </c>
      <c r="Q222">
        <f t="shared" si="10"/>
        <v>-0.12097687958357314</v>
      </c>
      <c r="R222">
        <f t="shared" si="11"/>
        <v>0.14410921178297395</v>
      </c>
    </row>
    <row r="223" spans="1:18" ht="13">
      <c r="A223" s="8" t="s">
        <v>62</v>
      </c>
      <c r="B223" s="9">
        <v>2018</v>
      </c>
      <c r="C223" s="4">
        <v>-1.586747362514743</v>
      </c>
      <c r="D223" s="10">
        <v>0.53539818125634575</v>
      </c>
      <c r="E223" s="11">
        <v>0.32690000000000002</v>
      </c>
      <c r="F223" s="11">
        <v>9.9100000000000008E-2</v>
      </c>
      <c r="G223" s="12">
        <v>-2.500772524610427E-2</v>
      </c>
      <c r="H223" s="12">
        <v>-0.29168873879839313</v>
      </c>
      <c r="I223" s="12">
        <v>0.27108992186465369</v>
      </c>
      <c r="J223" s="12">
        <v>-8.1750253829514872E-3</v>
      </c>
      <c r="K223" s="12">
        <v>-9.5353048713194721E-2</v>
      </c>
      <c r="L223" s="12">
        <v>8.86192954575553E-2</v>
      </c>
      <c r="M223" s="12">
        <v>-2.4782655718889332E-3</v>
      </c>
      <c r="N223" s="12">
        <v>-2.8906354014920761E-2</v>
      </c>
      <c r="O223" s="12">
        <v>2.6865011256787183E-2</v>
      </c>
      <c r="P223">
        <f t="shared" si="9"/>
        <v>-1.3389090614122627E-2</v>
      </c>
      <c r="Q223">
        <f t="shared" si="10"/>
        <v>-0.15616962024561698</v>
      </c>
      <c r="R223">
        <f t="shared" si="11"/>
        <v>0.14514105112326048</v>
      </c>
    </row>
    <row r="224" spans="1:18" ht="13">
      <c r="A224" s="8" t="s">
        <v>62</v>
      </c>
      <c r="B224" s="9">
        <v>2019</v>
      </c>
      <c r="C224" s="4">
        <v>-2.0094042669810399</v>
      </c>
      <c r="D224" s="10">
        <v>0.47080367958812841</v>
      </c>
      <c r="E224" s="11">
        <v>0.35299999999999998</v>
      </c>
      <c r="F224" s="11">
        <v>0.20610000000000001</v>
      </c>
      <c r="G224" s="12">
        <v>9.105277104784977E-2</v>
      </c>
      <c r="H224" s="12">
        <v>-8.9103195033313123E-3</v>
      </c>
      <c r="I224" s="12">
        <v>-2.1663007268322227E-2</v>
      </c>
      <c r="J224" s="12">
        <v>3.2141628179890969E-2</v>
      </c>
      <c r="K224" s="12">
        <v>-3.1453427846759529E-3</v>
      </c>
      <c r="L224" s="12">
        <v>-7.6470415657177455E-3</v>
      </c>
      <c r="M224" s="12">
        <v>1.8765976112961838E-2</v>
      </c>
      <c r="N224" s="12">
        <v>-1.8364168496365835E-3</v>
      </c>
      <c r="O224" s="12">
        <v>-4.4647457980012111E-3</v>
      </c>
      <c r="P224">
        <f t="shared" si="9"/>
        <v>4.2867979646023076E-2</v>
      </c>
      <c r="Q224">
        <f t="shared" si="10"/>
        <v>-4.1950112084742468E-3</v>
      </c>
      <c r="R224">
        <f t="shared" si="11"/>
        <v>-1.0199023532870475E-2</v>
      </c>
    </row>
    <row r="225" spans="1:18" ht="13">
      <c r="A225" s="8" t="s">
        <v>62</v>
      </c>
      <c r="B225" s="9">
        <v>2020</v>
      </c>
      <c r="C225" s="4">
        <v>-2.8587606798763772</v>
      </c>
      <c r="D225" s="10">
        <v>0.3893395437611904</v>
      </c>
      <c r="E225" s="11">
        <v>0.27289999999999998</v>
      </c>
      <c r="F225" s="11">
        <v>0.24399999999999999</v>
      </c>
      <c r="G225" s="12">
        <v>0.20776770431592634</v>
      </c>
      <c r="H225" s="12">
        <v>-2.4304719545774914E-2</v>
      </c>
      <c r="I225" s="12">
        <v>-0.1634352304614482</v>
      </c>
      <c r="J225" s="12">
        <v>5.6699806507816294E-2</v>
      </c>
      <c r="K225" s="12">
        <v>-6.6327579640419734E-3</v>
      </c>
      <c r="L225" s="12">
        <v>-4.4601474392929212E-2</v>
      </c>
      <c r="M225" s="12">
        <v>5.0695319853086028E-2</v>
      </c>
      <c r="N225" s="12">
        <v>-5.9303515691690786E-3</v>
      </c>
      <c r="O225" s="12">
        <v>-3.9878196232593359E-2</v>
      </c>
      <c r="P225">
        <f t="shared" si="9"/>
        <v>8.0892183206672671E-2</v>
      </c>
      <c r="Q225">
        <f t="shared" si="10"/>
        <v>-9.4627884191956918E-3</v>
      </c>
      <c r="R225">
        <f t="shared" si="11"/>
        <v>-6.3631798062365255E-2</v>
      </c>
    </row>
    <row r="226" spans="1:18" ht="13">
      <c r="A226" s="8" t="s">
        <v>62</v>
      </c>
      <c r="B226" s="9">
        <v>2021</v>
      </c>
      <c r="C226" s="4">
        <v>-3.5371647275126272</v>
      </c>
      <c r="D226" s="10">
        <v>0.29324898907661362</v>
      </c>
      <c r="E226" s="11">
        <v>0.39529999999999998</v>
      </c>
      <c r="F226" s="11">
        <v>0.27750000000000002</v>
      </c>
      <c r="G226" s="12">
        <v>0.13215090348024169</v>
      </c>
      <c r="H226" s="12">
        <v>-7.8641718757157669E-2</v>
      </c>
      <c r="I226" s="12">
        <v>-9.6782119461784805E-2</v>
      </c>
      <c r="J226" s="12">
        <v>5.2239252145739538E-2</v>
      </c>
      <c r="K226" s="12">
        <v>-3.1087071424704425E-2</v>
      </c>
      <c r="L226" s="12">
        <v>-3.8257971823243531E-2</v>
      </c>
      <c r="M226" s="12">
        <v>3.667187571576707E-2</v>
      </c>
      <c r="N226" s="12">
        <v>-2.1823076955111254E-2</v>
      </c>
      <c r="O226" s="12">
        <v>-2.6857038150645284E-2</v>
      </c>
      <c r="P226">
        <f t="shared" si="9"/>
        <v>3.8753118851142014E-2</v>
      </c>
      <c r="Q226">
        <f t="shared" si="10"/>
        <v>-2.3061604524783851E-2</v>
      </c>
      <c r="R226">
        <f t="shared" si="11"/>
        <v>-2.8381258692860446E-2</v>
      </c>
    </row>
    <row r="227" spans="1:18" ht="13">
      <c r="A227" s="8" t="s">
        <v>63</v>
      </c>
      <c r="B227" s="9">
        <v>2017</v>
      </c>
      <c r="C227" s="4">
        <v>-3.1640732742663453</v>
      </c>
      <c r="D227" s="10">
        <v>0.32498996936988073</v>
      </c>
      <c r="E227" s="11">
        <v>0.48470000000000002</v>
      </c>
      <c r="F227" s="11">
        <v>0.1336</v>
      </c>
      <c r="G227" s="12">
        <v>0.11261461829782653</v>
      </c>
      <c r="H227" s="12">
        <v>-4.702163680311585E-2</v>
      </c>
      <c r="I227" s="12">
        <v>-7.8659712096450618E-2</v>
      </c>
      <c r="J227" s="12">
        <v>5.4584305488956521E-2</v>
      </c>
      <c r="K227" s="12">
        <v>-2.2791387358470253E-2</v>
      </c>
      <c r="L227" s="12">
        <v>-3.8126362453149619E-2</v>
      </c>
      <c r="M227" s="12">
        <v>1.5045313004589623E-2</v>
      </c>
      <c r="N227" s="12">
        <v>-6.2820906768962775E-3</v>
      </c>
      <c r="O227" s="12">
        <v>-1.0508937536085802E-2</v>
      </c>
      <c r="P227">
        <f t="shared" si="9"/>
        <v>3.6598621351211454E-2</v>
      </c>
      <c r="Q227">
        <f t="shared" si="10"/>
        <v>-1.5281560304366277E-2</v>
      </c>
      <c r="R227">
        <f t="shared" si="11"/>
        <v>-2.5563617424869123E-2</v>
      </c>
    </row>
    <row r="228" spans="1:18" ht="13">
      <c r="A228" s="8" t="s">
        <v>63</v>
      </c>
      <c r="B228" s="9">
        <v>2018</v>
      </c>
      <c r="C228" s="4">
        <v>-3.5703429432508305</v>
      </c>
      <c r="D228" s="10">
        <v>0.25242750763202693</v>
      </c>
      <c r="E228" s="11">
        <v>0.44390000000000002</v>
      </c>
      <c r="F228" s="11">
        <v>0.1313</v>
      </c>
      <c r="G228" s="12">
        <v>6.9137604732332214E-2</v>
      </c>
      <c r="H228" s="12">
        <v>-0.10949937707443723</v>
      </c>
      <c r="I228" s="12">
        <v>-7.2311672008292985E-2</v>
      </c>
      <c r="J228" s="12">
        <v>3.0690182740682272E-2</v>
      </c>
      <c r="K228" s="12">
        <v>-4.8606773483342691E-2</v>
      </c>
      <c r="L228" s="12">
        <v>-3.2099151204481258E-2</v>
      </c>
      <c r="M228" s="12">
        <v>9.07776750135522E-3</v>
      </c>
      <c r="N228" s="12">
        <v>-1.4377268209873608E-2</v>
      </c>
      <c r="O228" s="12">
        <v>-9.4945225346888696E-3</v>
      </c>
      <c r="P228">
        <f t="shared" si="9"/>
        <v>1.7452233246230849E-2</v>
      </c>
      <c r="Q228">
        <f t="shared" si="10"/>
        <v>-2.7640654842159697E-2</v>
      </c>
      <c r="R228">
        <f t="shared" si="11"/>
        <v>-1.8253455137758005E-2</v>
      </c>
    </row>
    <row r="229" spans="1:18" ht="13">
      <c r="A229" s="8" t="s">
        <v>63</v>
      </c>
      <c r="B229" s="9">
        <v>2019</v>
      </c>
      <c r="C229" s="4">
        <v>-3.9454093758414395</v>
      </c>
      <c r="D229" s="10">
        <v>0.18550841367602164</v>
      </c>
      <c r="E229" s="11">
        <v>0.54149999999999998</v>
      </c>
      <c r="F229" s="11">
        <v>0.17350000000000002</v>
      </c>
      <c r="G229" s="12">
        <v>0.20214043532152351</v>
      </c>
      <c r="H229" s="12">
        <v>-5.3935304643075901E-2</v>
      </c>
      <c r="I229" s="12">
        <v>-0.14953627116682183</v>
      </c>
      <c r="J229" s="12">
        <v>0.10945904572660498</v>
      </c>
      <c r="K229" s="12">
        <v>-2.9205967464225598E-2</v>
      </c>
      <c r="L229" s="12">
        <v>-8.0973890836834025E-2</v>
      </c>
      <c r="M229" s="12">
        <v>3.5071365528284333E-2</v>
      </c>
      <c r="N229" s="12">
        <v>-9.3577753555736699E-3</v>
      </c>
      <c r="O229" s="12">
        <v>-2.5944543047443591E-2</v>
      </c>
      <c r="P229">
        <f t="shared" si="9"/>
        <v>3.7498751496276281E-2</v>
      </c>
      <c r="Q229">
        <f t="shared" si="10"/>
        <v>-1.0005452805469975E-2</v>
      </c>
      <c r="R229">
        <f t="shared" si="11"/>
        <v>-2.7740236451184532E-2</v>
      </c>
    </row>
    <row r="230" spans="1:18" ht="13">
      <c r="A230" s="8" t="s">
        <v>63</v>
      </c>
      <c r="B230" s="9">
        <v>2020</v>
      </c>
      <c r="C230" s="4">
        <v>-3.9371691041359496</v>
      </c>
      <c r="D230" s="10">
        <v>0.19774255199550311</v>
      </c>
      <c r="E230" s="11">
        <v>0.54590000000000005</v>
      </c>
      <c r="F230" s="11">
        <v>1.18E-4</v>
      </c>
      <c r="G230" s="12">
        <v>0.18576053962900504</v>
      </c>
      <c r="H230" s="12">
        <v>-5.5781899943788647E-2</v>
      </c>
      <c r="I230" s="12">
        <v>-0.12937155705452502</v>
      </c>
      <c r="J230" s="12">
        <v>0.10140667858347387</v>
      </c>
      <c r="K230" s="12">
        <v>-3.0451339179314224E-2</v>
      </c>
      <c r="L230" s="12">
        <v>-7.0623932996065217E-2</v>
      </c>
      <c r="M230" s="12">
        <v>2.1919743676222594E-5</v>
      </c>
      <c r="N230" s="12">
        <v>-6.5822641933670597E-6</v>
      </c>
      <c r="O230" s="12">
        <v>-1.5265843732433953E-5</v>
      </c>
      <c r="P230">
        <f t="shared" si="9"/>
        <v>3.6732763166301245E-2</v>
      </c>
      <c r="Q230">
        <f t="shared" si="10"/>
        <v>-1.1030455250042578E-2</v>
      </c>
      <c r="R230">
        <f t="shared" si="11"/>
        <v>-2.5582261847593612E-2</v>
      </c>
    </row>
    <row r="231" spans="1:18" ht="13">
      <c r="A231" s="8" t="s">
        <v>63</v>
      </c>
      <c r="B231" s="9">
        <v>2021</v>
      </c>
      <c r="C231" s="4">
        <v>-4.0583965218829388</v>
      </c>
      <c r="D231" s="10">
        <v>0.17855758423620569</v>
      </c>
      <c r="E231" s="11">
        <v>0.54239999999999999</v>
      </c>
      <c r="F231" s="11">
        <v>9.6000000000000002E-5</v>
      </c>
      <c r="G231" s="12">
        <v>9.7980150162311291E-2</v>
      </c>
      <c r="H231" s="12">
        <v>9.8946005236407106E-3</v>
      </c>
      <c r="I231" s="12">
        <v>-0.11431306264847857</v>
      </c>
      <c r="J231" s="12">
        <v>5.3144433448037647E-2</v>
      </c>
      <c r="K231" s="12">
        <v>5.3668313240227217E-3</v>
      </c>
      <c r="L231" s="12">
        <v>-6.2003405180534772E-2</v>
      </c>
      <c r="M231" s="12">
        <v>9.4060944155818839E-6</v>
      </c>
      <c r="N231" s="12">
        <v>9.4988165026950824E-7</v>
      </c>
      <c r="O231" s="12">
        <v>-1.0974054014253943E-5</v>
      </c>
      <c r="P231">
        <f t="shared" si="9"/>
        <v>1.7495098916082981E-2</v>
      </c>
      <c r="Q231">
        <f t="shared" si="10"/>
        <v>1.7667559664835812E-3</v>
      </c>
      <c r="R231">
        <f t="shared" si="11"/>
        <v>-2.0411464313154371E-2</v>
      </c>
    </row>
    <row r="232" spans="1:18" ht="13">
      <c r="A232" s="8" t="s">
        <v>64</v>
      </c>
      <c r="B232" s="9">
        <v>2017</v>
      </c>
      <c r="C232" s="4">
        <v>-1.5958187393494407</v>
      </c>
      <c r="D232" s="10">
        <v>0.47994971486873028</v>
      </c>
      <c r="E232" s="11">
        <v>3.5000000000000001E-3</v>
      </c>
      <c r="F232" s="11">
        <v>0.2026</v>
      </c>
      <c r="G232" s="12">
        <v>-2.5998870406471478E-2</v>
      </c>
      <c r="H232" s="12">
        <v>-8.5903765919070091E-2</v>
      </c>
      <c r="I232" s="12">
        <v>0.10335780785978464</v>
      </c>
      <c r="J232" s="12">
        <v>-9.0996046422650183E-5</v>
      </c>
      <c r="K232" s="12">
        <v>-3.0066318071674534E-4</v>
      </c>
      <c r="L232" s="12">
        <v>3.6175232750924625E-4</v>
      </c>
      <c r="M232" s="12">
        <v>-5.2673711443511212E-3</v>
      </c>
      <c r="N232" s="12">
        <v>-1.74041029752036E-2</v>
      </c>
      <c r="O232" s="12">
        <v>2.094029187239237E-2</v>
      </c>
      <c r="P232">
        <f t="shared" si="9"/>
        <v>-1.2478150438495057E-2</v>
      </c>
      <c r="Q232">
        <f t="shared" si="10"/>
        <v>-4.1229487959007841E-2</v>
      </c>
      <c r="R232">
        <f t="shared" si="11"/>
        <v>4.9606550411760646E-2</v>
      </c>
    </row>
    <row r="233" spans="1:18" ht="13">
      <c r="A233" s="8" t="s">
        <v>64</v>
      </c>
      <c r="B233" s="9">
        <v>2018</v>
      </c>
      <c r="C233" s="4">
        <v>-1.9526469654046585</v>
      </c>
      <c r="D233" s="10">
        <v>0.42079248432871247</v>
      </c>
      <c r="E233" s="11">
        <v>1.2999999999999999E-3</v>
      </c>
      <c r="F233" s="11">
        <v>0.23169999999999999</v>
      </c>
      <c r="G233" s="12">
        <v>1.6710584461284147E-2</v>
      </c>
      <c r="H233" s="12">
        <v>-8.8282950621123096E-2</v>
      </c>
      <c r="I233" s="12">
        <v>7.8577390791993315E-2</v>
      </c>
      <c r="J233" s="12">
        <v>2.172375979966939E-5</v>
      </c>
      <c r="K233" s="12">
        <v>-1.1476783580746002E-4</v>
      </c>
      <c r="L233" s="12">
        <v>1.0215060802959131E-4</v>
      </c>
      <c r="M233" s="12">
        <v>3.8718424196795367E-3</v>
      </c>
      <c r="N233" s="12">
        <v>-2.0455159658914219E-2</v>
      </c>
      <c r="O233" s="12">
        <v>1.8206381446504851E-2</v>
      </c>
      <c r="P233">
        <f t="shared" si="9"/>
        <v>7.0316883500485356E-3</v>
      </c>
      <c r="Q233">
        <f t="shared" si="10"/>
        <v>-3.714880211573144E-2</v>
      </c>
      <c r="R233">
        <f t="shared" si="11"/>
        <v>3.306477548343096E-2</v>
      </c>
    </row>
    <row r="234" spans="1:18" ht="13">
      <c r="A234" s="8" t="s">
        <v>64</v>
      </c>
      <c r="B234" s="9">
        <v>2019</v>
      </c>
      <c r="C234" s="4">
        <v>-2.2258647525067112</v>
      </c>
      <c r="D234" s="10">
        <v>0.37126947601398236</v>
      </c>
      <c r="E234" s="11">
        <v>1.9E-3</v>
      </c>
      <c r="F234" s="11">
        <v>0.23169999999999999</v>
      </c>
      <c r="G234" s="12">
        <v>3.7819037748774792E-2</v>
      </c>
      <c r="H234" s="12">
        <v>-1.3367527973440603E-2</v>
      </c>
      <c r="I234" s="12">
        <v>2.5944597656730316E-2</v>
      </c>
      <c r="J234" s="12">
        <v>7.1856171722672104E-5</v>
      </c>
      <c r="K234" s="12">
        <v>-2.5398303149537147E-5</v>
      </c>
      <c r="L234" s="12">
        <v>4.9294735547787601E-5</v>
      </c>
      <c r="M234" s="12">
        <v>8.762671046391118E-3</v>
      </c>
      <c r="N234" s="12">
        <v>-3.0972562314461878E-3</v>
      </c>
      <c r="O234" s="12">
        <v>6.0113632770644135E-3</v>
      </c>
      <c r="P234">
        <f t="shared" si="9"/>
        <v>1.4041054328340637E-2</v>
      </c>
      <c r="Q234">
        <f t="shared" si="10"/>
        <v>-4.9629551063015438E-3</v>
      </c>
      <c r="R234">
        <f t="shared" si="11"/>
        <v>9.6324371774078581E-3</v>
      </c>
    </row>
    <row r="235" spans="1:18" ht="13">
      <c r="A235" s="8" t="s">
        <v>64</v>
      </c>
      <c r="B235" s="9">
        <v>2020</v>
      </c>
      <c r="C235" s="4">
        <v>-0.96928893280068418</v>
      </c>
      <c r="D235" s="10">
        <v>0.46416862729972619</v>
      </c>
      <c r="E235" s="11">
        <v>8.3999999999999995E-3</v>
      </c>
      <c r="F235" s="11">
        <v>0.2636</v>
      </c>
      <c r="G235" s="12">
        <v>3.1511551664288193E-2</v>
      </c>
      <c r="H235" s="12">
        <v>-5.0005785474601772E-2</v>
      </c>
      <c r="I235" s="12">
        <v>-5.5347707023566169E-3</v>
      </c>
      <c r="J235" s="12">
        <v>2.6469703398002083E-4</v>
      </c>
      <c r="K235" s="12">
        <v>-4.2004859798665484E-4</v>
      </c>
      <c r="L235" s="12">
        <v>-4.6492073899795579E-5</v>
      </c>
      <c r="M235" s="12">
        <v>8.3064450187063672E-3</v>
      </c>
      <c r="N235" s="12">
        <v>-1.3181525051105028E-2</v>
      </c>
      <c r="O235" s="12">
        <v>-1.4589655571412043E-3</v>
      </c>
      <c r="P235">
        <f t="shared" si="9"/>
        <v>1.4626673680097053E-2</v>
      </c>
      <c r="Q235">
        <f t="shared" si="10"/>
        <v>-2.321111680079049E-2</v>
      </c>
      <c r="R235">
        <f t="shared" si="11"/>
        <v>-2.5690669193316122E-3</v>
      </c>
    </row>
    <row r="236" spans="1:18" ht="13">
      <c r="A236" s="8" t="s">
        <v>64</v>
      </c>
      <c r="B236" s="9">
        <v>2021</v>
      </c>
      <c r="C236" s="4">
        <v>-2.844099120782916</v>
      </c>
      <c r="D236" s="10">
        <v>0.35614420997688462</v>
      </c>
      <c r="E236" s="11">
        <v>1.2999999999999999E-2</v>
      </c>
      <c r="F236" s="11">
        <v>9.3700000000000006E-2</v>
      </c>
      <c r="G236" s="12">
        <v>3.4057862948325995E-2</v>
      </c>
      <c r="H236" s="12">
        <v>1.7336514801282527E-2</v>
      </c>
      <c r="I236" s="12">
        <v>-3.7543807322347321E-2</v>
      </c>
      <c r="J236" s="12">
        <v>4.427522183282379E-4</v>
      </c>
      <c r="K236" s="12">
        <v>2.2537469241667285E-4</v>
      </c>
      <c r="L236" s="12">
        <v>-4.8806949519051516E-4</v>
      </c>
      <c r="M236" s="12">
        <v>3.1912217582581461E-3</v>
      </c>
      <c r="N236" s="12">
        <v>1.6244314368801728E-3</v>
      </c>
      <c r="O236" s="12">
        <v>-3.5178547461039442E-3</v>
      </c>
      <c r="P236">
        <f t="shared" si="9"/>
        <v>1.2129510693232572E-2</v>
      </c>
      <c r="Q236">
        <f t="shared" si="10"/>
        <v>6.1742993676553327E-3</v>
      </c>
      <c r="R236">
        <f t="shared" si="11"/>
        <v>-1.3371009598341763E-2</v>
      </c>
    </row>
    <row r="237" spans="1:18" ht="13">
      <c r="A237" s="8" t="s">
        <v>65</v>
      </c>
      <c r="B237" s="9">
        <v>2017</v>
      </c>
      <c r="C237" s="4">
        <v>-1.4701438570659455</v>
      </c>
      <c r="D237" s="10">
        <v>0.52483138069742563</v>
      </c>
      <c r="E237" s="11">
        <v>1.9E-2</v>
      </c>
      <c r="F237" s="11">
        <v>5.0650000000000001E-2</v>
      </c>
      <c r="G237" s="12">
        <v>-4.2391952959200951E-2</v>
      </c>
      <c r="H237" s="12">
        <v>4.7640809241143278E-2</v>
      </c>
      <c r="I237" s="12">
        <v>-5.5726973992434943E-4</v>
      </c>
      <c r="J237" s="12">
        <v>-8.0544710622481805E-4</v>
      </c>
      <c r="K237" s="12">
        <v>9.0517537558172222E-4</v>
      </c>
      <c r="L237" s="12">
        <v>-1.0588125058562639E-5</v>
      </c>
      <c r="M237" s="12">
        <v>-2.1471524173835282E-3</v>
      </c>
      <c r="N237" s="12">
        <v>2.4130069880639073E-3</v>
      </c>
      <c r="O237" s="12">
        <v>-2.8225712327168298E-5</v>
      </c>
      <c r="P237">
        <f t="shared" si="9"/>
        <v>-2.2248627202037755E-2</v>
      </c>
      <c r="Q237">
        <f t="shared" si="10"/>
        <v>2.50033916915719E-2</v>
      </c>
      <c r="R237">
        <f t="shared" si="11"/>
        <v>-2.924726470253916E-4</v>
      </c>
    </row>
    <row r="238" spans="1:18" ht="13">
      <c r="A238" s="8" t="s">
        <v>65</v>
      </c>
      <c r="B238" s="9">
        <v>2018</v>
      </c>
      <c r="C238" s="4">
        <v>-1.5127021726371805</v>
      </c>
      <c r="D238" s="10">
        <v>0.52878978822062295</v>
      </c>
      <c r="E238" s="11">
        <v>2.0400000000000001E-2</v>
      </c>
      <c r="F238" s="11">
        <v>9.8539999999999975E-2</v>
      </c>
      <c r="G238" s="12">
        <v>6.3022989969423793E-2</v>
      </c>
      <c r="H238" s="12">
        <v>3.4648154084170192E-2</v>
      </c>
      <c r="I238" s="12">
        <v>-1.9813791054300943E-2</v>
      </c>
      <c r="J238" s="12">
        <v>1.2856689953762454E-3</v>
      </c>
      <c r="K238" s="12">
        <v>7.06822343317072E-4</v>
      </c>
      <c r="L238" s="12">
        <v>-4.0420133750773929E-4</v>
      </c>
      <c r="M238" s="12">
        <v>6.210285431587019E-3</v>
      </c>
      <c r="N238" s="12">
        <v>3.4142291034541298E-3</v>
      </c>
      <c r="O238" s="12">
        <v>-1.9524509704908143E-3</v>
      </c>
      <c r="P238">
        <f t="shared" si="9"/>
        <v>3.3325913518962053E-2</v>
      </c>
      <c r="Q238">
        <f t="shared" si="10"/>
        <v>1.8321590060403868E-2</v>
      </c>
      <c r="R238">
        <f t="shared" si="11"/>
        <v>-1.0477330375451469E-2</v>
      </c>
    </row>
    <row r="239" spans="1:18" ht="13">
      <c r="A239" s="8" t="s">
        <v>65</v>
      </c>
      <c r="B239" s="9">
        <v>2019</v>
      </c>
      <c r="C239" s="4">
        <v>-1.600839202308453</v>
      </c>
      <c r="D239" s="10">
        <v>0.51087745494514614</v>
      </c>
      <c r="E239" s="11">
        <v>0.59099999999999997</v>
      </c>
      <c r="F239" s="11">
        <v>0.1062</v>
      </c>
      <c r="G239" s="12">
        <v>-2.9938162037663942E-2</v>
      </c>
      <c r="H239" s="12">
        <v>-1.1247701967615892E-3</v>
      </c>
      <c r="I239" s="12">
        <v>1.3872979042920596E-2</v>
      </c>
      <c r="J239" s="12">
        <v>-1.769345376425939E-2</v>
      </c>
      <c r="K239" s="12">
        <v>-6.647391862860992E-4</v>
      </c>
      <c r="L239" s="12">
        <v>8.198930614366072E-3</v>
      </c>
      <c r="M239" s="12">
        <v>-3.1794328083999106E-3</v>
      </c>
      <c r="N239" s="12">
        <v>-1.1945059489608078E-4</v>
      </c>
      <c r="O239" s="12">
        <v>1.4733103743581673E-3</v>
      </c>
      <c r="P239">
        <f t="shared" si="9"/>
        <v>-1.5294732027537145E-2</v>
      </c>
      <c r="Q239">
        <f t="shared" si="10"/>
        <v>-5.7461973551971193E-4</v>
      </c>
      <c r="R239">
        <f t="shared" si="11"/>
        <v>7.0873922259546236E-3</v>
      </c>
    </row>
    <row r="240" spans="1:18" ht="13">
      <c r="A240" s="8" t="s">
        <v>65</v>
      </c>
      <c r="B240" s="9">
        <v>2020</v>
      </c>
      <c r="C240" s="4">
        <v>-1.1883267695564586</v>
      </c>
      <c r="D240" s="10">
        <v>0.59495474439716689</v>
      </c>
      <c r="E240" s="11">
        <v>1.83E-2</v>
      </c>
      <c r="F240" s="11">
        <v>0.1804</v>
      </c>
      <c r="G240" s="12">
        <v>-4.2642751324182999E-2</v>
      </c>
      <c r="H240" s="12">
        <v>-1.6142179710066497E-3</v>
      </c>
      <c r="I240" s="12">
        <v>2.8106333754997395E-2</v>
      </c>
      <c r="J240" s="12">
        <v>-7.8036234923254885E-4</v>
      </c>
      <c r="K240" s="12">
        <v>-2.9540188869421691E-5</v>
      </c>
      <c r="L240" s="12">
        <v>5.1434590771645239E-4</v>
      </c>
      <c r="M240" s="12">
        <v>-7.6927523388826136E-3</v>
      </c>
      <c r="N240" s="12">
        <v>-2.9120492196959961E-4</v>
      </c>
      <c r="O240" s="12">
        <v>5.0703826094015301E-3</v>
      </c>
      <c r="P240">
        <f t="shared" si="9"/>
        <v>-2.5370507214471247E-2</v>
      </c>
      <c r="Q240">
        <f t="shared" si="10"/>
        <v>-9.6038664034157461E-4</v>
      </c>
      <c r="R240">
        <f t="shared" si="11"/>
        <v>1.6721996615145941E-2</v>
      </c>
    </row>
    <row r="241" spans="1:18" ht="13">
      <c r="A241" s="8" t="s">
        <v>65</v>
      </c>
      <c r="B241" s="9">
        <v>2021</v>
      </c>
      <c r="C241" s="4">
        <v>-1.4696066853140828</v>
      </c>
      <c r="D241" s="10">
        <v>0.54463551157779766</v>
      </c>
      <c r="E241" s="11">
        <v>1.9300000000000001E-2</v>
      </c>
      <c r="F241" s="11">
        <v>0.24132999999999996</v>
      </c>
      <c r="G241" s="12">
        <v>-0.11672651941900289</v>
      </c>
      <c r="H241" s="12">
        <v>-0.16427948168505777</v>
      </c>
      <c r="I241" s="12">
        <v>0.31646000154331061</v>
      </c>
      <c r="J241" s="12">
        <v>-2.2528218247867557E-3</v>
      </c>
      <c r="K241" s="12">
        <v>-3.170593996521615E-3</v>
      </c>
      <c r="L241" s="12">
        <v>6.1076780297858952E-3</v>
      </c>
      <c r="M241" s="12">
        <v>-2.8169610931387961E-2</v>
      </c>
      <c r="N241" s="12">
        <v>-3.9645567315054982E-2</v>
      </c>
      <c r="O241" s="12">
        <v>7.6371292172447133E-2</v>
      </c>
      <c r="P241">
        <f t="shared" si="9"/>
        <v>-6.3573407618464375E-2</v>
      </c>
      <c r="Q241">
        <f t="shared" si="10"/>
        <v>-8.9472439549276875E-2</v>
      </c>
      <c r="R241">
        <f t="shared" si="11"/>
        <v>0.17235535483445161</v>
      </c>
    </row>
    <row r="242" spans="1:18" ht="13">
      <c r="A242" s="8" t="s">
        <v>66</v>
      </c>
      <c r="B242" s="9">
        <v>2017</v>
      </c>
      <c r="C242" s="4">
        <v>-0.93798432509505814</v>
      </c>
      <c r="D242" s="10">
        <v>0.59678026680332841</v>
      </c>
      <c r="E242" s="11">
        <v>0.14180000000000001</v>
      </c>
      <c r="F242" s="11">
        <v>0.18983699999999995</v>
      </c>
      <c r="G242" s="12">
        <v>-4.0738695625498499E-2</v>
      </c>
      <c r="H242" s="12">
        <v>-3.6745908867258786E-2</v>
      </c>
      <c r="I242" s="12">
        <v>0.11037246360597126</v>
      </c>
      <c r="J242" s="12">
        <v>-5.7767470396956873E-3</v>
      </c>
      <c r="K242" s="12">
        <v>-5.2105698773772966E-3</v>
      </c>
      <c r="L242" s="12">
        <v>1.5650815339326725E-2</v>
      </c>
      <c r="M242" s="12">
        <v>-7.7337117614577561E-3</v>
      </c>
      <c r="N242" s="12">
        <v>-6.9757331016338043E-3</v>
      </c>
      <c r="O242" s="12">
        <v>2.095277737356676E-2</v>
      </c>
      <c r="P242">
        <f t="shared" si="9"/>
        <v>-2.431204964460458E-2</v>
      </c>
      <c r="Q242">
        <f t="shared" si="10"/>
        <v>-2.192923329773349E-2</v>
      </c>
      <c r="R242">
        <f t="shared" si="11"/>
        <v>6.586810827851218E-2</v>
      </c>
    </row>
    <row r="243" spans="1:18" ht="13">
      <c r="A243" s="8" t="s">
        <v>66</v>
      </c>
      <c r="B243" s="9">
        <v>2018</v>
      </c>
      <c r="C243" s="4">
        <v>-0.89203356585261617</v>
      </c>
      <c r="D243" s="10">
        <v>0.60031495846083571</v>
      </c>
      <c r="E243" s="11">
        <v>0.11996</v>
      </c>
      <c r="F243" s="11">
        <v>1.03E-2</v>
      </c>
      <c r="G243" s="12">
        <v>2.4664094046780053E-2</v>
      </c>
      <c r="H243" s="12">
        <v>-4.2985402180375699E-2</v>
      </c>
      <c r="I243" s="12">
        <v>-1.533700784870975E-2</v>
      </c>
      <c r="J243" s="12">
        <v>2.958704721851735E-3</v>
      </c>
      <c r="K243" s="12">
        <v>-5.156528845557869E-3</v>
      </c>
      <c r="L243" s="12">
        <v>-1.8398274615312215E-3</v>
      </c>
      <c r="M243" s="12">
        <v>2.5404016868183453E-4</v>
      </c>
      <c r="N243" s="12">
        <v>-4.4274964245786971E-4</v>
      </c>
      <c r="O243" s="12">
        <v>-1.5797118084171042E-4</v>
      </c>
      <c r="P243">
        <f t="shared" si="9"/>
        <v>1.4806224593166913E-2</v>
      </c>
      <c r="Q243">
        <f t="shared" si="10"/>
        <v>-2.5804779924334553E-2</v>
      </c>
      <c r="R243">
        <f t="shared" si="11"/>
        <v>-9.2070352296117052E-3</v>
      </c>
    </row>
    <row r="244" spans="1:18" ht="13">
      <c r="A244" s="8" t="s">
        <v>66</v>
      </c>
      <c r="B244" s="9">
        <v>2019</v>
      </c>
      <c r="C244" s="4">
        <v>-0.87088128858043479</v>
      </c>
      <c r="D244" s="10">
        <v>0.60182877493902731</v>
      </c>
      <c r="E244" s="11">
        <v>7.3200000000000001E-2</v>
      </c>
      <c r="F244" s="11">
        <v>2.14E-3</v>
      </c>
      <c r="G244" s="12">
        <v>3.9352209237669931E-2</v>
      </c>
      <c r="H244" s="12">
        <v>-2.9091614032603134E-2</v>
      </c>
      <c r="I244" s="12">
        <v>1.1677971236901462E-3</v>
      </c>
      <c r="J244" s="12">
        <v>2.8805817161974391E-3</v>
      </c>
      <c r="K244" s="12">
        <v>-2.1295061471865496E-3</v>
      </c>
      <c r="L244" s="12">
        <v>8.5482749454118698E-5</v>
      </c>
      <c r="M244" s="12">
        <v>8.4213727768613658E-5</v>
      </c>
      <c r="N244" s="12">
        <v>-6.225605402977071E-5</v>
      </c>
      <c r="O244" s="12">
        <v>2.4990858446969127E-6</v>
      </c>
      <c r="P244">
        <f t="shared" si="9"/>
        <v>2.3683291876651167E-2</v>
      </c>
      <c r="Q244">
        <f t="shared" si="10"/>
        <v>-1.750817043424056E-2</v>
      </c>
      <c r="R244">
        <f t="shared" si="11"/>
        <v>7.0281391232776037E-4</v>
      </c>
    </row>
    <row r="245" spans="1:18" ht="13">
      <c r="A245" s="8" t="s">
        <v>66</v>
      </c>
      <c r="B245" s="9">
        <v>2020</v>
      </c>
      <c r="C245" s="4">
        <v>0.16901333702489932</v>
      </c>
      <c r="D245" s="10">
        <v>0.69545730125617067</v>
      </c>
      <c r="E245" s="11">
        <v>2.8000000000000001E-2</v>
      </c>
      <c r="F245" s="11">
        <v>2.0999999999999999E-3</v>
      </c>
      <c r="G245" s="12">
        <v>3.8270739450609131E-2</v>
      </c>
      <c r="H245" s="12">
        <v>-2.6049228668245335E-2</v>
      </c>
      <c r="I245" s="12">
        <v>-1.6059641069816551E-2</v>
      </c>
      <c r="J245" s="12">
        <v>1.0715807046170556E-3</v>
      </c>
      <c r="K245" s="12">
        <v>-7.2937840271086935E-4</v>
      </c>
      <c r="L245" s="12">
        <v>-4.4966994995486345E-4</v>
      </c>
      <c r="M245" s="12">
        <v>8.0368552846279173E-5</v>
      </c>
      <c r="N245" s="12">
        <v>-5.4703380203315203E-5</v>
      </c>
      <c r="O245" s="12">
        <v>-3.3725246246614753E-5</v>
      </c>
      <c r="P245">
        <f t="shared" si="9"/>
        <v>2.6615665175398689E-2</v>
      </c>
      <c r="Q245">
        <f t="shared" si="10"/>
        <v>-1.8116126269422772E-2</v>
      </c>
      <c r="R245">
        <f t="shared" si="11"/>
        <v>-1.1168794637557381E-2</v>
      </c>
    </row>
    <row r="246" spans="1:18" ht="13">
      <c r="A246" s="8" t="s">
        <v>66</v>
      </c>
      <c r="B246" s="9">
        <v>2021</v>
      </c>
      <c r="C246" s="4">
        <v>-0.48032886509239292</v>
      </c>
      <c r="D246" s="10">
        <v>0.67203320910563125</v>
      </c>
      <c r="E246" s="11">
        <v>2.7099999999999999E-2</v>
      </c>
      <c r="F246" s="11">
        <v>7.2099999999999994E-3</v>
      </c>
      <c r="G246" s="12">
        <v>3.5638971196616853E-2</v>
      </c>
      <c r="H246" s="12">
        <v>-1.9461554237060398E-3</v>
      </c>
      <c r="I246" s="12">
        <v>-3.2701351418246621E-2</v>
      </c>
      <c r="J246" s="12">
        <v>9.6581611942831672E-4</v>
      </c>
      <c r="K246" s="12">
        <v>-5.2740811982433676E-5</v>
      </c>
      <c r="L246" s="12">
        <v>-8.8620662343448346E-4</v>
      </c>
      <c r="M246" s="12">
        <v>2.5695698232760747E-4</v>
      </c>
      <c r="N246" s="12">
        <v>-1.4031780604920547E-5</v>
      </c>
      <c r="O246" s="12">
        <v>-2.3577674372555812E-4</v>
      </c>
      <c r="P246">
        <f t="shared" si="9"/>
        <v>2.3950572182485582E-2</v>
      </c>
      <c r="Q246">
        <f t="shared" si="10"/>
        <v>-1.3078810748114995E-3</v>
      </c>
      <c r="R246">
        <f t="shared" si="11"/>
        <v>-2.1976394135695264E-2</v>
      </c>
    </row>
    <row r="247" spans="1:18" ht="13">
      <c r="A247" s="8" t="s">
        <v>67</v>
      </c>
      <c r="B247" s="9">
        <v>2017</v>
      </c>
      <c r="C247" s="4">
        <v>-3.4882366717296396</v>
      </c>
      <c r="D247" s="10">
        <v>0.27014791607620242</v>
      </c>
      <c r="E247" s="11">
        <v>0.63100000000000001</v>
      </c>
      <c r="F247" s="11">
        <v>0.1</v>
      </c>
      <c r="G247" s="12">
        <v>0.23124238779903022</v>
      </c>
      <c r="H247" s="12">
        <v>-0.12714960895309735</v>
      </c>
      <c r="I247" s="12">
        <v>-5.3199230928324667E-2</v>
      </c>
      <c r="J247" s="12">
        <v>0.14591394670118807</v>
      </c>
      <c r="K247" s="12">
        <v>-8.0231403249404434E-2</v>
      </c>
      <c r="L247" s="12">
        <v>-3.3568714715772864E-2</v>
      </c>
      <c r="M247" s="12">
        <v>2.3124238779903022E-2</v>
      </c>
      <c r="N247" s="12">
        <v>-1.2714960895309735E-2</v>
      </c>
      <c r="O247" s="12">
        <v>-5.3199230928324672E-3</v>
      </c>
      <c r="P247">
        <f t="shared" si="9"/>
        <v>6.2469649172393074E-2</v>
      </c>
      <c r="Q247">
        <f t="shared" si="10"/>
        <v>-3.43492018885833E-2</v>
      </c>
      <c r="R247">
        <f t="shared" si="11"/>
        <v>-1.4371661372143565E-2</v>
      </c>
    </row>
    <row r="248" spans="1:18" ht="13">
      <c r="A248" s="8" t="s">
        <v>67</v>
      </c>
      <c r="B248" s="9">
        <v>2018</v>
      </c>
      <c r="C248" s="4">
        <v>-3.7119197860569932</v>
      </c>
      <c r="D248" s="10">
        <v>0.22903029847995687</v>
      </c>
      <c r="E248" s="11">
        <v>0.51690000000000003</v>
      </c>
      <c r="F248" s="11">
        <v>0.1</v>
      </c>
      <c r="G248" s="12">
        <v>1.831286815144462E-2</v>
      </c>
      <c r="H248" s="12">
        <v>-2.9165443761134127E-2</v>
      </c>
      <c r="I248" s="12">
        <v>-4.3219187899719472E-2</v>
      </c>
      <c r="J248" s="12">
        <v>9.4659215474817253E-3</v>
      </c>
      <c r="K248" s="12">
        <v>-1.507561788013023E-2</v>
      </c>
      <c r="L248" s="12">
        <v>-2.2339998225364997E-2</v>
      </c>
      <c r="M248" s="12">
        <v>1.831286815144462E-3</v>
      </c>
      <c r="N248" s="12">
        <v>-2.9165443761134131E-3</v>
      </c>
      <c r="O248" s="12">
        <v>-4.3219187899719473E-3</v>
      </c>
      <c r="P248">
        <f t="shared" si="9"/>
        <v>4.1942016587494576E-3</v>
      </c>
      <c r="Q248">
        <f t="shared" si="10"/>
        <v>-6.679770289912945E-3</v>
      </c>
      <c r="R248">
        <f t="shared" si="11"/>
        <v>-9.8985035047340908E-3</v>
      </c>
    </row>
    <row r="249" spans="1:18" ht="13">
      <c r="A249" s="8" t="s">
        <v>67</v>
      </c>
      <c r="B249" s="9">
        <v>2019</v>
      </c>
      <c r="C249" s="4">
        <v>-3.9574617232379152</v>
      </c>
      <c r="D249" s="10">
        <v>0.18315123446723849</v>
      </c>
      <c r="E249" s="11">
        <v>0.51690000000000003</v>
      </c>
      <c r="F249" s="11">
        <v>0.1</v>
      </c>
      <c r="G249" s="12">
        <v>7.2450344085320112E-2</v>
      </c>
      <c r="H249" s="12">
        <v>1.1806529467401586E-2</v>
      </c>
      <c r="I249" s="12">
        <v>-7.1961123251035514E-2</v>
      </c>
      <c r="J249" s="12">
        <v>3.7449582857701967E-2</v>
      </c>
      <c r="K249" s="12">
        <v>6.1027950816998798E-3</v>
      </c>
      <c r="L249" s="12">
        <v>-3.7196704608460258E-2</v>
      </c>
      <c r="M249" s="12">
        <v>7.2450344085320112E-3</v>
      </c>
      <c r="N249" s="12">
        <v>1.1806529467401586E-3</v>
      </c>
      <c r="O249" s="12">
        <v>-7.1961123251035519E-3</v>
      </c>
      <c r="P249">
        <f t="shared" si="9"/>
        <v>1.3269369956802569E-2</v>
      </c>
      <c r="Q249">
        <f t="shared" si="10"/>
        <v>2.1623804467284283E-3</v>
      </c>
      <c r="R249">
        <f t="shared" si="11"/>
        <v>-1.3179768557076253E-2</v>
      </c>
    </row>
    <row r="250" spans="1:18" ht="13">
      <c r="A250" s="8" t="s">
        <v>67</v>
      </c>
      <c r="B250" s="9">
        <v>2020</v>
      </c>
      <c r="C250" s="4">
        <v>-4.3068842625838837</v>
      </c>
      <c r="D250" s="10">
        <v>0.10151094960313667</v>
      </c>
      <c r="E250" s="11">
        <v>6.1100000000000002E-2</v>
      </c>
      <c r="F250" s="11">
        <v>0</v>
      </c>
      <c r="G250" s="12">
        <v>-3.0615172338419924E-2</v>
      </c>
      <c r="H250" s="12">
        <v>9.6176177270181296E-2</v>
      </c>
      <c r="I250" s="12">
        <v>-5.9304088853672859E-2</v>
      </c>
      <c r="J250" s="12">
        <v>-1.8705870298774574E-3</v>
      </c>
      <c r="K250" s="12">
        <v>5.8763644312080773E-3</v>
      </c>
      <c r="L250" s="12">
        <v>-3.6234798289594117E-3</v>
      </c>
      <c r="M250" s="12">
        <v>0</v>
      </c>
      <c r="N250" s="12">
        <v>0</v>
      </c>
      <c r="O250" s="12">
        <v>0</v>
      </c>
      <c r="P250">
        <f t="shared" si="9"/>
        <v>-3.1077752163366887E-3</v>
      </c>
      <c r="Q250">
        <f t="shared" si="10"/>
        <v>9.7629350838957119E-3</v>
      </c>
      <c r="R250">
        <f t="shared" si="11"/>
        <v>-6.0200143748851244E-3</v>
      </c>
    </row>
    <row r="251" spans="1:18" ht="13">
      <c r="A251" s="8" t="s">
        <v>67</v>
      </c>
      <c r="B251" s="9">
        <v>2021</v>
      </c>
      <c r="C251" s="4">
        <v>-3.8650975352995776</v>
      </c>
      <c r="D251" s="10">
        <v>0.15773345253876747</v>
      </c>
      <c r="E251" s="11">
        <v>0.10210000000000001</v>
      </c>
      <c r="F251" s="11">
        <v>0</v>
      </c>
      <c r="G251" s="12">
        <v>0.10016339365539353</v>
      </c>
      <c r="H251" s="12">
        <v>-6.0276844344421501E-2</v>
      </c>
      <c r="I251" s="12">
        <v>-5.3531460985911147E-2</v>
      </c>
      <c r="J251" s="12">
        <v>1.0226682492215681E-2</v>
      </c>
      <c r="K251" s="12">
        <v>-6.1542658075654363E-3</v>
      </c>
      <c r="L251" s="12">
        <v>-5.4655621666615285E-3</v>
      </c>
      <c r="M251" s="12">
        <v>0</v>
      </c>
      <c r="N251" s="12">
        <v>0</v>
      </c>
      <c r="O251" s="12">
        <v>0</v>
      </c>
      <c r="P251">
        <f t="shared" si="9"/>
        <v>1.57991178992649E-2</v>
      </c>
      <c r="Q251">
        <f t="shared" si="10"/>
        <v>-9.5076747665874834E-3</v>
      </c>
      <c r="R251">
        <f t="shared" si="11"/>
        <v>-8.4437021607520982E-3</v>
      </c>
    </row>
    <row r="252" spans="1:18" ht="13">
      <c r="A252" s="8" t="s">
        <v>68</v>
      </c>
      <c r="B252" s="9">
        <v>2017</v>
      </c>
      <c r="C252" s="4">
        <v>-9.4100763945401886E-2</v>
      </c>
      <c r="D252" s="10">
        <v>0.77688760514847466</v>
      </c>
      <c r="E252" s="11">
        <v>2.2800000000000001E-4</v>
      </c>
      <c r="F252" s="11">
        <v>0.431612</v>
      </c>
      <c r="G252" s="12">
        <v>1.0778352082699907E-2</v>
      </c>
      <c r="H252" s="12">
        <v>-0.22627191648930778</v>
      </c>
      <c r="I252" s="12">
        <v>0.27799483125570085</v>
      </c>
      <c r="J252" s="12">
        <v>2.4574642748555791E-6</v>
      </c>
      <c r="K252" s="12">
        <v>-5.1589996959562177E-5</v>
      </c>
      <c r="L252" s="12">
        <v>6.3382821526299798E-5</v>
      </c>
      <c r="M252" s="12">
        <v>4.6520660991182725E-3</v>
      </c>
      <c r="N252" s="12">
        <v>-9.7661674419783101E-2</v>
      </c>
      <c r="O252" s="12">
        <v>0.11998590510793555</v>
      </c>
      <c r="P252">
        <f t="shared" si="9"/>
        <v>8.3735681369758053E-3</v>
      </c>
      <c r="Q252">
        <f t="shared" si="10"/>
        <v>-0.17578784731373398</v>
      </c>
      <c r="R252">
        <f t="shared" si="11"/>
        <v>0.21597073869789576</v>
      </c>
    </row>
    <row r="253" spans="1:18" ht="13">
      <c r="A253" s="8" t="s">
        <v>68</v>
      </c>
      <c r="B253" s="9">
        <v>2018</v>
      </c>
      <c r="C253" s="4">
        <v>-2.7265263750532877E-2</v>
      </c>
      <c r="D253" s="10">
        <v>0.77704208986056122</v>
      </c>
      <c r="E253" s="11">
        <v>2.9999999999999997E-4</v>
      </c>
      <c r="F253" s="11">
        <v>0.43595300000000003</v>
      </c>
      <c r="G253" s="12">
        <v>8.1584610087794801E-2</v>
      </c>
      <c r="H253" s="12">
        <v>-0.20902909278705456</v>
      </c>
      <c r="I253" s="12">
        <v>0.10588311241177484</v>
      </c>
      <c r="J253" s="12">
        <v>2.4475383026338438E-5</v>
      </c>
      <c r="K253" s="12">
        <v>-6.2708727836116365E-5</v>
      </c>
      <c r="L253" s="12">
        <v>3.1764933723532448E-5</v>
      </c>
      <c r="M253" s="12">
        <v>3.5567055521604413E-2</v>
      </c>
      <c r="N253" s="12">
        <v>-9.1126860087794803E-2</v>
      </c>
      <c r="O253" s="12">
        <v>4.6160060505250476E-2</v>
      </c>
      <c r="P253">
        <f t="shared" si="9"/>
        <v>6.3394675923079097E-2</v>
      </c>
      <c r="Q253">
        <f t="shared" si="10"/>
        <v>-0.16242440310091005</v>
      </c>
      <c r="R253">
        <f t="shared" si="11"/>
        <v>8.227563494938625E-2</v>
      </c>
    </row>
    <row r="254" spans="1:18" ht="13">
      <c r="A254" s="8" t="s">
        <v>68</v>
      </c>
      <c r="B254" s="9">
        <v>2019</v>
      </c>
      <c r="C254" s="4">
        <v>-0.18814844235898251</v>
      </c>
      <c r="D254" s="10">
        <v>0.75677196019039383</v>
      </c>
      <c r="E254" s="11">
        <v>2.5000000000000001E-3</v>
      </c>
      <c r="F254" s="11">
        <v>0.38226199999999999</v>
      </c>
      <c r="G254" s="12">
        <v>9.3391290665198065E-2</v>
      </c>
      <c r="H254" s="12">
        <v>-4.232917666496204E-2</v>
      </c>
      <c r="I254" s="12">
        <v>-2.9227803784272845E-2</v>
      </c>
      <c r="J254" s="12">
        <v>2.3347822666299517E-4</v>
      </c>
      <c r="K254" s="12">
        <v>-1.0582294166240511E-4</v>
      </c>
      <c r="L254" s="12">
        <v>-7.3069509460682111E-5</v>
      </c>
      <c r="M254" s="12">
        <v>3.5699941552259945E-2</v>
      </c>
      <c r="N254" s="12">
        <v>-1.6180835730301719E-2</v>
      </c>
      <c r="O254" s="12">
        <v>-1.1172678730183705E-2</v>
      </c>
      <c r="P254">
        <f t="shared" si="9"/>
        <v>7.0675910101412776E-2</v>
      </c>
      <c r="Q254">
        <f t="shared" si="10"/>
        <v>-3.2033533997988799E-2</v>
      </c>
      <c r="R254">
        <f t="shared" si="11"/>
        <v>-2.2118782361884373E-2</v>
      </c>
    </row>
    <row r="255" spans="1:18" ht="13">
      <c r="A255" s="8" t="s">
        <v>68</v>
      </c>
      <c r="B255" s="9">
        <v>2020</v>
      </c>
      <c r="C255" s="4">
        <v>-0.48691451178092482</v>
      </c>
      <c r="D255" s="10">
        <v>0.70826072525101658</v>
      </c>
      <c r="E255" s="11">
        <v>1.1999999999999999E-3</v>
      </c>
      <c r="F255" s="11">
        <v>0.40949999999999998</v>
      </c>
      <c r="G255" s="12">
        <v>2.5558044975520708E-2</v>
      </c>
      <c r="H255" s="12">
        <v>-4.0598290598290602E-3</v>
      </c>
      <c r="I255" s="12">
        <v>-2.3819600033192268E-2</v>
      </c>
      <c r="J255" s="12">
        <v>3.0669653970624846E-5</v>
      </c>
      <c r="K255" s="12">
        <v>-4.871794871794872E-6</v>
      </c>
      <c r="L255" s="12">
        <v>-2.8583520039830718E-5</v>
      </c>
      <c r="M255" s="12">
        <v>1.0466019417475729E-2</v>
      </c>
      <c r="N255" s="12">
        <v>-1.6625000000000001E-3</v>
      </c>
      <c r="O255" s="12">
        <v>-9.7541262135922326E-3</v>
      </c>
      <c r="P255">
        <f t="shared" si="9"/>
        <v>1.8101759470360398E-2</v>
      </c>
      <c r="Q255">
        <f t="shared" si="10"/>
        <v>-2.875417474309683E-3</v>
      </c>
      <c r="R255">
        <f t="shared" si="11"/>
        <v>-1.6870487194697893E-2</v>
      </c>
    </row>
    <row r="256" spans="1:18" ht="13">
      <c r="A256" s="8" t="s">
        <v>68</v>
      </c>
      <c r="B256" s="9">
        <v>2021</v>
      </c>
      <c r="C256" s="4">
        <v>-0.65071399000065677</v>
      </c>
      <c r="D256" s="10">
        <v>0.70056968087787996</v>
      </c>
      <c r="E256" s="11">
        <v>6.4000000000000003E-3</v>
      </c>
      <c r="F256" s="11">
        <v>0.37215000000000004</v>
      </c>
      <c r="G256" s="12">
        <v>0.12325104609541734</v>
      </c>
      <c r="H256" s="12">
        <v>-0.10347186045339204</v>
      </c>
      <c r="I256" s="12">
        <v>3.9793637723293064E-2</v>
      </c>
      <c r="J256" s="12">
        <v>7.8880669501067105E-4</v>
      </c>
      <c r="K256" s="12">
        <v>-6.6221990690170914E-4</v>
      </c>
      <c r="L256" s="12">
        <v>2.5467928142907563E-4</v>
      </c>
      <c r="M256" s="12">
        <v>4.5867876804409569E-2</v>
      </c>
      <c r="N256" s="12">
        <v>-3.8507052867729853E-2</v>
      </c>
      <c r="O256" s="12">
        <v>1.4809202278723515E-2</v>
      </c>
      <c r="P256">
        <f t="shared" si="9"/>
        <v>8.6345946030931403E-2</v>
      </c>
      <c r="Q256">
        <f t="shared" si="10"/>
        <v>-7.2489248257673389E-2</v>
      </c>
      <c r="R256">
        <f t="shared" si="11"/>
        <v>2.7878216080777389E-2</v>
      </c>
    </row>
    <row r="257" spans="1:18" ht="13">
      <c r="A257" s="8" t="s">
        <v>69</v>
      </c>
      <c r="B257" s="9">
        <v>2017</v>
      </c>
      <c r="C257" s="4">
        <v>-3.3911596312701491</v>
      </c>
      <c r="D257" s="10">
        <v>0.21637357391295875</v>
      </c>
      <c r="E257" s="11">
        <v>0.20039999999999999</v>
      </c>
      <c r="F257" s="11">
        <v>1.523E-3</v>
      </c>
      <c r="G257" s="12">
        <v>7.8896347463489249E-3</v>
      </c>
      <c r="H257" s="12">
        <v>-0.19954306758507809</v>
      </c>
      <c r="I257" s="12">
        <v>2.2453990120906851E-2</v>
      </c>
      <c r="J257" s="12">
        <v>1.5810828031683245E-3</v>
      </c>
      <c r="K257" s="12">
        <v>-3.9988430744049647E-2</v>
      </c>
      <c r="L257" s="12">
        <v>4.4997796202297328E-3</v>
      </c>
      <c r="M257" s="12">
        <v>1.2015913718689412E-5</v>
      </c>
      <c r="N257" s="12">
        <v>-3.0390409193207396E-4</v>
      </c>
      <c r="O257" s="12">
        <v>3.4197426954141134E-5</v>
      </c>
      <c r="P257">
        <f t="shared" si="9"/>
        <v>1.7071084669353766E-3</v>
      </c>
      <c r="Q257">
        <f t="shared" si="10"/>
        <v>-4.3175846682938418E-2</v>
      </c>
      <c r="R257">
        <f t="shared" si="11"/>
        <v>4.8584500910668843E-3</v>
      </c>
    </row>
    <row r="258" spans="1:18" ht="13">
      <c r="A258" s="8" t="s">
        <v>69</v>
      </c>
      <c r="B258" s="9">
        <v>2018</v>
      </c>
      <c r="C258" s="4">
        <v>-3.1276320341145003</v>
      </c>
      <c r="D258" s="10">
        <v>0.25859374579002109</v>
      </c>
      <c r="E258" s="11">
        <v>0.21249999999999999</v>
      </c>
      <c r="F258" s="11">
        <v>1.2229999999999999E-3</v>
      </c>
      <c r="G258" s="12">
        <v>3.4224097515236758E-2</v>
      </c>
      <c r="H258" s="12">
        <v>-7.3798348520691989E-2</v>
      </c>
      <c r="I258" s="12">
        <v>-1.8346975910388297E-2</v>
      </c>
      <c r="J258" s="12">
        <v>7.2726207219878112E-3</v>
      </c>
      <c r="K258" s="12">
        <v>-1.5682149060647046E-2</v>
      </c>
      <c r="L258" s="12">
        <v>-3.8987323809575132E-3</v>
      </c>
      <c r="M258" s="12">
        <v>4.1856071261134553E-5</v>
      </c>
      <c r="N258" s="12">
        <v>-9.0255380240806298E-5</v>
      </c>
      <c r="O258" s="12">
        <v>-2.2438351538404886E-5</v>
      </c>
      <c r="P258">
        <f t="shared" si="9"/>
        <v>8.8501375727480271E-3</v>
      </c>
      <c r="Q258">
        <f t="shared" si="10"/>
        <v>-1.9083791377083204E-2</v>
      </c>
      <c r="R258">
        <f t="shared" si="11"/>
        <v>-4.7444132245865918E-3</v>
      </c>
    </row>
    <row r="259" spans="1:18" ht="13">
      <c r="A259" s="8" t="s">
        <v>69</v>
      </c>
      <c r="B259" s="9">
        <v>2019</v>
      </c>
      <c r="C259" s="4">
        <v>-2.8308355582618114</v>
      </c>
      <c r="D259" s="10">
        <v>0.28660674404801967</v>
      </c>
      <c r="E259" s="11">
        <v>0.18579999999999999</v>
      </c>
      <c r="F259" s="11">
        <v>7.6599999999999997E-4</v>
      </c>
      <c r="G259" s="12">
        <v>0.15375544893451315</v>
      </c>
      <c r="H259" s="12">
        <v>-4.7498712884528485E-3</v>
      </c>
      <c r="I259" s="12">
        <v>-3.8866079677910829E-2</v>
      </c>
      <c r="J259" s="12">
        <v>2.8567762412032544E-2</v>
      </c>
      <c r="K259" s="12">
        <v>-8.8252608539453922E-4</v>
      </c>
      <c r="L259" s="12">
        <v>-7.2213176041558318E-3</v>
      </c>
      <c r="M259" s="12">
        <v>1.1777667388383707E-4</v>
      </c>
      <c r="N259" s="12">
        <v>-3.6384014069548818E-6</v>
      </c>
      <c r="O259" s="12">
        <v>-2.9771417033279695E-5</v>
      </c>
      <c r="P259">
        <f t="shared" ref="P259:P322" si="12">G259*D259</f>
        <v>4.4067348598762372E-2</v>
      </c>
      <c r="Q259">
        <f t="shared" ref="Q259:Q322" si="13">H259*D259</f>
        <v>-1.3613451446306429E-3</v>
      </c>
      <c r="R259">
        <f t="shared" ref="R259:R322" si="14">I259*D259</f>
        <v>-1.1139280550396927E-2</v>
      </c>
    </row>
    <row r="260" spans="1:18" ht="13">
      <c r="A260" s="8" t="s">
        <v>69</v>
      </c>
      <c r="B260" s="9">
        <v>2020</v>
      </c>
      <c r="C260" s="4">
        <v>-3.0521392050540626</v>
      </c>
      <c r="D260" s="10">
        <v>0.27012886794089169</v>
      </c>
      <c r="E260" s="11">
        <v>0.112</v>
      </c>
      <c r="F260" s="11">
        <v>7.6599999999999997E-4</v>
      </c>
      <c r="G260" s="12">
        <v>6.9670281435122661E-2</v>
      </c>
      <c r="H260" s="12">
        <v>-9.4336784089119052E-2</v>
      </c>
      <c r="I260" s="12">
        <v>-5.9207394021561173E-2</v>
      </c>
      <c r="J260" s="12">
        <v>7.8030715207337382E-3</v>
      </c>
      <c r="K260" s="12">
        <v>-1.0565719817981335E-2</v>
      </c>
      <c r="L260" s="12">
        <v>-6.6312281304148511E-3</v>
      </c>
      <c r="M260" s="12">
        <v>5.3367435579303955E-5</v>
      </c>
      <c r="N260" s="12">
        <v>-7.2261976612265197E-5</v>
      </c>
      <c r="O260" s="12">
        <v>-4.5352863820515859E-5</v>
      </c>
      <c r="P260">
        <f t="shared" si="12"/>
        <v>1.8819954253193008E-2</v>
      </c>
      <c r="Q260">
        <f t="shared" si="13"/>
        <v>-2.5483088691178053E-2</v>
      </c>
      <c r="R260">
        <f t="shared" si="14"/>
        <v>-1.599362632077464E-2</v>
      </c>
    </row>
    <row r="261" spans="1:18" ht="13">
      <c r="A261" s="8" t="s">
        <v>69</v>
      </c>
      <c r="B261" s="9">
        <v>2021</v>
      </c>
      <c r="C261" s="4">
        <v>-4.0306323780854481</v>
      </c>
      <c r="D261" s="10">
        <v>0.23026197142822244</v>
      </c>
      <c r="E261" s="11">
        <v>9.1499999999999998E-2</v>
      </c>
      <c r="F261" s="11">
        <v>6.0400000000000004E-4</v>
      </c>
      <c r="G261" s="12">
        <v>0.18077903826215538</v>
      </c>
      <c r="H261" s="12">
        <v>-9.4764092074036882E-2</v>
      </c>
      <c r="I261" s="12">
        <v>-5.0469430439727743E-2</v>
      </c>
      <c r="J261" s="12">
        <v>1.6541282000987218E-2</v>
      </c>
      <c r="K261" s="12">
        <v>-8.6709144247743737E-3</v>
      </c>
      <c r="L261" s="12">
        <v>-4.6179528852350882E-3</v>
      </c>
      <c r="M261" s="12">
        <v>1.0919053911034186E-4</v>
      </c>
      <c r="N261" s="12">
        <v>-5.7237511612718283E-5</v>
      </c>
      <c r="O261" s="12">
        <v>-3.048353598559556E-5</v>
      </c>
      <c r="P261">
        <f t="shared" si="12"/>
        <v>4.1626537743141956E-2</v>
      </c>
      <c r="Q261">
        <f t="shared" si="13"/>
        <v>-2.182056666157332E-2</v>
      </c>
      <c r="R261">
        <f t="shared" si="14"/>
        <v>-1.162119054991125E-2</v>
      </c>
    </row>
    <row r="262" spans="1:18" ht="13">
      <c r="A262" s="8" t="s">
        <v>70</v>
      </c>
      <c r="B262" s="9">
        <v>2017</v>
      </c>
      <c r="C262" s="4">
        <v>-3.2034057887969047</v>
      </c>
      <c r="D262" s="10">
        <v>0.24660106641092713</v>
      </c>
      <c r="E262" s="11">
        <v>0.2152</v>
      </c>
      <c r="F262" s="11">
        <v>1.4900000000000002E-3</v>
      </c>
      <c r="G262" s="12">
        <v>8.9958681601396612E-2</v>
      </c>
      <c r="H262" s="12">
        <v>-4.6130743013343058E-2</v>
      </c>
      <c r="I262" s="12">
        <v>-7.3103990857694146E-2</v>
      </c>
      <c r="J262" s="12">
        <v>1.9359108280620551E-2</v>
      </c>
      <c r="K262" s="12">
        <v>-9.9273358964714255E-3</v>
      </c>
      <c r="L262" s="12">
        <v>-1.573197883257578E-2</v>
      </c>
      <c r="M262" s="12">
        <v>1.3403843558608096E-4</v>
      </c>
      <c r="N262" s="12">
        <v>-6.873480708988117E-5</v>
      </c>
      <c r="O262" s="12">
        <v>-1.0892494637796429E-4</v>
      </c>
      <c r="P262">
        <f t="shared" si="12"/>
        <v>2.2183906815825456E-2</v>
      </c>
      <c r="Q262">
        <f t="shared" si="13"/>
        <v>-1.1375890421418825E-2</v>
      </c>
      <c r="R262">
        <f t="shared" si="14"/>
        <v>-1.8027522104402043E-2</v>
      </c>
    </row>
    <row r="263" spans="1:18" ht="13">
      <c r="A263" s="8" t="s">
        <v>70</v>
      </c>
      <c r="B263" s="9">
        <v>2018</v>
      </c>
      <c r="C263" s="4">
        <v>-2.706636664695512</v>
      </c>
      <c r="D263" s="10">
        <v>0.33176394076932109</v>
      </c>
      <c r="E263" s="11">
        <v>0.19170000000000001</v>
      </c>
      <c r="F263" s="11">
        <v>1.7300000000000002E-3</v>
      </c>
      <c r="G263" s="12">
        <v>9.8617604704352116E-2</v>
      </c>
      <c r="H263" s="12">
        <v>-0.11092772687650802</v>
      </c>
      <c r="I263" s="12">
        <v>-5.3874887624023454E-2</v>
      </c>
      <c r="J263" s="12">
        <v>1.8904994821824301E-2</v>
      </c>
      <c r="K263" s="12">
        <v>-2.126484524222659E-2</v>
      </c>
      <c r="L263" s="12">
        <v>-1.0327815957525298E-2</v>
      </c>
      <c r="M263" s="12">
        <v>1.7060845613852917E-4</v>
      </c>
      <c r="N263" s="12">
        <v>-1.9190496749635889E-4</v>
      </c>
      <c r="O263" s="12">
        <v>-9.3203555589560586E-5</v>
      </c>
      <c r="P263">
        <f t="shared" si="12"/>
        <v>3.2717765165946995E-2</v>
      </c>
      <c r="Q263">
        <f t="shared" si="13"/>
        <v>-3.6801819809133232E-2</v>
      </c>
      <c r="R263">
        <f t="shared" si="14"/>
        <v>-1.7873745026650349E-2</v>
      </c>
    </row>
    <row r="264" spans="1:18" ht="13">
      <c r="A264" s="8" t="s">
        <v>70</v>
      </c>
      <c r="B264" s="9">
        <v>2019</v>
      </c>
      <c r="C264" s="4">
        <v>-2.3138611284033019</v>
      </c>
      <c r="D264" s="10">
        <v>0.39049999197272867</v>
      </c>
      <c r="E264" s="11">
        <v>0.14349999999999999</v>
      </c>
      <c r="F264" s="11">
        <v>9.2999999999999995E-4</v>
      </c>
      <c r="G264" s="12">
        <v>9.9382970411477922E-2</v>
      </c>
      <c r="H264" s="12">
        <v>-4.6164837340725559E-2</v>
      </c>
      <c r="I264" s="12">
        <v>-4.3962689242921286E-2</v>
      </c>
      <c r="J264" s="12">
        <v>1.4261456254047081E-2</v>
      </c>
      <c r="K264" s="12">
        <v>-6.6246541583941171E-3</v>
      </c>
      <c r="L264" s="12">
        <v>-6.3086459063592037E-3</v>
      </c>
      <c r="M264" s="12">
        <v>9.2426162482674463E-5</v>
      </c>
      <c r="N264" s="12">
        <v>-4.293329872687477E-5</v>
      </c>
      <c r="O264" s="12">
        <v>-4.0885300995916795E-5</v>
      </c>
      <c r="P264">
        <f t="shared" si="12"/>
        <v>3.8809049147908059E-2</v>
      </c>
      <c r="Q264">
        <f t="shared" si="13"/>
        <v>-1.8027368610975654E-2</v>
      </c>
      <c r="R264">
        <f t="shared" si="14"/>
        <v>-1.7167429796460326E-2</v>
      </c>
    </row>
    <row r="265" spans="1:18" ht="13">
      <c r="A265" s="8" t="s">
        <v>70</v>
      </c>
      <c r="B265" s="9">
        <v>2020</v>
      </c>
      <c r="C265" s="4">
        <v>-2.371477976249011</v>
      </c>
      <c r="D265" s="10">
        <v>0.38415307638721502</v>
      </c>
      <c r="E265" s="11">
        <v>0.1169</v>
      </c>
      <c r="F265" s="11">
        <v>2.3699999999999999E-4</v>
      </c>
      <c r="G265" s="12">
        <v>2.2909012891451697E-2</v>
      </c>
      <c r="H265" s="12">
        <v>6.6017370482893079E-2</v>
      </c>
      <c r="I265" s="12">
        <v>-7.4514550891700684E-2</v>
      </c>
      <c r="J265" s="12">
        <v>2.6780636070107035E-3</v>
      </c>
      <c r="K265" s="12">
        <v>7.7174306094502012E-3</v>
      </c>
      <c r="L265" s="12">
        <v>-8.7107509992398104E-3</v>
      </c>
      <c r="M265" s="12">
        <v>5.4294360552740517E-6</v>
      </c>
      <c r="N265" s="12">
        <v>1.5646116804445658E-5</v>
      </c>
      <c r="O265" s="12">
        <v>-1.7659948561333062E-5</v>
      </c>
      <c r="P265">
        <f t="shared" si="12"/>
        <v>8.8005677792455366E-3</v>
      </c>
      <c r="Q265">
        <f t="shared" si="13"/>
        <v>2.5360775965997898E-2</v>
      </c>
      <c r="R265">
        <f t="shared" si="14"/>
        <v>-2.8624993960658512E-2</v>
      </c>
    </row>
    <row r="266" spans="1:18" ht="13">
      <c r="A266" s="8" t="s">
        <v>70</v>
      </c>
      <c r="B266" s="9">
        <v>2021</v>
      </c>
      <c r="C266" s="4">
        <v>-3.0179233765223517</v>
      </c>
      <c r="D266" s="10">
        <v>0.31988672011585895</v>
      </c>
      <c r="E266" s="11">
        <v>7.8600000000000003E-2</v>
      </c>
      <c r="F266" s="11">
        <v>2.12E-4</v>
      </c>
      <c r="G266" s="12">
        <v>0.1753531936842993</v>
      </c>
      <c r="H266" s="12">
        <v>-7.7636894325838382E-2</v>
      </c>
      <c r="I266" s="12">
        <v>-4.1029239998115308E-2</v>
      </c>
      <c r="J266" s="12">
        <v>1.3782761023585926E-2</v>
      </c>
      <c r="K266" s="12">
        <v>-6.1022598940108971E-3</v>
      </c>
      <c r="L266" s="12">
        <v>-3.2248982638518634E-3</v>
      </c>
      <c r="M266" s="12">
        <v>3.7174877061071454E-5</v>
      </c>
      <c r="N266" s="12">
        <v>-1.6459021597077736E-5</v>
      </c>
      <c r="O266" s="12">
        <v>-8.6981988796004446E-6</v>
      </c>
      <c r="P266">
        <f t="shared" si="12"/>
        <v>5.6093157989511457E-2</v>
      </c>
      <c r="Q266">
        <f t="shared" si="13"/>
        <v>-2.4835011485873981E-2</v>
      </c>
      <c r="R266">
        <f t="shared" si="14"/>
        <v>-1.3124709011843516E-2</v>
      </c>
    </row>
    <row r="267" spans="1:18" ht="13">
      <c r="A267" s="8" t="s">
        <v>71</v>
      </c>
      <c r="B267" s="9">
        <v>2017</v>
      </c>
      <c r="C267" s="4">
        <v>-2.6408418259841211</v>
      </c>
      <c r="D267" s="10">
        <v>0.29308600755878539</v>
      </c>
      <c r="E267" s="11">
        <v>0.19739999999999999</v>
      </c>
      <c r="F267" s="11">
        <v>0.19569999999999996</v>
      </c>
      <c r="G267" s="12">
        <v>-3.3133296511663989E-2</v>
      </c>
      <c r="H267" s="12">
        <v>1.9107964030607497E-2</v>
      </c>
      <c r="I267" s="12">
        <v>-1.1691914333765678E-2</v>
      </c>
      <c r="J267" s="12">
        <v>-6.5405127314024708E-3</v>
      </c>
      <c r="K267" s="12">
        <v>3.7719120996419198E-3</v>
      </c>
      <c r="L267" s="12">
        <v>-2.3079838894853448E-3</v>
      </c>
      <c r="M267" s="12">
        <v>-6.4841861273326412E-3</v>
      </c>
      <c r="N267" s="12">
        <v>3.7394285607898863E-3</v>
      </c>
      <c r="O267" s="12">
        <v>-2.2881076351179428E-3</v>
      </c>
      <c r="P267">
        <f t="shared" si="12"/>
        <v>-9.7109055918650298E-3</v>
      </c>
      <c r="Q267">
        <f t="shared" si="13"/>
        <v>5.6002768903076284E-3</v>
      </c>
      <c r="R267">
        <f t="shared" si="14"/>
        <v>-3.4267364928027184E-3</v>
      </c>
    </row>
    <row r="268" spans="1:18" ht="13">
      <c r="A268" s="8" t="s">
        <v>71</v>
      </c>
      <c r="B268" s="9">
        <v>2018</v>
      </c>
      <c r="C268" s="4">
        <v>-1.9244431020961486</v>
      </c>
      <c r="D268" s="10">
        <v>0.41832259171483416</v>
      </c>
      <c r="E268" s="11">
        <v>0.17799999999999999</v>
      </c>
      <c r="F268" s="11">
        <v>0.19629999999999995</v>
      </c>
      <c r="G268" s="12">
        <v>-7.8283342805975271E-3</v>
      </c>
      <c r="H268" s="12">
        <v>-3.5029114969276472E-2</v>
      </c>
      <c r="I268" s="12">
        <v>-1.9544026337519171E-2</v>
      </c>
      <c r="J268" s="12">
        <v>-1.3934435019463598E-3</v>
      </c>
      <c r="K268" s="12">
        <v>-6.2351824645312118E-3</v>
      </c>
      <c r="L268" s="12">
        <v>-3.4788366880784123E-3</v>
      </c>
      <c r="M268" s="12">
        <v>-1.5367020192812943E-3</v>
      </c>
      <c r="N268" s="12">
        <v>-6.8762152684689699E-3</v>
      </c>
      <c r="O268" s="12">
        <v>-3.8364923700550122E-3</v>
      </c>
      <c r="P268">
        <f t="shared" si="12"/>
        <v>-3.2747690850696391E-3</v>
      </c>
      <c r="Q268">
        <f t="shared" si="13"/>
        <v>-1.4653470159424626E-2</v>
      </c>
      <c r="R268">
        <f t="shared" si="14"/>
        <v>-8.1757077500539971E-3</v>
      </c>
    </row>
    <row r="269" spans="1:18" ht="13">
      <c r="A269" s="8" t="s">
        <v>71</v>
      </c>
      <c r="B269" s="9">
        <v>2019</v>
      </c>
      <c r="C269" s="4">
        <v>-2.3003083380701961</v>
      </c>
      <c r="D269" s="10">
        <v>0.35257383292056138</v>
      </c>
      <c r="E269" s="11">
        <v>2.7699999999999999E-2</v>
      </c>
      <c r="F269" s="11">
        <v>0.19629999999999995</v>
      </c>
      <c r="G269" s="12">
        <v>1.4473649170461504E-2</v>
      </c>
      <c r="H269" s="12">
        <v>0.15253921333652901</v>
      </c>
      <c r="I269" s="12">
        <v>-0.17717903651034594</v>
      </c>
      <c r="J269" s="12">
        <v>4.0092008202178366E-4</v>
      </c>
      <c r="K269" s="12">
        <v>4.2253362094218537E-3</v>
      </c>
      <c r="L269" s="12">
        <v>-4.907859311336582E-3</v>
      </c>
      <c r="M269" s="12">
        <v>2.8411773321615924E-3</v>
      </c>
      <c r="N269" s="12">
        <v>2.9943447577960636E-2</v>
      </c>
      <c r="O269" s="12">
        <v>-3.4780244866980899E-2</v>
      </c>
      <c r="P269">
        <f t="shared" si="12"/>
        <v>5.1030299643771166E-3</v>
      </c>
      <c r="Q269">
        <f t="shared" si="13"/>
        <v>5.3781335116747243E-2</v>
      </c>
      <c r="R269">
        <f t="shared" si="14"/>
        <v>-6.2468692015624758E-2</v>
      </c>
    </row>
    <row r="270" spans="1:18" ht="13">
      <c r="A270" s="8" t="s">
        <v>71</v>
      </c>
      <c r="B270" s="9">
        <v>2020</v>
      </c>
      <c r="C270" s="4">
        <v>-2.3415749651612261</v>
      </c>
      <c r="D270" s="10">
        <v>0.34509275352037738</v>
      </c>
      <c r="E270" s="11">
        <v>2.6599999999999999E-2</v>
      </c>
      <c r="F270" s="11">
        <v>0.19629999999999995</v>
      </c>
      <c r="G270" s="12">
        <v>3.4703649842159401E-2</v>
      </c>
      <c r="H270" s="12">
        <v>-4.153513283439151E-2</v>
      </c>
      <c r="I270" s="12">
        <v>-1.9806334905827689E-2</v>
      </c>
      <c r="J270" s="12">
        <v>9.2311708580144005E-4</v>
      </c>
      <c r="K270" s="12">
        <v>-1.1048345333948141E-3</v>
      </c>
      <c r="L270" s="12">
        <v>-5.268485084950165E-4</v>
      </c>
      <c r="M270" s="12">
        <v>6.8123264640158887E-3</v>
      </c>
      <c r="N270" s="12">
        <v>-8.1533465753910513E-3</v>
      </c>
      <c r="O270" s="12">
        <v>-3.8879835420139743E-3</v>
      </c>
      <c r="P270">
        <f t="shared" si="12"/>
        <v>1.1975978081237798E-2</v>
      </c>
      <c r="Q270">
        <f t="shared" si="13"/>
        <v>-1.4333473357654803E-2</v>
      </c>
      <c r="R270">
        <f t="shared" si="14"/>
        <v>-6.835022649798842E-3</v>
      </c>
    </row>
    <row r="271" spans="1:18" ht="13">
      <c r="A271" s="8" t="s">
        <v>71</v>
      </c>
      <c r="B271" s="9">
        <v>2021</v>
      </c>
      <c r="C271" s="4">
        <v>-2.4263442595587406</v>
      </c>
      <c r="D271" s="10">
        <v>0.33026273800659506</v>
      </c>
      <c r="E271" s="11">
        <v>2.6599999999999999E-2</v>
      </c>
      <c r="F271" s="11">
        <v>0.19629999999999995</v>
      </c>
      <c r="G271" s="12">
        <v>-2.551501613303549E-2</v>
      </c>
      <c r="H271" s="12">
        <v>-3.3684359819877316E-2</v>
      </c>
      <c r="I271" s="12">
        <v>1.9196539375243769E-2</v>
      </c>
      <c r="J271" s="12">
        <v>-6.7869942913874402E-4</v>
      </c>
      <c r="K271" s="12">
        <v>-8.9600397120873651E-4</v>
      </c>
      <c r="L271" s="12">
        <v>5.1062794738148418E-4</v>
      </c>
      <c r="M271" s="12">
        <v>-5.0085976669148654E-3</v>
      </c>
      <c r="N271" s="12">
        <v>-6.6122398326419153E-3</v>
      </c>
      <c r="O271" s="12">
        <v>3.7682806793603507E-3</v>
      </c>
      <c r="P271">
        <f t="shared" si="12"/>
        <v>-8.4266590883787466E-3</v>
      </c>
      <c r="Q271">
        <f t="shared" si="13"/>
        <v>-1.1124688902112019E-2</v>
      </c>
      <c r="R271">
        <f t="shared" si="14"/>
        <v>6.3399016543194192E-3</v>
      </c>
    </row>
    <row r="272" spans="1:18" ht="13">
      <c r="A272" s="8" t="s">
        <v>72</v>
      </c>
      <c r="B272" s="9">
        <v>2017</v>
      </c>
      <c r="C272" s="4">
        <v>-1.9868950893994117</v>
      </c>
      <c r="D272" s="10">
        <v>0.45360750954618495</v>
      </c>
      <c r="E272" s="11">
        <v>0.2472</v>
      </c>
      <c r="F272" s="11">
        <v>6.502E-3</v>
      </c>
      <c r="G272" s="12">
        <v>0.19083065228983184</v>
      </c>
      <c r="H272" s="12">
        <v>-0.11888086862230747</v>
      </c>
      <c r="I272" s="12">
        <v>-6.606997791941481E-2</v>
      </c>
      <c r="J272" s="12">
        <v>4.7173337246046429E-2</v>
      </c>
      <c r="K272" s="12">
        <v>-2.9387350723434406E-2</v>
      </c>
      <c r="L272" s="12">
        <v>-1.6332498541679341E-2</v>
      </c>
      <c r="M272" s="12">
        <v>1.2407809011884866E-3</v>
      </c>
      <c r="N272" s="12">
        <v>-7.7296340778224319E-4</v>
      </c>
      <c r="O272" s="12">
        <v>-4.2958699643203511E-4</v>
      </c>
      <c r="P272">
        <f t="shared" si="12"/>
        <v>8.6562216930264599E-2</v>
      </c>
      <c r="Q272">
        <f t="shared" si="13"/>
        <v>-5.3925254748452098E-2</v>
      </c>
      <c r="R272">
        <f t="shared" si="14"/>
        <v>-2.9969838139797183E-2</v>
      </c>
    </row>
    <row r="273" spans="1:18" ht="13">
      <c r="A273" s="8" t="s">
        <v>72</v>
      </c>
      <c r="B273" s="9">
        <v>2018</v>
      </c>
      <c r="C273" s="4">
        <v>-1.8975891877464226</v>
      </c>
      <c r="D273" s="10">
        <v>0.46158191093145995</v>
      </c>
      <c r="E273" s="11">
        <v>0.2402</v>
      </c>
      <c r="F273" s="11">
        <v>6.301000000000001E-3</v>
      </c>
      <c r="G273" s="12">
        <v>7.9893386051930165E-2</v>
      </c>
      <c r="H273" s="12">
        <v>-4.6444142410816729E-2</v>
      </c>
      <c r="I273" s="12">
        <v>-3.9161209468165856E-2</v>
      </c>
      <c r="J273" s="12">
        <v>1.9190391329673626E-2</v>
      </c>
      <c r="K273" s="12">
        <v>-1.1155883007078178E-2</v>
      </c>
      <c r="L273" s="12">
        <v>-9.4065225142534389E-3</v>
      </c>
      <c r="M273" s="12">
        <v>5.0340822551321206E-4</v>
      </c>
      <c r="N273" s="12">
        <v>-2.9264454133055628E-4</v>
      </c>
      <c r="O273" s="12">
        <v>-2.4675478085891308E-4</v>
      </c>
      <c r="P273">
        <f t="shared" si="12"/>
        <v>3.6877341804634776E-2</v>
      </c>
      <c r="Q273">
        <f t="shared" si="13"/>
        <v>-2.143777600555765E-2</v>
      </c>
      <c r="R273">
        <f t="shared" si="14"/>
        <v>-1.8076105900703177E-2</v>
      </c>
    </row>
    <row r="274" spans="1:18" ht="13">
      <c r="A274" s="8" t="s">
        <v>72</v>
      </c>
      <c r="B274" s="9">
        <v>2019</v>
      </c>
      <c r="C274" s="4">
        <v>-2.4572045910995013</v>
      </c>
      <c r="D274" s="10">
        <v>0.39737028667641455</v>
      </c>
      <c r="E274" s="11">
        <v>0.2402</v>
      </c>
      <c r="F274" s="11">
        <v>3.8820000000000005E-3</v>
      </c>
      <c r="G274" s="12">
        <v>0.14990325963342047</v>
      </c>
      <c r="H274" s="12">
        <v>-5.1582554241068126E-3</v>
      </c>
      <c r="I274" s="12">
        <v>-0.14665396487807758</v>
      </c>
      <c r="J274" s="12">
        <v>3.6006762963947593E-2</v>
      </c>
      <c r="K274" s="12">
        <v>-1.2390129528704564E-3</v>
      </c>
      <c r="L274" s="12">
        <v>-3.5226282363714237E-2</v>
      </c>
      <c r="M274" s="12">
        <v>5.8192445389693831E-4</v>
      </c>
      <c r="N274" s="12">
        <v>-2.0024347556382651E-5</v>
      </c>
      <c r="O274" s="12">
        <v>-5.6931069165669726E-4</v>
      </c>
      <c r="P274">
        <f t="shared" si="12"/>
        <v>5.956710125426129E-2</v>
      </c>
      <c r="Q274">
        <f t="shared" si="13"/>
        <v>-2.0497374366274944E-3</v>
      </c>
      <c r="R274">
        <f t="shared" si="14"/>
        <v>-5.8275928065834516E-2</v>
      </c>
    </row>
    <row r="275" spans="1:18" ht="13">
      <c r="A275" s="8" t="s">
        <v>72</v>
      </c>
      <c r="B275" s="9">
        <v>2020</v>
      </c>
      <c r="C275" s="4">
        <v>-3.038281111001977</v>
      </c>
      <c r="D275" s="10">
        <v>0.30584479431935524</v>
      </c>
      <c r="E275" s="11">
        <v>0.1827</v>
      </c>
      <c r="F275" s="11">
        <v>1.7800000000000005E-3</v>
      </c>
      <c r="G275" s="12">
        <v>0.35092215854626835</v>
      </c>
      <c r="H275" s="12">
        <v>-6.3960735752105355E-2</v>
      </c>
      <c r="I275" s="12">
        <v>-0.22808973509797548</v>
      </c>
      <c r="J275" s="12">
        <v>6.4113478366403229E-2</v>
      </c>
      <c r="K275" s="12">
        <v>-1.1685626421909649E-2</v>
      </c>
      <c r="L275" s="12">
        <v>-4.167199460240012E-2</v>
      </c>
      <c r="M275" s="12">
        <v>6.2464144221235788E-4</v>
      </c>
      <c r="N275" s="12">
        <v>-1.1385010963874757E-4</v>
      </c>
      <c r="O275" s="12">
        <v>-4.0599972847439646E-4</v>
      </c>
      <c r="P275">
        <f t="shared" si="12"/>
        <v>0.10732771540268761</v>
      </c>
      <c r="Q275">
        <f t="shared" si="13"/>
        <v>-1.9562058070617293E-2</v>
      </c>
      <c r="R275">
        <f t="shared" si="14"/>
        <v>-6.9760058117396537E-2</v>
      </c>
    </row>
    <row r="276" spans="1:18" ht="13">
      <c r="A276" s="8" t="s">
        <v>72</v>
      </c>
      <c r="B276" s="9">
        <v>2021</v>
      </c>
      <c r="C276" s="4">
        <v>-2.2479129562975491</v>
      </c>
      <c r="D276" s="10">
        <v>0.43432272301128211</v>
      </c>
      <c r="E276" s="11">
        <v>6.6100000000000006E-2</v>
      </c>
      <c r="F276" s="11">
        <v>2.1800000000000001E-3</v>
      </c>
      <c r="G276" s="12">
        <v>-2.1623500449625951E-2</v>
      </c>
      <c r="H276" s="12">
        <v>-5.531036945859933E-2</v>
      </c>
      <c r="I276" s="12">
        <v>4.5230457215380396E-2</v>
      </c>
      <c r="J276" s="12">
        <v>-1.4293133797202756E-3</v>
      </c>
      <c r="K276" s="12">
        <v>-3.656015421213416E-3</v>
      </c>
      <c r="L276" s="12">
        <v>2.9897332219366445E-3</v>
      </c>
      <c r="M276" s="12">
        <v>-4.7139230980184575E-5</v>
      </c>
      <c r="N276" s="12">
        <v>-1.2057660541974654E-4</v>
      </c>
      <c r="O276" s="12">
        <v>9.8602396729529263E-5</v>
      </c>
      <c r="P276">
        <f t="shared" si="12"/>
        <v>-9.3915775963172264E-3</v>
      </c>
      <c r="Q276">
        <f t="shared" si="13"/>
        <v>-2.4022550274018915E-2</v>
      </c>
      <c r="R276">
        <f t="shared" si="14"/>
        <v>1.9644615340829306E-2</v>
      </c>
    </row>
    <row r="277" spans="1:18" ht="13">
      <c r="A277" s="8" t="s">
        <v>73</v>
      </c>
      <c r="B277" s="9">
        <v>2017</v>
      </c>
      <c r="C277" s="4">
        <v>-2.5185611766978782</v>
      </c>
      <c r="D277" s="10">
        <v>0.36435855749334911</v>
      </c>
      <c r="E277" s="11">
        <v>0</v>
      </c>
      <c r="F277" s="11">
        <v>0</v>
      </c>
      <c r="G277" s="12">
        <v>2.2021874076263673E-2</v>
      </c>
      <c r="H277" s="12">
        <v>2.7545817321903636E-2</v>
      </c>
      <c r="I277" s="12">
        <v>-2.576300620750813E-2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>
        <f t="shared" si="12"/>
        <v>8.0238582717276109E-3</v>
      </c>
      <c r="Q277">
        <f t="shared" si="13"/>
        <v>1.0036554264384118E-2</v>
      </c>
      <c r="R277">
        <f t="shared" si="14"/>
        <v>-9.3869717784598617E-3</v>
      </c>
    </row>
    <row r="278" spans="1:18" ht="13">
      <c r="A278" s="8" t="s">
        <v>73</v>
      </c>
      <c r="B278" s="9">
        <v>2018</v>
      </c>
      <c r="C278" s="4">
        <v>-0.75015993131890679</v>
      </c>
      <c r="D278" s="10">
        <v>0.64747078871607222</v>
      </c>
      <c r="E278" s="11">
        <v>0</v>
      </c>
      <c r="F278" s="11">
        <v>1.3999999999999999E-2</v>
      </c>
      <c r="G278" s="12">
        <v>0.11429014641001191</v>
      </c>
      <c r="H278" s="12">
        <v>-0.25523886868723733</v>
      </c>
      <c r="I278" s="12">
        <v>0.14251821570497175</v>
      </c>
      <c r="J278" s="12">
        <v>0</v>
      </c>
      <c r="K278" s="12">
        <v>0</v>
      </c>
      <c r="L278" s="12">
        <v>0</v>
      </c>
      <c r="M278" s="12">
        <v>1.6000620497401666E-3</v>
      </c>
      <c r="N278" s="12">
        <v>-3.5733441616213222E-3</v>
      </c>
      <c r="O278" s="12">
        <v>1.9952550198696043E-3</v>
      </c>
      <c r="P278">
        <f t="shared" si="12"/>
        <v>7.3999531238565786E-2</v>
      </c>
      <c r="Q278">
        <f t="shared" si="13"/>
        <v>-0.16525971161992353</v>
      </c>
      <c r="R278">
        <f t="shared" si="14"/>
        <v>9.2276381528905368E-2</v>
      </c>
    </row>
    <row r="279" spans="1:18" ht="13">
      <c r="A279" s="8" t="s">
        <v>73</v>
      </c>
      <c r="B279" s="9">
        <v>2019</v>
      </c>
      <c r="C279" s="4">
        <v>-0.68162563658587016</v>
      </c>
      <c r="D279" s="10">
        <v>0.65397604764852801</v>
      </c>
      <c r="E279" s="11">
        <v>0</v>
      </c>
      <c r="F279" s="11">
        <v>2.6199999999999998E-2</v>
      </c>
      <c r="G279" s="12">
        <v>0.11488162585658475</v>
      </c>
      <c r="H279" s="12">
        <v>-7.2582883248297503E-5</v>
      </c>
      <c r="I279" s="12">
        <v>-0.11515060948274021</v>
      </c>
      <c r="J279" s="12">
        <v>0</v>
      </c>
      <c r="K279" s="12">
        <v>0</v>
      </c>
      <c r="L279" s="12">
        <v>0</v>
      </c>
      <c r="M279" s="12">
        <v>3.0098985974425199E-3</v>
      </c>
      <c r="N279" s="12">
        <v>-1.9016715411053943E-6</v>
      </c>
      <c r="O279" s="12">
        <v>-3.0169459684477934E-3</v>
      </c>
      <c r="P279">
        <f t="shared" si="12"/>
        <v>7.5129831625126237E-2</v>
      </c>
      <c r="Q279">
        <f t="shared" si="13"/>
        <v>-4.746746711365615E-5</v>
      </c>
      <c r="R279">
        <f t="shared" si="14"/>
        <v>-7.5305740473841559E-2</v>
      </c>
    </row>
    <row r="280" spans="1:18" ht="13">
      <c r="A280" s="8" t="s">
        <v>73</v>
      </c>
      <c r="B280" s="9">
        <v>2020</v>
      </c>
      <c r="C280" s="4">
        <v>-0.63639861853592683</v>
      </c>
      <c r="D280" s="10">
        <v>0.65958756786579553</v>
      </c>
      <c r="E280" s="11">
        <v>0.12</v>
      </c>
      <c r="F280" s="11">
        <v>3.3799999999999997E-2</v>
      </c>
      <c r="G280" s="12">
        <v>-5.0166715975148525E-2</v>
      </c>
      <c r="H280" s="12">
        <v>-3.8132781078336515E-2</v>
      </c>
      <c r="I280" s="12">
        <v>9.4788226733726194E-2</v>
      </c>
      <c r="J280" s="12">
        <v>-6.0200059170178229E-3</v>
      </c>
      <c r="K280" s="12">
        <v>-4.575933729400382E-3</v>
      </c>
      <c r="L280" s="12">
        <v>1.1374587208047142E-2</v>
      </c>
      <c r="M280" s="12">
        <v>-1.6956349999600201E-3</v>
      </c>
      <c r="N280" s="12">
        <v>-1.2888880004477742E-3</v>
      </c>
      <c r="O280" s="12">
        <v>3.2038420635999449E-3</v>
      </c>
      <c r="P280">
        <f t="shared" si="12"/>
        <v>-3.3089342177862364E-2</v>
      </c>
      <c r="Q280">
        <f t="shared" si="13"/>
        <v>-2.5151908327418811E-2</v>
      </c>
      <c r="R280">
        <f t="shared" si="14"/>
        <v>6.2521135933610042E-2</v>
      </c>
    </row>
    <row r="281" spans="1:18" ht="13">
      <c r="A281" s="8" t="s">
        <v>73</v>
      </c>
      <c r="B281" s="9">
        <v>2021</v>
      </c>
      <c r="C281" s="4">
        <v>-0.42184874432145675</v>
      </c>
      <c r="D281" s="10">
        <v>0.68487273127672454</v>
      </c>
      <c r="E281" s="11">
        <v>1.3300000000000001E-2</v>
      </c>
      <c r="F281" s="11">
        <v>3.3799999999999997E-2</v>
      </c>
      <c r="G281" s="12">
        <v>-9.5428602888550395E-4</v>
      </c>
      <c r="H281" s="12">
        <v>-1.2064377603640966E-2</v>
      </c>
      <c r="I281" s="12">
        <v>1.1590904920078544E-2</v>
      </c>
      <c r="J281" s="12">
        <v>-1.2692004184177203E-5</v>
      </c>
      <c r="K281" s="12">
        <v>-1.6045622212842488E-4</v>
      </c>
      <c r="L281" s="12">
        <v>1.5415903543704464E-4</v>
      </c>
      <c r="M281" s="12">
        <v>-3.2254867776330028E-5</v>
      </c>
      <c r="N281" s="12">
        <v>-4.0777596300306464E-4</v>
      </c>
      <c r="O281" s="12">
        <v>3.9177258629865473E-4</v>
      </c>
      <c r="P281">
        <f t="shared" si="12"/>
        <v>-6.5356447902203431E-4</v>
      </c>
      <c r="Q281">
        <f t="shared" si="13"/>
        <v>-8.2625632405593334E-3</v>
      </c>
      <c r="R281">
        <f t="shared" si="14"/>
        <v>7.9382947105830163E-3</v>
      </c>
    </row>
    <row r="282" spans="1:18" ht="13">
      <c r="A282" s="8" t="s">
        <v>74</v>
      </c>
      <c r="B282" s="9">
        <v>2017</v>
      </c>
      <c r="C282" s="4">
        <v>-5.7434405149771868</v>
      </c>
      <c r="D282" s="10">
        <v>8.1359692046714949E-2</v>
      </c>
      <c r="E282" s="11">
        <v>7.4999999999999997E-3</v>
      </c>
      <c r="F282" s="11">
        <v>1.2000000000000002E-2</v>
      </c>
      <c r="G282" s="12">
        <v>0.4344620604162589</v>
      </c>
      <c r="H282" s="12">
        <v>1.4092777451556078E-2</v>
      </c>
      <c r="I282" s="12">
        <v>-0.31617407189926272</v>
      </c>
      <c r="J282" s="12">
        <v>3.2584654531219418E-3</v>
      </c>
      <c r="K282" s="12">
        <v>1.0569583088667058E-4</v>
      </c>
      <c r="L282" s="12">
        <v>-2.3713055392444705E-3</v>
      </c>
      <c r="M282" s="12">
        <v>5.2135447249951079E-3</v>
      </c>
      <c r="N282" s="12">
        <v>1.6911332941867295E-4</v>
      </c>
      <c r="O282" s="12">
        <v>-3.7940888627911533E-3</v>
      </c>
      <c r="P282">
        <f t="shared" si="12"/>
        <v>3.534769944144809E-2</v>
      </c>
      <c r="Q282">
        <f t="shared" si="13"/>
        <v>1.1465840335414907E-3</v>
      </c>
      <c r="R282">
        <f t="shared" si="14"/>
        <v>-2.5723825122879927E-2</v>
      </c>
    </row>
    <row r="283" spans="1:18" ht="13">
      <c r="A283" s="8" t="s">
        <v>74</v>
      </c>
      <c r="B283" s="9">
        <v>2018</v>
      </c>
      <c r="C283" s="4">
        <v>-5.6659727650594238</v>
      </c>
      <c r="D283" s="10">
        <v>6.591639871382636E-2</v>
      </c>
      <c r="E283" s="11">
        <v>6.7999999999999996E-3</v>
      </c>
      <c r="F283" s="11">
        <v>0.23599999999999999</v>
      </c>
      <c r="G283" s="12">
        <v>0.31759719380298157</v>
      </c>
      <c r="H283" s="12">
        <v>2.4115755627009645E-2</v>
      </c>
      <c r="I283" s="12">
        <v>-0.45125694241449865</v>
      </c>
      <c r="J283" s="12">
        <v>2.1596609178602746E-3</v>
      </c>
      <c r="K283" s="12">
        <v>1.6398713826366559E-4</v>
      </c>
      <c r="L283" s="12">
        <v>-3.0685472084185906E-3</v>
      </c>
      <c r="M283" s="12">
        <v>7.4952937737503653E-2</v>
      </c>
      <c r="N283" s="12">
        <v>5.6913183279742761E-3</v>
      </c>
      <c r="O283" s="12">
        <v>-0.10649663840982168</v>
      </c>
      <c r="P283">
        <f t="shared" si="12"/>
        <v>2.0934863257109717E-2</v>
      </c>
      <c r="Q283">
        <f t="shared" si="13"/>
        <v>1.5896237631951692E-3</v>
      </c>
      <c r="R283">
        <f t="shared" si="14"/>
        <v>-2.9745232538576274E-2</v>
      </c>
    </row>
    <row r="284" spans="1:18" ht="13">
      <c r="A284" s="8" t="s">
        <v>74</v>
      </c>
      <c r="B284" s="9">
        <v>2019</v>
      </c>
      <c r="C284" s="4">
        <v>-5.016162136296221</v>
      </c>
      <c r="D284" s="10">
        <v>0.19967675580370262</v>
      </c>
      <c r="E284" s="11">
        <v>7.2300000000000003E-3</v>
      </c>
      <c r="F284" s="11">
        <v>3.3400000000000006E-2</v>
      </c>
      <c r="G284" s="12">
        <v>0.39538642374375549</v>
      </c>
      <c r="H284" s="12">
        <v>-8.6835145459888338E-2</v>
      </c>
      <c r="I284" s="12">
        <v>-0.38385248310314429</v>
      </c>
      <c r="J284" s="12">
        <v>2.8586438436673522E-3</v>
      </c>
      <c r="K284" s="12">
        <v>-6.2781810167499268E-4</v>
      </c>
      <c r="L284" s="12">
        <v>-2.7752534528357334E-3</v>
      </c>
      <c r="M284" s="12">
        <v>1.3205906553041435E-2</v>
      </c>
      <c r="N284" s="12">
        <v>-2.9002938583602709E-3</v>
      </c>
      <c r="O284" s="12">
        <v>-1.2820672935645022E-2</v>
      </c>
      <c r="P284">
        <f t="shared" si="12"/>
        <v>7.8949478381981145E-2</v>
      </c>
      <c r="Q284">
        <f t="shared" si="13"/>
        <v>-1.733896013517312E-2</v>
      </c>
      <c r="R284">
        <f t="shared" si="14"/>
        <v>-7.6646418533231425E-2</v>
      </c>
    </row>
    <row r="285" spans="1:18" ht="13">
      <c r="A285" s="8" t="s">
        <v>74</v>
      </c>
      <c r="B285" s="9">
        <v>2020</v>
      </c>
      <c r="C285" s="4">
        <v>-5.7033802411809544</v>
      </c>
      <c r="D285" s="10">
        <v>7.6547231270358299E-2</v>
      </c>
      <c r="E285" s="11">
        <v>1.0200000000000001E-2</v>
      </c>
      <c r="F285" s="11">
        <v>3.6000000000000004E-2</v>
      </c>
      <c r="G285" s="12">
        <v>0.37418566775244294</v>
      </c>
      <c r="H285" s="12">
        <v>-3.3251900108577634E-2</v>
      </c>
      <c r="I285" s="12">
        <v>-0.32233984799131377</v>
      </c>
      <c r="J285" s="12">
        <v>3.8166938110749181E-3</v>
      </c>
      <c r="K285" s="12">
        <v>-3.3916938110749187E-4</v>
      </c>
      <c r="L285" s="12">
        <v>-3.2878664495114007E-3</v>
      </c>
      <c r="M285" s="12">
        <v>1.3470684039087948E-2</v>
      </c>
      <c r="N285" s="12">
        <v>-1.197068403908795E-3</v>
      </c>
      <c r="O285" s="12">
        <v>-1.1604234527687296E-2</v>
      </c>
      <c r="P285">
        <f t="shared" si="12"/>
        <v>2.86428768474997E-2</v>
      </c>
      <c r="Q285">
        <f t="shared" si="13"/>
        <v>-2.5453408877901445E-3</v>
      </c>
      <c r="R285">
        <f t="shared" si="14"/>
        <v>-2.4674222891843234E-2</v>
      </c>
    </row>
    <row r="286" spans="1:18" ht="13">
      <c r="A286" s="8" t="s">
        <v>74</v>
      </c>
      <c r="B286" s="9">
        <v>2021</v>
      </c>
      <c r="C286" s="4">
        <v>-5.6892455459901479</v>
      </c>
      <c r="D286" s="10">
        <v>9.1563938808851927E-2</v>
      </c>
      <c r="E286" s="11">
        <v>1.6500000000000001E-2</v>
      </c>
      <c r="F286" s="11">
        <v>3.6500000000000005E-2</v>
      </c>
      <c r="G286" s="12">
        <v>0.39648002376355268</v>
      </c>
      <c r="H286" s="12">
        <v>-0.3254121491162929</v>
      </c>
      <c r="I286" s="12">
        <v>-0.49205406208228136</v>
      </c>
      <c r="J286" s="12">
        <v>6.5419203920986197E-3</v>
      </c>
      <c r="K286" s="12">
        <v>-5.3693004604188329E-3</v>
      </c>
      <c r="L286" s="12">
        <v>-8.1188920243576435E-3</v>
      </c>
      <c r="M286" s="12">
        <v>1.4471520867369674E-2</v>
      </c>
      <c r="N286" s="12">
        <v>-1.1877543442744692E-2</v>
      </c>
      <c r="O286" s="12">
        <v>-1.7959973266003272E-2</v>
      </c>
      <c r="P286">
        <f t="shared" si="12"/>
        <v>3.6303272634818098E-2</v>
      </c>
      <c r="Q286">
        <f t="shared" si="13"/>
        <v>-2.9796018109341241E-2</v>
      </c>
      <c r="R286">
        <f t="shared" si="14"/>
        <v>-4.5054408031149039E-2</v>
      </c>
    </row>
    <row r="287" spans="1:18" ht="13">
      <c r="A287" s="8" t="s">
        <v>75</v>
      </c>
      <c r="B287" s="9">
        <v>2017</v>
      </c>
      <c r="C287" s="4">
        <v>-5.7613055860580848</v>
      </c>
      <c r="D287" s="10">
        <v>4.528814117066348E-2</v>
      </c>
      <c r="E287" s="11">
        <v>0.18129999999999999</v>
      </c>
      <c r="F287" s="11">
        <v>4.2200000000000007E-3</v>
      </c>
      <c r="G287" s="12">
        <v>0.29200773312492284</v>
      </c>
      <c r="H287" s="12">
        <v>0.17086915388095922</v>
      </c>
      <c r="I287" s="12">
        <v>-0.24277076220640861</v>
      </c>
      <c r="J287" s="12">
        <v>5.2941002015548508E-2</v>
      </c>
      <c r="K287" s="12">
        <v>3.0978577598617905E-2</v>
      </c>
      <c r="L287" s="12">
        <v>-4.4014339188021882E-2</v>
      </c>
      <c r="M287" s="12">
        <v>1.2322726337871746E-3</v>
      </c>
      <c r="N287" s="12">
        <v>7.2106782937764798E-4</v>
      </c>
      <c r="O287" s="12">
        <v>-1.0244926165110446E-3</v>
      </c>
      <c r="P287">
        <f t="shared" si="12"/>
        <v>1.3224487440686931E-2</v>
      </c>
      <c r="Q287">
        <f t="shared" si="13"/>
        <v>7.7383463626727027E-3</v>
      </c>
      <c r="R287">
        <f t="shared" si="14"/>
        <v>-1.0994636550913407E-2</v>
      </c>
    </row>
    <row r="288" spans="1:18" ht="13">
      <c r="A288" s="8" t="s">
        <v>75</v>
      </c>
      <c r="B288" s="9">
        <v>2018</v>
      </c>
      <c r="C288" s="4">
        <v>-5.5967425825773987</v>
      </c>
      <c r="D288" s="10">
        <v>6.8987725412941361E-2</v>
      </c>
      <c r="E288" s="11">
        <v>0.21049999999999999</v>
      </c>
      <c r="F288" s="11">
        <v>4.2200000000000007E-3</v>
      </c>
      <c r="G288" s="12">
        <v>0.28436126685861496</v>
      </c>
      <c r="H288" s="12">
        <v>4.6597969389301414E-2</v>
      </c>
      <c r="I288" s="12">
        <v>-0.2498484618881649</v>
      </c>
      <c r="J288" s="12">
        <v>5.9858046673738445E-2</v>
      </c>
      <c r="K288" s="12">
        <v>9.8088725564479465E-3</v>
      </c>
      <c r="L288" s="12">
        <v>-5.2593101227458708E-2</v>
      </c>
      <c r="M288" s="12">
        <v>1.2000045461433553E-3</v>
      </c>
      <c r="N288" s="12">
        <v>1.9664343082285198E-4</v>
      </c>
      <c r="O288" s="12">
        <v>-1.0543605091680561E-3</v>
      </c>
      <c r="P288">
        <f t="shared" si="12"/>
        <v>1.961743699611827E-2</v>
      </c>
      <c r="Q288">
        <f t="shared" si="13"/>
        <v>3.2146879170297728E-3</v>
      </c>
      <c r="R288">
        <f t="shared" si="14"/>
        <v>-1.7236477083586464E-2</v>
      </c>
    </row>
    <row r="289" spans="1:18" ht="13">
      <c r="A289" s="8" t="s">
        <v>75</v>
      </c>
      <c r="B289" s="9">
        <v>2019</v>
      </c>
      <c r="C289" s="4">
        <v>-5.3144339258476396</v>
      </c>
      <c r="D289" s="10">
        <v>0.10122088178821144</v>
      </c>
      <c r="E289" s="11">
        <v>0.21529999999999999</v>
      </c>
      <c r="F289" s="11">
        <v>4.2300000000000003E-3</v>
      </c>
      <c r="G289" s="12">
        <v>0.26196427924500965</v>
      </c>
      <c r="H289" s="12">
        <v>-9.4120204325616796E-2</v>
      </c>
      <c r="I289" s="12">
        <v>-0.27746984023475713</v>
      </c>
      <c r="J289" s="12">
        <v>5.6400909321450574E-2</v>
      </c>
      <c r="K289" s="12">
        <v>-2.0264079991305296E-2</v>
      </c>
      <c r="L289" s="12">
        <v>-5.9739256602543207E-2</v>
      </c>
      <c r="M289" s="12">
        <v>1.1081089012063908E-3</v>
      </c>
      <c r="N289" s="12">
        <v>-3.9812846429735906E-4</v>
      </c>
      <c r="O289" s="12">
        <v>-1.1736974241930227E-3</v>
      </c>
      <c r="P289">
        <f t="shared" si="12"/>
        <v>2.6516255342193134E-2</v>
      </c>
      <c r="Q289">
        <f t="shared" si="13"/>
        <v>-9.5269300759255639E-3</v>
      </c>
      <c r="R289">
        <f t="shared" si="14"/>
        <v>-2.8085741898196265E-2</v>
      </c>
    </row>
    <row r="290" spans="1:18" ht="13">
      <c r="A290" s="8" t="s">
        <v>75</v>
      </c>
      <c r="B290" s="9">
        <v>2020</v>
      </c>
      <c r="C290" s="4">
        <v>-4.7216055631174152</v>
      </c>
      <c r="D290" s="10">
        <v>8.0768887699580766E-2</v>
      </c>
      <c r="E290" s="11">
        <v>0.1968</v>
      </c>
      <c r="F290" s="11">
        <v>4.2300000000000003E-3</v>
      </c>
      <c r="G290" s="12">
        <v>-5.0932120239050929E-2</v>
      </c>
      <c r="H290" s="12">
        <v>9.6824547319596832E-2</v>
      </c>
      <c r="I290" s="12">
        <v>-0.29997324056730001</v>
      </c>
      <c r="J290" s="12">
        <v>-1.0023441263045224E-2</v>
      </c>
      <c r="K290" s="12">
        <v>1.9055070912496658E-2</v>
      </c>
      <c r="L290" s="12">
        <v>-5.9034733743644645E-2</v>
      </c>
      <c r="M290" s="12">
        <v>-2.1544286861118543E-4</v>
      </c>
      <c r="N290" s="12">
        <v>4.0956783516189461E-4</v>
      </c>
      <c r="O290" s="12">
        <v>-1.2688868075996791E-3</v>
      </c>
      <c r="P290">
        <f t="shared" si="12"/>
        <v>-4.1137306998894488E-3</v>
      </c>
      <c r="Q290">
        <f t="shared" si="13"/>
        <v>7.8204109890192604E-3</v>
      </c>
      <c r="R290">
        <f t="shared" si="14"/>
        <v>-2.422850498025958E-2</v>
      </c>
    </row>
    <row r="291" spans="1:18" ht="13">
      <c r="A291" s="8" t="s">
        <v>75</v>
      </c>
      <c r="B291" s="9">
        <v>2021</v>
      </c>
      <c r="C291" s="4">
        <v>-4.3822714935066358</v>
      </c>
      <c r="D291" s="10">
        <v>8.8436052015345518E-2</v>
      </c>
      <c r="E291" s="11">
        <v>0.21640000000000001</v>
      </c>
      <c r="F291" s="11">
        <v>4.2300000000000003E-3</v>
      </c>
      <c r="G291" s="12">
        <v>7.2193712321259526E-2</v>
      </c>
      <c r="H291" s="12">
        <v>0.27522295849733447</v>
      </c>
      <c r="I291" s="12">
        <v>-0.1745304170195805</v>
      </c>
      <c r="J291" s="12">
        <v>1.5622719346320563E-2</v>
      </c>
      <c r="K291" s="12">
        <v>5.9558248218823183E-2</v>
      </c>
      <c r="L291" s="12">
        <v>-3.7768382243037218E-2</v>
      </c>
      <c r="M291" s="12">
        <v>3.0537940311892782E-4</v>
      </c>
      <c r="N291" s="12">
        <v>1.1641931144437249E-3</v>
      </c>
      <c r="O291" s="12">
        <v>-7.3826366399282553E-4</v>
      </c>
      <c r="P291">
        <f t="shared" si="12"/>
        <v>6.3845268980237983E-3</v>
      </c>
      <c r="Q291">
        <f t="shared" si="13"/>
        <v>2.433963187348755E-2</v>
      </c>
      <c r="R291">
        <f t="shared" si="14"/>
        <v>-1.5434781037803566E-2</v>
      </c>
    </row>
    <row r="292" spans="1:18" ht="13">
      <c r="A292" s="8" t="s">
        <v>76</v>
      </c>
      <c r="B292" s="9">
        <v>2017</v>
      </c>
      <c r="C292" s="4">
        <v>-1.4478404166435863</v>
      </c>
      <c r="D292" s="10">
        <v>0.51018095987411494</v>
      </c>
      <c r="E292" s="11">
        <v>2.3000000000000001E-4</v>
      </c>
      <c r="F292" s="11">
        <v>0.2515</v>
      </c>
      <c r="G292" s="12">
        <v>-6.6247049567269872E-2</v>
      </c>
      <c r="H292" s="12">
        <v>1.3752950432730135E-2</v>
      </c>
      <c r="I292" s="12">
        <v>9.0920535011801737E-2</v>
      </c>
      <c r="J292" s="12">
        <v>-1.5236821400472072E-5</v>
      </c>
      <c r="K292" s="12">
        <v>3.1631785995279311E-6</v>
      </c>
      <c r="L292" s="12">
        <v>2.0911723052714399E-5</v>
      </c>
      <c r="M292" s="12">
        <v>-1.6661132966168373E-2</v>
      </c>
      <c r="N292" s="12">
        <v>3.4588670338316289E-3</v>
      </c>
      <c r="O292" s="12">
        <v>2.2866514555468138E-2</v>
      </c>
      <c r="P292">
        <f t="shared" si="12"/>
        <v>-3.3797983337057816E-2</v>
      </c>
      <c r="Q292">
        <f t="shared" si="13"/>
        <v>7.0164934528713849E-3</v>
      </c>
      <c r="R292">
        <f t="shared" si="14"/>
        <v>4.6385925824589086E-2</v>
      </c>
    </row>
    <row r="293" spans="1:18" ht="13">
      <c r="A293" s="8" t="s">
        <v>76</v>
      </c>
      <c r="B293" s="9">
        <v>2018</v>
      </c>
      <c r="C293" s="4">
        <v>-1.2726223272978299</v>
      </c>
      <c r="D293" s="10">
        <v>0.53976855486060116</v>
      </c>
      <c r="E293" s="11">
        <v>1.9999999999999998E-4</v>
      </c>
      <c r="F293" s="11">
        <v>0.27750000000000002</v>
      </c>
      <c r="G293" s="12">
        <v>-5.5025195614190572E-2</v>
      </c>
      <c r="H293" s="12">
        <v>4.0515560507457392E-4</v>
      </c>
      <c r="I293" s="12">
        <v>5.7101618090197766E-2</v>
      </c>
      <c r="J293" s="12">
        <v>-1.1005039122838113E-5</v>
      </c>
      <c r="K293" s="12">
        <v>8.1031121014914776E-8</v>
      </c>
      <c r="L293" s="12">
        <v>1.1420323618039553E-5</v>
      </c>
      <c r="M293" s="12">
        <v>-1.5269491782937886E-2</v>
      </c>
      <c r="N293" s="12">
        <v>1.1243068040819427E-4</v>
      </c>
      <c r="O293" s="12">
        <v>1.5845699020029882E-2</v>
      </c>
      <c r="P293">
        <f t="shared" si="12"/>
        <v>-2.9700870317593536E-2</v>
      </c>
      <c r="Q293">
        <f t="shared" si="13"/>
        <v>2.186902554447752E-4</v>
      </c>
      <c r="R293">
        <f t="shared" si="14"/>
        <v>3.082165787674801E-2</v>
      </c>
    </row>
    <row r="294" spans="1:18" ht="13">
      <c r="A294" s="8" t="s">
        <v>76</v>
      </c>
      <c r="B294" s="9">
        <v>2019</v>
      </c>
      <c r="C294" s="4">
        <v>-0.97365930954263213</v>
      </c>
      <c r="D294" s="10">
        <v>0.59486085063269312</v>
      </c>
      <c r="E294" s="11">
        <v>1.1000000000000001E-3</v>
      </c>
      <c r="F294" s="11">
        <v>0.2571</v>
      </c>
      <c r="G294" s="12">
        <v>-1.3710146802043589E-2</v>
      </c>
      <c r="H294" s="12">
        <v>1.9616719480911424E-3</v>
      </c>
      <c r="I294" s="12">
        <v>1.6706546810666321E-2</v>
      </c>
      <c r="J294" s="12">
        <v>-1.5081161482247948E-5</v>
      </c>
      <c r="K294" s="12">
        <v>2.1578391429002569E-6</v>
      </c>
      <c r="L294" s="12">
        <v>1.8377201491732953E-5</v>
      </c>
      <c r="M294" s="12">
        <v>-3.5248787428054065E-3</v>
      </c>
      <c r="N294" s="12">
        <v>5.0434585785423265E-4</v>
      </c>
      <c r="O294" s="12">
        <v>4.2952531850223115E-3</v>
      </c>
      <c r="P294">
        <f t="shared" si="12"/>
        <v>-8.1556295889627459E-3</v>
      </c>
      <c r="Q294">
        <f t="shared" si="13"/>
        <v>1.1669218437037891E-3</v>
      </c>
      <c r="R294">
        <f t="shared" si="14"/>
        <v>9.9380706469278744E-3</v>
      </c>
    </row>
    <row r="295" spans="1:18" ht="13">
      <c r="A295" s="8" t="s">
        <v>76</v>
      </c>
      <c r="B295" s="9">
        <v>2020</v>
      </c>
      <c r="C295" s="4">
        <v>-0.53136789020266051</v>
      </c>
      <c r="D295" s="10">
        <v>0.65614369556278274</v>
      </c>
      <c r="E295" s="11">
        <v>1E-3</v>
      </c>
      <c r="F295" s="11">
        <v>0.24079999999999999</v>
      </c>
      <c r="G295" s="12">
        <v>6.2483645471197342E-2</v>
      </c>
      <c r="H295" s="12">
        <v>-1.5195693618930136E-2</v>
      </c>
      <c r="I295" s="12">
        <v>7.5511195843146056E-3</v>
      </c>
      <c r="J295" s="12">
        <v>6.2483645471197343E-5</v>
      </c>
      <c r="K295" s="12">
        <v>-1.5195693618930136E-5</v>
      </c>
      <c r="L295" s="12">
        <v>7.5511195843146061E-6</v>
      </c>
      <c r="M295" s="12">
        <v>1.504606182946432E-2</v>
      </c>
      <c r="N295" s="12">
        <v>-3.6591230234383765E-3</v>
      </c>
      <c r="O295" s="12">
        <v>1.8183095959029569E-3</v>
      </c>
      <c r="P295">
        <f t="shared" si="12"/>
        <v>4.099825005170616E-2</v>
      </c>
      <c r="Q295">
        <f t="shared" si="13"/>
        <v>-9.9705585677646157E-3</v>
      </c>
      <c r="R295">
        <f t="shared" si="14"/>
        <v>4.9546195096886892E-3</v>
      </c>
    </row>
    <row r="296" spans="1:18" ht="13">
      <c r="A296" s="8" t="s">
        <v>76</v>
      </c>
      <c r="B296" s="9">
        <v>2021</v>
      </c>
      <c r="C296" s="4">
        <v>-0.32349241894256159</v>
      </c>
      <c r="D296" s="10">
        <v>0.71003528497099444</v>
      </c>
      <c r="E296" s="11">
        <v>1.1999999999999999E-3</v>
      </c>
      <c r="F296" s="11">
        <v>0.24079999999999999</v>
      </c>
      <c r="G296" s="12">
        <v>1.5235332815023024E-2</v>
      </c>
      <c r="H296" s="12">
        <v>-7.1960409066443395E-2</v>
      </c>
      <c r="I296" s="12">
        <v>4.9324203097900844E-2</v>
      </c>
      <c r="J296" s="12">
        <v>1.8282399378027627E-5</v>
      </c>
      <c r="K296" s="12">
        <v>-8.6352490879732061E-5</v>
      </c>
      <c r="L296" s="12">
        <v>5.9189043717481009E-5</v>
      </c>
      <c r="M296" s="12">
        <v>3.6686681418575439E-3</v>
      </c>
      <c r="N296" s="12">
        <v>-1.7328066503199568E-2</v>
      </c>
      <c r="O296" s="12">
        <v>1.1877268105974522E-2</v>
      </c>
      <c r="P296">
        <f t="shared" si="12"/>
        <v>1.0817623876942815E-2</v>
      </c>
      <c r="Q296">
        <f t="shared" si="13"/>
        <v>-5.1094429558121469E-2</v>
      </c>
      <c r="R296">
        <f t="shared" si="14"/>
        <v>3.5021924602585235E-2</v>
      </c>
    </row>
    <row r="297" spans="1:18" ht="13">
      <c r="A297" s="8" t="s">
        <v>77</v>
      </c>
      <c r="B297" s="9">
        <v>2017</v>
      </c>
      <c r="C297" s="4">
        <v>-1.6937119607094819</v>
      </c>
      <c r="D297" s="10">
        <v>0.52362931055782957</v>
      </c>
      <c r="E297" s="11">
        <v>2.0000000000000001E-4</v>
      </c>
      <c r="F297" s="11">
        <v>0.70519999999999994</v>
      </c>
      <c r="G297" s="12">
        <v>-1.3902501297182436E-2</v>
      </c>
      <c r="H297" s="12">
        <v>1.9066522809820699E-3</v>
      </c>
      <c r="I297" s="12">
        <v>-4.4845449978174389E-3</v>
      </c>
      <c r="J297" s="12">
        <v>-2.7805002594364872E-6</v>
      </c>
      <c r="K297" s="12">
        <v>3.8133045619641397E-7</v>
      </c>
      <c r="L297" s="12">
        <v>-8.9690899956348779E-7</v>
      </c>
      <c r="M297" s="12">
        <v>-9.8040439147730526E-3</v>
      </c>
      <c r="N297" s="12">
        <v>1.3445711885485556E-3</v>
      </c>
      <c r="O297" s="12">
        <v>-3.1625011324608577E-3</v>
      </c>
      <c r="P297">
        <f t="shared" si="12"/>
        <v>-7.2797571692729702E-3</v>
      </c>
      <c r="Q297">
        <f t="shared" si="13"/>
        <v>9.9837901936415435E-4</v>
      </c>
      <c r="R297">
        <f t="shared" si="14"/>
        <v>-2.3482392053727091E-3</v>
      </c>
    </row>
    <row r="298" spans="1:18" ht="13">
      <c r="A298" s="8" t="s">
        <v>77</v>
      </c>
      <c r="B298" s="9">
        <v>2018</v>
      </c>
      <c r="C298" s="4">
        <v>-0.85610838745529039</v>
      </c>
      <c r="D298" s="10">
        <v>0.60021371377215416</v>
      </c>
      <c r="E298" s="11">
        <v>2.0000000000000001E-4</v>
      </c>
      <c r="F298" s="11">
        <v>0.70519999999999994</v>
      </c>
      <c r="G298" s="12">
        <v>-8.6759299556650071E-2</v>
      </c>
      <c r="H298" s="12">
        <v>-4.9062171600836452E-2</v>
      </c>
      <c r="I298" s="12">
        <v>0.14172336804412977</v>
      </c>
      <c r="J298" s="12">
        <v>-1.7351859911330016E-5</v>
      </c>
      <c r="K298" s="12">
        <v>-9.812434320167291E-6</v>
      </c>
      <c r="L298" s="12">
        <v>2.8344673608825957E-5</v>
      </c>
      <c r="M298" s="12">
        <v>-6.1182658047349625E-2</v>
      </c>
      <c r="N298" s="12">
        <v>-3.4598643412909864E-2</v>
      </c>
      <c r="O298" s="12">
        <v>9.9943319144720308E-2</v>
      </c>
      <c r="P298">
        <f t="shared" si="12"/>
        <v>-5.2074121391167745E-2</v>
      </c>
      <c r="Q298">
        <f t="shared" si="13"/>
        <v>-2.9447788222264761E-2</v>
      </c>
      <c r="R298">
        <f t="shared" si="14"/>
        <v>8.5064309062064969E-2</v>
      </c>
    </row>
    <row r="299" spans="1:18" ht="13">
      <c r="A299" s="8" t="s">
        <v>77</v>
      </c>
      <c r="B299" s="9">
        <v>2019</v>
      </c>
      <c r="C299" s="4">
        <v>-0.3972268017822137</v>
      </c>
      <c r="D299" s="10">
        <v>0.64580186011212226</v>
      </c>
      <c r="E299" s="11">
        <v>2.0000000000000001E-4</v>
      </c>
      <c r="F299" s="11">
        <v>0.70519999999999994</v>
      </c>
      <c r="G299" s="12">
        <v>2.8241771617180618E-2</v>
      </c>
      <c r="H299" s="12">
        <v>-5.6669697642282822E-3</v>
      </c>
      <c r="I299" s="12">
        <v>-2.1200123148300623E-2</v>
      </c>
      <c r="J299" s="12">
        <v>5.6483543234361241E-6</v>
      </c>
      <c r="K299" s="12">
        <v>-1.1333939528456564E-6</v>
      </c>
      <c r="L299" s="12">
        <v>-4.2400246296601245E-6</v>
      </c>
      <c r="M299" s="12">
        <v>1.9916097344435769E-2</v>
      </c>
      <c r="N299" s="12">
        <v>-3.9963470777337846E-3</v>
      </c>
      <c r="O299" s="12">
        <v>-1.4950326844181598E-2</v>
      </c>
      <c r="P299">
        <f t="shared" si="12"/>
        <v>1.8238588643236981E-2</v>
      </c>
      <c r="Q299">
        <f t="shared" si="13"/>
        <v>-3.6597396149377795E-3</v>
      </c>
      <c r="R299">
        <f t="shared" si="14"/>
        <v>-1.3691078963778604E-2</v>
      </c>
    </row>
    <row r="300" spans="1:18" ht="13">
      <c r="A300" s="8" t="s">
        <v>77</v>
      </c>
      <c r="B300" s="9">
        <v>2020</v>
      </c>
      <c r="C300" s="4">
        <v>-1.0158813478288571</v>
      </c>
      <c r="D300" s="10">
        <v>0.58392616012910459</v>
      </c>
      <c r="E300" s="11">
        <v>1E-4</v>
      </c>
      <c r="F300" s="11">
        <v>0.64610000000000001</v>
      </c>
      <c r="G300" s="12">
        <v>0.17208032803082701</v>
      </c>
      <c r="H300" s="12">
        <v>-1.7463689358759017E-2</v>
      </c>
      <c r="I300" s="12">
        <v>-0.1706064947468959</v>
      </c>
      <c r="J300" s="12">
        <v>1.7208032803082701E-5</v>
      </c>
      <c r="K300" s="12">
        <v>-1.7463689358759017E-6</v>
      </c>
      <c r="L300" s="12">
        <v>-1.7060649474689591E-5</v>
      </c>
      <c r="M300" s="12">
        <v>0.11118109994071733</v>
      </c>
      <c r="N300" s="12">
        <v>-1.12832896946942E-2</v>
      </c>
      <c r="O300" s="12">
        <v>-0.11022885625596944</v>
      </c>
      <c r="P300">
        <f t="shared" si="12"/>
        <v>0.10048220518079753</v>
      </c>
      <c r="Q300">
        <f t="shared" si="13"/>
        <v>-1.0197505068947657E-2</v>
      </c>
      <c r="R300">
        <f t="shared" si="14"/>
        <v>-9.9621595370641178E-2</v>
      </c>
    </row>
    <row r="301" spans="1:18" ht="13">
      <c r="A301" s="8" t="s">
        <v>77</v>
      </c>
      <c r="B301" s="9">
        <v>2021</v>
      </c>
      <c r="C301" s="4">
        <v>-1.9540596219942823</v>
      </c>
      <c r="D301" s="10">
        <v>0.43606182147644607</v>
      </c>
      <c r="E301" s="11">
        <v>1.8000000000000001E-4</v>
      </c>
      <c r="F301" s="11">
        <v>0.64610000000000001</v>
      </c>
      <c r="G301" s="12">
        <v>0.2615597365646376</v>
      </c>
      <c r="H301" s="12">
        <v>-2.3689048782167779E-2</v>
      </c>
      <c r="I301" s="12">
        <v>-0.23748920455448588</v>
      </c>
      <c r="J301" s="12">
        <v>4.708075258163477E-5</v>
      </c>
      <c r="K301" s="12">
        <v>-4.2640287807902004E-6</v>
      </c>
      <c r="L301" s="12">
        <v>-4.2748056819807463E-5</v>
      </c>
      <c r="M301" s="12">
        <v>0.16899374579441237</v>
      </c>
      <c r="N301" s="12">
        <v>-1.5305494418158603E-2</v>
      </c>
      <c r="O301" s="12">
        <v>-0.15344177506265333</v>
      </c>
      <c r="P301">
        <f t="shared" si="12"/>
        <v>0.11405621515127526</v>
      </c>
      <c r="Q301">
        <f t="shared" si="13"/>
        <v>-1.0329889760996469E-2</v>
      </c>
      <c r="R301">
        <f t="shared" si="14"/>
        <v>-0.1035599751190214</v>
      </c>
    </row>
    <row r="302" spans="1:18" ht="13">
      <c r="A302" s="8" t="s">
        <v>78</v>
      </c>
      <c r="B302" s="9">
        <v>2017</v>
      </c>
      <c r="C302" s="4">
        <v>-3.040692299490833</v>
      </c>
      <c r="D302" s="10">
        <v>0.24318009598383428</v>
      </c>
      <c r="E302" s="11">
        <v>2.7000000000000001E-3</v>
      </c>
      <c r="F302" s="11">
        <v>0.29419999999999996</v>
      </c>
      <c r="G302" s="12">
        <v>0.10065673149785298</v>
      </c>
      <c r="H302" s="12">
        <v>-5.4938115685779228E-2</v>
      </c>
      <c r="I302" s="12">
        <v>-4.5781763071482691E-2</v>
      </c>
      <c r="J302" s="12">
        <v>2.7177317504420304E-4</v>
      </c>
      <c r="K302" s="12">
        <v>-1.4833291235160392E-4</v>
      </c>
      <c r="L302" s="12">
        <v>-1.2361076029300327E-4</v>
      </c>
      <c r="M302" s="12">
        <v>2.9613210406668342E-2</v>
      </c>
      <c r="N302" s="12">
        <v>-1.6162793634756246E-2</v>
      </c>
      <c r="O302" s="12">
        <v>-1.3468994695630206E-2</v>
      </c>
      <c r="P302">
        <f t="shared" si="12"/>
        <v>2.4477713627066924E-2</v>
      </c>
      <c r="Q302">
        <f t="shared" si="13"/>
        <v>-1.3359856245638783E-2</v>
      </c>
      <c r="R302">
        <f t="shared" si="14"/>
        <v>-1.113321353803232E-2</v>
      </c>
    </row>
    <row r="303" spans="1:18" ht="13">
      <c r="A303" s="8" t="s">
        <v>78</v>
      </c>
      <c r="B303" s="9">
        <v>2018</v>
      </c>
      <c r="C303" s="4">
        <v>-2.5955543229513349</v>
      </c>
      <c r="D303" s="10">
        <v>0.32270602151749</v>
      </c>
      <c r="E303" s="11">
        <v>2.7000000000000001E-3</v>
      </c>
      <c r="F303" s="11">
        <v>0.29419999999999996</v>
      </c>
      <c r="G303" s="12">
        <v>-5.0414014532755021E-2</v>
      </c>
      <c r="H303" s="12">
        <v>-1.374415591730975E-2</v>
      </c>
      <c r="I303" s="12">
        <v>8.6126288514617247E-2</v>
      </c>
      <c r="J303" s="12">
        <v>-1.3611783923843856E-4</v>
      </c>
      <c r="K303" s="12">
        <v>-3.7109220976736326E-5</v>
      </c>
      <c r="L303" s="12">
        <v>2.3254097898946658E-4</v>
      </c>
      <c r="M303" s="12">
        <v>-1.4831803075536526E-2</v>
      </c>
      <c r="N303" s="12">
        <v>-4.0435306708725277E-3</v>
      </c>
      <c r="O303" s="12">
        <v>2.5338354081000391E-2</v>
      </c>
      <c r="P303">
        <f t="shared" si="12"/>
        <v>-1.6268906058590295E-2</v>
      </c>
      <c r="Q303">
        <f t="shared" si="13"/>
        <v>-4.4353218751910974E-3</v>
      </c>
      <c r="R303">
        <f t="shared" si="14"/>
        <v>2.7793471914619627E-2</v>
      </c>
    </row>
    <row r="304" spans="1:18" ht="13">
      <c r="A304" s="8" t="s">
        <v>78</v>
      </c>
      <c r="B304" s="9">
        <v>2019</v>
      </c>
      <c r="C304" s="4">
        <v>-2.9326691027904292</v>
      </c>
      <c r="D304" s="10">
        <v>0.27590090090090086</v>
      </c>
      <c r="E304" s="11">
        <v>3.0000000000000001E-5</v>
      </c>
      <c r="F304" s="11">
        <v>0.29419999999999996</v>
      </c>
      <c r="G304" s="12">
        <v>0.18782598387861546</v>
      </c>
      <c r="H304" s="12">
        <v>-3.2479848269321959E-2</v>
      </c>
      <c r="I304" s="12">
        <v>-9.4061166429587478E-2</v>
      </c>
      <c r="J304" s="12">
        <v>5.634779516358464E-6</v>
      </c>
      <c r="K304" s="12">
        <v>-9.7439544807965873E-7</v>
      </c>
      <c r="L304" s="12">
        <v>-2.8218349928876246E-6</v>
      </c>
      <c r="M304" s="12">
        <v>5.5258404457088663E-2</v>
      </c>
      <c r="N304" s="12">
        <v>-9.5555713608345191E-3</v>
      </c>
      <c r="O304" s="12">
        <v>-2.7672795163584632E-2</v>
      </c>
      <c r="P304">
        <f t="shared" si="12"/>
        <v>5.1821358164708085E-2</v>
      </c>
      <c r="Q304">
        <f t="shared" si="13"/>
        <v>-8.9612193986304944E-3</v>
      </c>
      <c r="R304">
        <f t="shared" si="14"/>
        <v>-2.5951560557712756E-2</v>
      </c>
    </row>
    <row r="305" spans="1:18" ht="13">
      <c r="A305" s="8" t="s">
        <v>78</v>
      </c>
      <c r="B305" s="9">
        <v>2020</v>
      </c>
      <c r="C305" s="4">
        <v>-3.0505394439769922</v>
      </c>
      <c r="D305" s="10">
        <v>0.26150466124339411</v>
      </c>
      <c r="E305" s="11">
        <v>3.0000000000000001E-5</v>
      </c>
      <c r="F305" s="11">
        <v>0.26619999999999999</v>
      </c>
      <c r="G305" s="12">
        <v>0.20331334243809751</v>
      </c>
      <c r="H305" s="12">
        <v>-2.1851434000356273E-2</v>
      </c>
      <c r="I305" s="12">
        <v>-5.5994299625912951E-2</v>
      </c>
      <c r="J305" s="12">
        <v>6.0994002731429258E-6</v>
      </c>
      <c r="K305" s="12">
        <v>-6.5554302001068818E-7</v>
      </c>
      <c r="L305" s="12">
        <v>-1.6798289887773885E-6</v>
      </c>
      <c r="M305" s="12">
        <v>5.4122011757021554E-2</v>
      </c>
      <c r="N305" s="12">
        <v>-5.8168517308948399E-3</v>
      </c>
      <c r="O305" s="12">
        <v>-1.4905682560418028E-2</v>
      </c>
      <c r="P305">
        <f t="shared" si="12"/>
        <v>5.3167386740536872E-2</v>
      </c>
      <c r="Q305">
        <f t="shared" si="13"/>
        <v>-5.7142518459455515E-3</v>
      </c>
      <c r="R305">
        <f t="shared" si="14"/>
        <v>-1.4642770355235476E-2</v>
      </c>
    </row>
    <row r="306" spans="1:18" ht="13">
      <c r="A306" s="8" t="s">
        <v>78</v>
      </c>
      <c r="B306" s="9">
        <v>2021</v>
      </c>
      <c r="C306" s="4">
        <v>-3.2587277394506384</v>
      </c>
      <c r="D306" s="10">
        <v>0.20240599526689454</v>
      </c>
      <c r="E306" s="11">
        <v>1.8E-3</v>
      </c>
      <c r="F306" s="11">
        <v>0.27039999999999997</v>
      </c>
      <c r="G306" s="12">
        <v>2.7346831448856166E-2</v>
      </c>
      <c r="H306" s="12">
        <v>-6.7709702866158294E-2</v>
      </c>
      <c r="I306" s="12">
        <v>-0.12069418879831711</v>
      </c>
      <c r="J306" s="12">
        <v>4.9224296607941098E-5</v>
      </c>
      <c r="K306" s="12">
        <v>-1.2187746515908493E-4</v>
      </c>
      <c r="L306" s="12">
        <v>-2.1724953983697081E-4</v>
      </c>
      <c r="M306" s="12">
        <v>7.3945832237707065E-3</v>
      </c>
      <c r="N306" s="12">
        <v>-1.8308703655009202E-2</v>
      </c>
      <c r="O306" s="12">
        <v>-3.2635708651064944E-2</v>
      </c>
      <c r="P306">
        <f t="shared" si="12"/>
        <v>5.5351626368017439E-3</v>
      </c>
      <c r="Q306">
        <f t="shared" si="13"/>
        <v>-1.3704849797850471E-2</v>
      </c>
      <c r="R306">
        <f t="shared" si="14"/>
        <v>-2.4429227406653851E-2</v>
      </c>
    </row>
    <row r="307" spans="1:18" ht="13">
      <c r="A307" s="8" t="s">
        <v>79</v>
      </c>
      <c r="B307" s="9">
        <v>2017</v>
      </c>
      <c r="C307" s="4">
        <v>-4.8803019910082037</v>
      </c>
      <c r="D307" s="10">
        <v>0.10908527640342965</v>
      </c>
      <c r="E307" s="11">
        <v>0.15569999999999998</v>
      </c>
      <c r="F307" s="11">
        <v>2.9849999999999998E-3</v>
      </c>
      <c r="G307" s="12">
        <v>0.24706375456723978</v>
      </c>
      <c r="H307" s="12">
        <v>-5.4907106215090797E-2</v>
      </c>
      <c r="I307" s="12">
        <v>-0.19553708917621115</v>
      </c>
      <c r="J307" s="12">
        <v>3.8467826586119226E-2</v>
      </c>
      <c r="K307" s="12">
        <v>-8.5490364376896357E-3</v>
      </c>
      <c r="L307" s="12">
        <v>-3.0445124784736072E-2</v>
      </c>
      <c r="M307" s="12">
        <v>7.3748530738321065E-4</v>
      </c>
      <c r="N307" s="12">
        <v>-1.6389771205204602E-4</v>
      </c>
      <c r="O307" s="12">
        <v>-5.8367821119099028E-4</v>
      </c>
      <c r="P307">
        <f t="shared" si="12"/>
        <v>2.6951017956236455E-2</v>
      </c>
      <c r="Q307">
        <f t="shared" si="13"/>
        <v>-5.9895568579856496E-3</v>
      </c>
      <c r="R307">
        <f t="shared" si="14"/>
        <v>-2.1330217419909064E-2</v>
      </c>
    </row>
    <row r="308" spans="1:18" ht="13">
      <c r="A308" s="8" t="s">
        <v>79</v>
      </c>
      <c r="B308" s="9">
        <v>2018</v>
      </c>
      <c r="C308" s="4">
        <v>-4.9396421619369848</v>
      </c>
      <c r="D308" s="10">
        <v>8.7171714576857545E-2</v>
      </c>
      <c r="E308" s="11">
        <v>0.14929999999999999</v>
      </c>
      <c r="F308" s="11">
        <v>2.9849999999999998E-3</v>
      </c>
      <c r="G308" s="12">
        <v>0.23803529683767055</v>
      </c>
      <c r="H308" s="12">
        <v>-4.0503164042095894E-3</v>
      </c>
      <c r="I308" s="12">
        <v>-0.17518260675966127</v>
      </c>
      <c r="J308" s="12">
        <v>3.5538669817864209E-2</v>
      </c>
      <c r="K308" s="12">
        <v>-6.0471223914849168E-4</v>
      </c>
      <c r="L308" s="12">
        <v>-2.6154763189217424E-2</v>
      </c>
      <c r="M308" s="12">
        <v>7.105353610604465E-4</v>
      </c>
      <c r="N308" s="12">
        <v>-1.2090194466565624E-5</v>
      </c>
      <c r="O308" s="12">
        <v>-5.2292008117758881E-4</v>
      </c>
      <c r="P308">
        <f t="shared" si="12"/>
        <v>2.0749944955150978E-2</v>
      </c>
      <c r="Q308">
        <f t="shared" si="13"/>
        <v>-3.530730255337223E-4</v>
      </c>
      <c r="R308">
        <f t="shared" si="14"/>
        <v>-1.5270968195283067E-2</v>
      </c>
    </row>
    <row r="309" spans="1:18" ht="13">
      <c r="A309" s="8" t="s">
        <v>79</v>
      </c>
      <c r="B309" s="9">
        <v>2019</v>
      </c>
      <c r="C309" s="4">
        <v>-4.7242931255894334</v>
      </c>
      <c r="D309" s="10">
        <v>8.4059376515305567E-2</v>
      </c>
      <c r="E309" s="11">
        <v>0.1353</v>
      </c>
      <c r="F309" s="11">
        <v>2.9849999999999998E-3</v>
      </c>
      <c r="G309" s="12">
        <v>0.21013279942437943</v>
      </c>
      <c r="H309" s="12">
        <v>-0.16618698284087535</v>
      </c>
      <c r="I309" s="12">
        <v>-9.3092552908604603E-2</v>
      </c>
      <c r="J309" s="12">
        <v>2.8430967762118536E-2</v>
      </c>
      <c r="K309" s="12">
        <v>-2.2485098778370436E-2</v>
      </c>
      <c r="L309" s="12">
        <v>-1.2595422408534203E-2</v>
      </c>
      <c r="M309" s="12">
        <v>6.2724640628177258E-4</v>
      </c>
      <c r="N309" s="12">
        <v>-4.9606814378001286E-4</v>
      </c>
      <c r="O309" s="12">
        <v>-2.7788127043218473E-4</v>
      </c>
      <c r="P309">
        <f t="shared" si="12"/>
        <v>1.7663632105029095E-2</v>
      </c>
      <c r="Q309">
        <f t="shared" si="13"/>
        <v>-1.3969574162563766E-2</v>
      </c>
      <c r="R309">
        <f t="shared" si="14"/>
        <v>-7.825301955715399E-3</v>
      </c>
    </row>
    <row r="310" spans="1:18" ht="13">
      <c r="A310" s="8" t="s">
        <v>79</v>
      </c>
      <c r="B310" s="9">
        <v>2020</v>
      </c>
      <c r="C310" s="4">
        <v>-4.6422978288877461</v>
      </c>
      <c r="D310" s="10">
        <v>8.0801931052265907E-2</v>
      </c>
      <c r="E310" s="11">
        <v>0.11890000000000001</v>
      </c>
      <c r="F310" s="11">
        <v>2.2099999999999997E-3</v>
      </c>
      <c r="G310" s="12">
        <v>0.12847657453102504</v>
      </c>
      <c r="H310" s="12">
        <v>-6.4084290144900538E-2</v>
      </c>
      <c r="I310" s="12">
        <v>-7.2213905581858417E-2</v>
      </c>
      <c r="J310" s="12">
        <v>1.5275864711738878E-2</v>
      </c>
      <c r="K310" s="12">
        <v>-7.6196220982286747E-3</v>
      </c>
      <c r="L310" s="12">
        <v>-8.5862333736829669E-3</v>
      </c>
      <c r="M310" s="12">
        <v>2.8393322971356533E-4</v>
      </c>
      <c r="N310" s="12">
        <v>-1.4162628122023018E-4</v>
      </c>
      <c r="O310" s="12">
        <v>-1.5959273133590708E-4</v>
      </c>
      <c r="P310">
        <f t="shared" si="12"/>
        <v>1.0381155317087188E-2</v>
      </c>
      <c r="Q310">
        <f t="shared" si="13"/>
        <v>-5.1781343938216567E-3</v>
      </c>
      <c r="R310">
        <f t="shared" si="14"/>
        <v>-5.8350230198401642E-3</v>
      </c>
    </row>
    <row r="311" spans="1:18" ht="13">
      <c r="A311" s="8" t="s">
        <v>79</v>
      </c>
      <c r="B311" s="9">
        <v>2021</v>
      </c>
      <c r="C311" s="4">
        <v>-4.6880781642680853</v>
      </c>
      <c r="D311" s="10">
        <v>8.4327626568137706E-2</v>
      </c>
      <c r="E311" s="11">
        <v>0.12330000000000001</v>
      </c>
      <c r="F311" s="11">
        <v>2.31E-3</v>
      </c>
      <c r="G311" s="12">
        <v>0.15646362854227383</v>
      </c>
      <c r="H311" s="12">
        <v>-4.0563162352690092E-2</v>
      </c>
      <c r="I311" s="12">
        <v>-0.10611648737153109</v>
      </c>
      <c r="J311" s="12">
        <v>1.9291965399262364E-2</v>
      </c>
      <c r="K311" s="12">
        <v>-5.0014379180866883E-3</v>
      </c>
      <c r="L311" s="12">
        <v>-1.3084162892909784E-2</v>
      </c>
      <c r="M311" s="12">
        <v>3.6143098193265253E-4</v>
      </c>
      <c r="N311" s="12">
        <v>-9.370090503471411E-5</v>
      </c>
      <c r="O311" s="12">
        <v>-2.4512908582823684E-4</v>
      </c>
      <c r="P311">
        <f t="shared" si="12"/>
        <v>1.319420643920868E-2</v>
      </c>
      <c r="Q311">
        <f t="shared" si="13"/>
        <v>-3.4205952073003924E-3</v>
      </c>
      <c r="R311">
        <f t="shared" si="14"/>
        <v>-8.9485515197889748E-3</v>
      </c>
    </row>
    <row r="312" spans="1:18" ht="13">
      <c r="A312" s="8" t="s">
        <v>80</v>
      </c>
      <c r="B312" s="9">
        <v>2017</v>
      </c>
      <c r="C312" s="4">
        <v>-1.6697044172835469</v>
      </c>
      <c r="D312" s="10">
        <v>0.54660379564319406</v>
      </c>
      <c r="E312" s="11">
        <v>0.3725</v>
      </c>
      <c r="F312" s="11">
        <v>0.1143</v>
      </c>
      <c r="G312" s="12">
        <v>-0.10269572503020147</v>
      </c>
      <c r="H312" s="12">
        <v>-0.10198355481080239</v>
      </c>
      <c r="I312" s="12">
        <v>0.19193815517711704</v>
      </c>
      <c r="J312" s="12">
        <v>-3.8254157573750044E-2</v>
      </c>
      <c r="K312" s="12">
        <v>-3.7988874167023887E-2</v>
      </c>
      <c r="L312" s="12">
        <v>7.1496962803476102E-2</v>
      </c>
      <c r="M312" s="12">
        <v>-1.1738121370952028E-2</v>
      </c>
      <c r="N312" s="12">
        <v>-1.1656720314874712E-2</v>
      </c>
      <c r="O312" s="12">
        <v>2.1938531136744478E-2</v>
      </c>
      <c r="P312">
        <f t="shared" si="12"/>
        <v>-5.6133873097837891E-2</v>
      </c>
      <c r="Q312">
        <f t="shared" si="13"/>
        <v>-5.574459815277031E-2</v>
      </c>
      <c r="R312">
        <f t="shared" si="14"/>
        <v>0.10491412414856455</v>
      </c>
    </row>
    <row r="313" spans="1:18" ht="13">
      <c r="A313" s="8" t="s">
        <v>80</v>
      </c>
      <c r="B313" s="9">
        <v>2018</v>
      </c>
      <c r="C313" s="4">
        <v>-1.7477216269353673</v>
      </c>
      <c r="D313" s="10">
        <v>0.54845793960248268</v>
      </c>
      <c r="E313" s="11">
        <v>0.48209999999999997</v>
      </c>
      <c r="F313" s="11">
        <v>0.12690000000000001</v>
      </c>
      <c r="G313" s="12">
        <v>-6.7868721824555986E-2</v>
      </c>
      <c r="H313" s="12">
        <v>-8.7408066744799768E-6</v>
      </c>
      <c r="I313" s="12">
        <v>2.9355270815684797E-2</v>
      </c>
      <c r="J313" s="12">
        <v>-3.2719510791618438E-2</v>
      </c>
      <c r="K313" s="12">
        <v>-4.2139428977667966E-6</v>
      </c>
      <c r="L313" s="12">
        <v>1.415217606024164E-2</v>
      </c>
      <c r="M313" s="12">
        <v>-8.6125407995361562E-3</v>
      </c>
      <c r="N313" s="12">
        <v>-1.1092083669915092E-6</v>
      </c>
      <c r="O313" s="12">
        <v>3.7251838665104012E-3</v>
      </c>
      <c r="P313">
        <f t="shared" si="12"/>
        <v>-3.7223139335350028E-2</v>
      </c>
      <c r="Q313">
        <f t="shared" si="13"/>
        <v>-4.7939648191489166E-6</v>
      </c>
      <c r="R313">
        <f t="shared" si="14"/>
        <v>1.6100131348043376E-2</v>
      </c>
    </row>
    <row r="314" spans="1:18" ht="13">
      <c r="A314" s="8" t="s">
        <v>80</v>
      </c>
      <c r="B314" s="9">
        <v>2019</v>
      </c>
      <c r="C314" s="4">
        <v>-1.682065840396197</v>
      </c>
      <c r="D314" s="10">
        <v>0.53583608477041855</v>
      </c>
      <c r="E314" s="11">
        <v>0.47</v>
      </c>
      <c r="F314" s="11">
        <v>0.15090000000000001</v>
      </c>
      <c r="G314" s="12">
        <v>-8.2783045916303991E-2</v>
      </c>
      <c r="H314" s="12">
        <v>-7.1071078623697978E-2</v>
      </c>
      <c r="I314" s="12">
        <v>0.13548035966866057</v>
      </c>
      <c r="J314" s="12">
        <v>-3.8908031580662875E-2</v>
      </c>
      <c r="K314" s="12">
        <v>-3.3403406953138051E-2</v>
      </c>
      <c r="L314" s="12">
        <v>6.3675769044270469E-2</v>
      </c>
      <c r="M314" s="12">
        <v>-1.2491961628770273E-2</v>
      </c>
      <c r="N314" s="12">
        <v>-1.0724625764316025E-2</v>
      </c>
      <c r="O314" s="12">
        <v>2.0443986274000882E-2</v>
      </c>
      <c r="P314">
        <f t="shared" si="12"/>
        <v>-4.4358143209162114E-2</v>
      </c>
      <c r="Q314">
        <f t="shared" si="13"/>
        <v>-3.8082448510132913E-2</v>
      </c>
      <c r="R314">
        <f t="shared" si="14"/>
        <v>7.2595265488143199E-2</v>
      </c>
    </row>
    <row r="315" spans="1:18" ht="13">
      <c r="A315" s="8" t="s">
        <v>80</v>
      </c>
      <c r="B315" s="9">
        <v>2020</v>
      </c>
      <c r="C315" s="4">
        <v>-0.79522975918549399</v>
      </c>
      <c r="D315" s="10">
        <v>0.61031820012757687</v>
      </c>
      <c r="E315" s="11">
        <v>0.35220000000000001</v>
      </c>
      <c r="F315" s="11">
        <v>0.12945999999999999</v>
      </c>
      <c r="G315" s="12">
        <v>-3.3469847195131318E-2</v>
      </c>
      <c r="H315" s="12">
        <v>-1.4331596131168271E-2</v>
      </c>
      <c r="I315" s="12">
        <v>9.0112875958274538E-2</v>
      </c>
      <c r="J315" s="12">
        <v>-1.178808018212525E-2</v>
      </c>
      <c r="K315" s="12">
        <v>-5.0475881573974653E-3</v>
      </c>
      <c r="L315" s="12">
        <v>3.1737754912504294E-2</v>
      </c>
      <c r="M315" s="12">
        <v>-4.3330064178817001E-3</v>
      </c>
      <c r="N315" s="12">
        <v>-1.8553684351410443E-3</v>
      </c>
      <c r="O315" s="12">
        <v>1.166601292155822E-2</v>
      </c>
      <c r="P315">
        <f t="shared" si="12"/>
        <v>-2.0427256898677575E-2</v>
      </c>
      <c r="Q315">
        <f t="shared" si="13"/>
        <v>-8.7468339557299629E-3</v>
      </c>
      <c r="R315">
        <f t="shared" si="14"/>
        <v>5.4997528263173709E-2</v>
      </c>
    </row>
    <row r="316" spans="1:18" ht="13">
      <c r="A316" s="8" t="s">
        <v>80</v>
      </c>
      <c r="B316" s="9">
        <v>2021</v>
      </c>
      <c r="C316" s="4">
        <v>-1.5612541830629458</v>
      </c>
      <c r="D316" s="10">
        <v>0.52638771206686752</v>
      </c>
      <c r="E316" s="11">
        <v>0.26300000000000001</v>
      </c>
      <c r="F316" s="11">
        <v>0.16029999999999997</v>
      </c>
      <c r="G316" s="12">
        <v>4.3355185060129413E-2</v>
      </c>
      <c r="H316" s="12">
        <v>3.5039212063682176E-4</v>
      </c>
      <c r="I316" s="12">
        <v>-9.7975299833015141E-3</v>
      </c>
      <c r="J316" s="12">
        <v>1.1402413670814036E-2</v>
      </c>
      <c r="K316" s="12">
        <v>9.2153127727484131E-5</v>
      </c>
      <c r="L316" s="12">
        <v>-2.5767503856082984E-3</v>
      </c>
      <c r="M316" s="12">
        <v>6.9498361651387439E-3</v>
      </c>
      <c r="N316" s="12">
        <v>5.6167856938082519E-5</v>
      </c>
      <c r="O316" s="12">
        <v>-1.5705440563232324E-3</v>
      </c>
      <c r="P316">
        <f t="shared" si="12"/>
        <v>2.2821636670037157E-2</v>
      </c>
      <c r="Q316">
        <f t="shared" si="13"/>
        <v>1.8444210670827443E-4</v>
      </c>
      <c r="R316">
        <f t="shared" si="14"/>
        <v>-5.1572993918166188E-3</v>
      </c>
    </row>
    <row r="317" spans="1:18" ht="13">
      <c r="A317" s="8" t="s">
        <v>81</v>
      </c>
      <c r="B317" s="9">
        <v>2017</v>
      </c>
      <c r="C317" s="4">
        <v>-3.0071940612180392</v>
      </c>
      <c r="D317" s="10">
        <v>0.2574113367687178</v>
      </c>
      <c r="E317" s="11">
        <v>4.3559999999999996E-3</v>
      </c>
      <c r="F317" s="11">
        <v>0.60849999999999993</v>
      </c>
      <c r="G317" s="12">
        <v>-8.3176720218247957E-2</v>
      </c>
      <c r="H317" s="12">
        <v>9.214913610184906E-3</v>
      </c>
      <c r="I317" s="12">
        <v>0</v>
      </c>
      <c r="J317" s="12">
        <v>-3.6231779327068809E-4</v>
      </c>
      <c r="K317" s="12">
        <v>4.0140163685965449E-5</v>
      </c>
      <c r="L317" s="12">
        <v>0</v>
      </c>
      <c r="M317" s="12">
        <v>-5.0613034252803876E-2</v>
      </c>
      <c r="N317" s="12">
        <v>5.6072749317975148E-3</v>
      </c>
      <c r="O317" s="12">
        <v>0</v>
      </c>
      <c r="P317">
        <f t="shared" si="12"/>
        <v>-2.1410630739416844E-2</v>
      </c>
      <c r="Q317">
        <f t="shared" si="13"/>
        <v>2.372023230605948E-3</v>
      </c>
      <c r="R317">
        <f t="shared" si="14"/>
        <v>0</v>
      </c>
    </row>
    <row r="318" spans="1:18" ht="13">
      <c r="A318" s="8" t="s">
        <v>81</v>
      </c>
      <c r="B318" s="9">
        <v>2018</v>
      </c>
      <c r="C318" s="4">
        <v>-2.7733219438952985</v>
      </c>
      <c r="D318" s="10">
        <v>0.27085408366533864</v>
      </c>
      <c r="E318" s="11">
        <v>3.728E-3</v>
      </c>
      <c r="F318" s="11">
        <v>0.52639999999999998</v>
      </c>
      <c r="G318" s="12">
        <v>-6.2437749003984064E-2</v>
      </c>
      <c r="H318" s="12">
        <v>-0.12437749003984065</v>
      </c>
      <c r="I318" s="12">
        <v>0</v>
      </c>
      <c r="J318" s="12">
        <v>-2.3276792828685259E-4</v>
      </c>
      <c r="K318" s="12">
        <v>-4.6367928286852596E-4</v>
      </c>
      <c r="L318" s="12">
        <v>0</v>
      </c>
      <c r="M318" s="12">
        <v>-3.2867231075697209E-2</v>
      </c>
      <c r="N318" s="12">
        <v>-6.5472310756972116E-2</v>
      </c>
      <c r="O318" s="12">
        <v>0</v>
      </c>
      <c r="P318">
        <f t="shared" si="12"/>
        <v>-1.6911519292600513E-2</v>
      </c>
      <c r="Q318">
        <f t="shared" si="13"/>
        <v>-3.3688151093335825E-2</v>
      </c>
      <c r="R318">
        <f t="shared" si="14"/>
        <v>0</v>
      </c>
    </row>
    <row r="319" spans="1:18" ht="13">
      <c r="A319" s="8" t="s">
        <v>81</v>
      </c>
      <c r="B319" s="9">
        <v>2019</v>
      </c>
      <c r="C319" s="4">
        <v>-2.929547487268791</v>
      </c>
      <c r="D319" s="10">
        <v>0.20423905990916297</v>
      </c>
      <c r="E319" s="11">
        <v>3.718E-3</v>
      </c>
      <c r="F319" s="11">
        <v>0.65799999999999992</v>
      </c>
      <c r="G319" s="12">
        <v>4.5851056160334511E-2</v>
      </c>
      <c r="H319" s="12">
        <v>-2.458366375892149E-2</v>
      </c>
      <c r="I319" s="12">
        <v>-2.1411578112609041E-2</v>
      </c>
      <c r="J319" s="12">
        <v>1.7047422680412371E-4</v>
      </c>
      <c r="K319" s="12">
        <v>-9.1402061855670098E-5</v>
      </c>
      <c r="L319" s="12">
        <v>-7.9608247422680408E-5</v>
      </c>
      <c r="M319" s="12">
        <v>3.0169994953500104E-2</v>
      </c>
      <c r="N319" s="12">
        <v>-1.6176050753370339E-2</v>
      </c>
      <c r="O319" s="12">
        <v>-1.4088818398096748E-2</v>
      </c>
      <c r="P319">
        <f t="shared" si="12"/>
        <v>9.3645766060289556E-3</v>
      </c>
      <c r="Q319">
        <f t="shared" si="13"/>
        <v>-5.0209443752450844E-3</v>
      </c>
      <c r="R319">
        <f t="shared" si="14"/>
        <v>-4.3730805848908802E-3</v>
      </c>
    </row>
    <row r="320" spans="1:18" ht="13">
      <c r="A320" s="8" t="s">
        <v>81</v>
      </c>
      <c r="B320" s="9">
        <v>2020</v>
      </c>
      <c r="C320" s="4">
        <v>-3.3844101911923188</v>
      </c>
      <c r="D320" s="10">
        <v>0.16512579569566535</v>
      </c>
      <c r="E320" s="11">
        <v>6.1000000000000004E-3</v>
      </c>
      <c r="F320" s="11">
        <v>0.65799999999999992</v>
      </c>
      <c r="G320" s="12">
        <v>-7.3582903910275846E-2</v>
      </c>
      <c r="H320" s="12">
        <v>5.0469839345256139E-2</v>
      </c>
      <c r="I320" s="12">
        <v>0</v>
      </c>
      <c r="J320" s="12">
        <v>-4.4885571385268271E-4</v>
      </c>
      <c r="K320" s="12">
        <v>3.0786602000606246E-4</v>
      </c>
      <c r="L320" s="12">
        <v>0</v>
      </c>
      <c r="M320" s="12">
        <v>-4.8417550772961504E-2</v>
      </c>
      <c r="N320" s="12">
        <v>3.3209154289178533E-2</v>
      </c>
      <c r="O320" s="12">
        <v>0</v>
      </c>
      <c r="P320">
        <f t="shared" si="12"/>
        <v>-1.2150435557781985E-2</v>
      </c>
      <c r="Q320">
        <f t="shared" si="13"/>
        <v>8.3338723805178178E-3</v>
      </c>
      <c r="R320">
        <f t="shared" si="14"/>
        <v>0</v>
      </c>
    </row>
    <row r="321" spans="1:18" ht="13">
      <c r="A321" s="8" t="s">
        <v>81</v>
      </c>
      <c r="B321" s="9">
        <v>2021</v>
      </c>
      <c r="C321" s="4">
        <v>-3.5033980431365066</v>
      </c>
      <c r="D321" s="10">
        <v>0.14651844989964491</v>
      </c>
      <c r="E321" s="11">
        <v>6.1000000000000004E-3</v>
      </c>
      <c r="F321" s="11">
        <v>0.65799999999999992</v>
      </c>
      <c r="G321" s="12">
        <v>-5.5658483865987346E-2</v>
      </c>
      <c r="H321" s="12">
        <v>7.6192681797128292E-2</v>
      </c>
      <c r="I321" s="12">
        <v>0</v>
      </c>
      <c r="J321" s="12">
        <v>-3.3951675158252283E-4</v>
      </c>
      <c r="K321" s="12">
        <v>4.6477535896248263E-4</v>
      </c>
      <c r="L321" s="12">
        <v>0</v>
      </c>
      <c r="M321" s="12">
        <v>-3.6623282383819671E-2</v>
      </c>
      <c r="N321" s="12">
        <v>5.0134784622510413E-2</v>
      </c>
      <c r="O321" s="12">
        <v>0</v>
      </c>
      <c r="P321">
        <f t="shared" si="12"/>
        <v>-8.1549947798088621E-3</v>
      </c>
      <c r="Q321">
        <f t="shared" si="13"/>
        <v>1.1163633630612128E-2</v>
      </c>
      <c r="R321">
        <f t="shared" si="14"/>
        <v>0</v>
      </c>
    </row>
    <row r="322" spans="1:18" ht="13">
      <c r="A322" s="8" t="s">
        <v>82</v>
      </c>
      <c r="B322" s="9">
        <v>2017</v>
      </c>
      <c r="C322" s="4">
        <v>-3.0876391122785223</v>
      </c>
      <c r="D322" s="10">
        <v>0.24896611115842865</v>
      </c>
      <c r="E322" s="11">
        <v>0.22</v>
      </c>
      <c r="F322" s="11">
        <v>0.22080000000000002</v>
      </c>
      <c r="G322" s="12">
        <v>9.1303977514692103E-2</v>
      </c>
      <c r="H322" s="12">
        <v>-5.0156621147167089E-3</v>
      </c>
      <c r="I322" s="12">
        <v>-3.8213667206086932E-2</v>
      </c>
      <c r="J322" s="12">
        <v>2.0086875053232263E-2</v>
      </c>
      <c r="K322" s="12">
        <v>-1.1034456652376759E-3</v>
      </c>
      <c r="L322" s="12">
        <v>-8.4070067853391252E-3</v>
      </c>
      <c r="M322" s="12">
        <v>2.0159918235244018E-2</v>
      </c>
      <c r="N322" s="12">
        <v>-1.1074581949294495E-3</v>
      </c>
      <c r="O322" s="12">
        <v>-8.437577719103995E-3</v>
      </c>
      <c r="P322">
        <f t="shared" si="12"/>
        <v>2.2731596215129504E-2</v>
      </c>
      <c r="Q322">
        <f t="shared" si="13"/>
        <v>-1.2487298915856795E-3</v>
      </c>
      <c r="R322">
        <f t="shared" si="14"/>
        <v>-9.513908117401838E-3</v>
      </c>
    </row>
    <row r="323" spans="1:18" ht="13">
      <c r="A323" s="8" t="s">
        <v>82</v>
      </c>
      <c r="B323" s="9">
        <v>2018</v>
      </c>
      <c r="C323" s="4">
        <v>-2.9294126543562617</v>
      </c>
      <c r="D323" s="10">
        <v>0.24965450655964258</v>
      </c>
      <c r="E323" s="11">
        <v>0.22570000000000001</v>
      </c>
      <c r="F323" s="11">
        <v>0.27950000000000003</v>
      </c>
      <c r="G323" s="12">
        <v>-2.0862124453363117E-2</v>
      </c>
      <c r="H323" s="12">
        <v>-2.4184540825019404E-2</v>
      </c>
      <c r="I323" s="12">
        <v>-3.6915737462847625E-4</v>
      </c>
      <c r="J323" s="12">
        <v>-4.7085814891240554E-3</v>
      </c>
      <c r="K323" s="12">
        <v>-5.4584508642068798E-3</v>
      </c>
      <c r="L323" s="12">
        <v>-8.3318819453647087E-5</v>
      </c>
      <c r="M323" s="12">
        <v>-5.8309637847149915E-3</v>
      </c>
      <c r="N323" s="12">
        <v>-6.7595791605929243E-3</v>
      </c>
      <c r="O323" s="12">
        <v>-1.0317948620865912E-4</v>
      </c>
      <c r="P323">
        <f t="shared" ref="P323:P386" si="15">G323*D323</f>
        <v>-5.2083233861902221E-3</v>
      </c>
      <c r="Q323">
        <f t="shared" ref="Q323:Q386" si="16">H323*D323</f>
        <v>-6.0377796060417507E-3</v>
      </c>
      <c r="R323">
        <f t="shared" ref="R323:R386" si="17">I323*D323</f>
        <v>-9.2161802205725351E-5</v>
      </c>
    </row>
    <row r="324" spans="1:18" ht="13">
      <c r="A324" s="8" t="s">
        <v>82</v>
      </c>
      <c r="B324" s="9">
        <v>2019</v>
      </c>
      <c r="C324" s="4">
        <v>-2.0271679279135126</v>
      </c>
      <c r="D324" s="10">
        <v>0.4172822210901681</v>
      </c>
      <c r="E324" s="11">
        <v>0.20119999999999999</v>
      </c>
      <c r="F324" s="11">
        <v>0.27850000000000003</v>
      </c>
      <c r="G324" s="12">
        <v>3.7704477274013701E-2</v>
      </c>
      <c r="H324" s="12">
        <v>-3.8553517858153627E-2</v>
      </c>
      <c r="I324" s="12">
        <v>-4.331522046753835E-2</v>
      </c>
      <c r="J324" s="12">
        <v>7.5861408275315562E-3</v>
      </c>
      <c r="K324" s="12">
        <v>-7.7569677930605097E-3</v>
      </c>
      <c r="L324" s="12">
        <v>-8.7150223580687164E-3</v>
      </c>
      <c r="M324" s="12">
        <v>1.0500696920812817E-2</v>
      </c>
      <c r="N324" s="12">
        <v>-1.0737154723495786E-2</v>
      </c>
      <c r="O324" s="12">
        <v>-1.2063288900209431E-2</v>
      </c>
      <c r="P324">
        <f t="shared" si="15"/>
        <v>1.5733408021944204E-2</v>
      </c>
      <c r="Q324">
        <f t="shared" si="16"/>
        <v>-1.6087697562689806E-2</v>
      </c>
      <c r="R324">
        <f t="shared" si="17"/>
        <v>-1.8074671403704713E-2</v>
      </c>
    </row>
    <row r="325" spans="1:18" ht="13">
      <c r="A325" s="8" t="s">
        <v>82</v>
      </c>
      <c r="B325" s="9">
        <v>2020</v>
      </c>
      <c r="C325" s="4">
        <v>-1.9477867830359645</v>
      </c>
      <c r="D325" s="10">
        <v>0.43044134137875795</v>
      </c>
      <c r="E325" s="11">
        <v>0.18</v>
      </c>
      <c r="F325" s="11">
        <v>0.27850000000000003</v>
      </c>
      <c r="G325" s="12">
        <v>0.17667672344742882</v>
      </c>
      <c r="H325" s="12">
        <v>-1.8088855662946547E-3</v>
      </c>
      <c r="I325" s="12">
        <v>-1.3349708976344314E-5</v>
      </c>
      <c r="J325" s="12">
        <v>3.1801810220537186E-2</v>
      </c>
      <c r="K325" s="12">
        <v>-3.2559940193303783E-4</v>
      </c>
      <c r="L325" s="12">
        <v>-2.4029476157419767E-6</v>
      </c>
      <c r="M325" s="12">
        <v>4.9204467480108934E-2</v>
      </c>
      <c r="N325" s="12">
        <v>-5.0377463021306133E-4</v>
      </c>
      <c r="O325" s="12">
        <v>-3.7178939499118919E-6</v>
      </c>
      <c r="P325">
        <f t="shared" si="15"/>
        <v>7.6048965831115117E-2</v>
      </c>
      <c r="Q325">
        <f t="shared" si="16"/>
        <v>-7.7861912955654532E-4</v>
      </c>
      <c r="R325">
        <f t="shared" si="17"/>
        <v>-5.7462666387936926E-6</v>
      </c>
    </row>
    <row r="326" spans="1:18" ht="13">
      <c r="A326" s="8" t="s">
        <v>82</v>
      </c>
      <c r="B326" s="9">
        <v>2021</v>
      </c>
      <c r="C326" s="4">
        <v>-3.1325230417214729</v>
      </c>
      <c r="D326" s="10">
        <v>0.24179930675001965</v>
      </c>
      <c r="E326" s="11">
        <v>0.04</v>
      </c>
      <c r="F326" s="11">
        <v>0.28890000000000005</v>
      </c>
      <c r="G326" s="12">
        <v>-8.502353033623497E-2</v>
      </c>
      <c r="H326" s="12">
        <v>1.3367326447399441E-2</v>
      </c>
      <c r="I326" s="12">
        <v>-5.8908786114045736E-2</v>
      </c>
      <c r="J326" s="12">
        <v>-3.400941213449399E-3</v>
      </c>
      <c r="K326" s="12">
        <v>5.3469305789597766E-4</v>
      </c>
      <c r="L326" s="12">
        <v>-2.3563514445618296E-3</v>
      </c>
      <c r="M326" s="12">
        <v>-2.4563297914138287E-2</v>
      </c>
      <c r="N326" s="12">
        <v>3.8618206106536992E-3</v>
      </c>
      <c r="O326" s="12">
        <v>-1.7018748308347816E-2</v>
      </c>
      <c r="P326">
        <f t="shared" si="15"/>
        <v>-2.055863069274088E-2</v>
      </c>
      <c r="Q326">
        <f t="shared" si="16"/>
        <v>3.232210268082388E-3</v>
      </c>
      <c r="R326">
        <f t="shared" si="17"/>
        <v>-1.4244103643861443E-2</v>
      </c>
    </row>
    <row r="327" spans="1:18" ht="13">
      <c r="A327" s="8" t="s">
        <v>83</v>
      </c>
      <c r="B327" s="9">
        <v>2017</v>
      </c>
      <c r="C327" s="4">
        <v>-1.2166346687895593</v>
      </c>
      <c r="D327" s="10">
        <v>0.54561166215810031</v>
      </c>
      <c r="E327" s="11">
        <v>0</v>
      </c>
      <c r="F327" s="11">
        <v>0.25279999999999997</v>
      </c>
      <c r="G327" s="12">
        <v>4.8842801322512776E-4</v>
      </c>
      <c r="H327" s="12">
        <v>-5.1322512774271113E-2</v>
      </c>
      <c r="I327" s="12">
        <v>-3.3400961827472195E-2</v>
      </c>
      <c r="J327" s="12">
        <v>0</v>
      </c>
      <c r="K327" s="12">
        <v>0</v>
      </c>
      <c r="L327" s="12">
        <v>0</v>
      </c>
      <c r="M327" s="12">
        <v>1.2347460174331229E-4</v>
      </c>
      <c r="N327" s="12">
        <v>-1.2974331229335737E-2</v>
      </c>
      <c r="O327" s="12">
        <v>-8.4437631499849706E-3</v>
      </c>
      <c r="P327">
        <f t="shared" si="15"/>
        <v>2.6649202014034058E-4</v>
      </c>
      <c r="Q327">
        <f t="shared" si="16"/>
        <v>-2.8002161500900399E-2</v>
      </c>
      <c r="R327">
        <f t="shared" si="17"/>
        <v>-1.8223954300366364E-2</v>
      </c>
    </row>
    <row r="328" spans="1:18" ht="13">
      <c r="A328" s="8" t="s">
        <v>83</v>
      </c>
      <c r="B328" s="9">
        <v>2018</v>
      </c>
      <c r="C328" s="4">
        <v>-0.98925250285222699</v>
      </c>
      <c r="D328" s="10">
        <v>0.58350480109739367</v>
      </c>
      <c r="E328" s="11">
        <v>0</v>
      </c>
      <c r="F328" s="11">
        <v>0.25279999999999997</v>
      </c>
      <c r="G328" s="12">
        <v>0.14787379972565157</v>
      </c>
      <c r="H328" s="12">
        <v>-1.8141289437585733E-2</v>
      </c>
      <c r="I328" s="12">
        <v>-0.11975308641975309</v>
      </c>
      <c r="J328" s="12">
        <v>0</v>
      </c>
      <c r="K328" s="12">
        <v>0</v>
      </c>
      <c r="L328" s="12">
        <v>0</v>
      </c>
      <c r="M328" s="12">
        <v>3.7382496570644713E-2</v>
      </c>
      <c r="N328" s="12">
        <v>-4.5861179698216724E-3</v>
      </c>
      <c r="O328" s="12">
        <v>-3.0273580246913578E-2</v>
      </c>
      <c r="P328">
        <f t="shared" si="15"/>
        <v>8.6285072096432144E-2</v>
      </c>
      <c r="Q328">
        <f t="shared" si="16"/>
        <v>-1.0585529484928712E-2</v>
      </c>
      <c r="R328">
        <f t="shared" si="17"/>
        <v>-6.9876500872157021E-2</v>
      </c>
    </row>
    <row r="329" spans="1:18" ht="13">
      <c r="A329" s="8" t="s">
        <v>83</v>
      </c>
      <c r="B329" s="9">
        <v>2019</v>
      </c>
      <c r="C329" s="4">
        <v>-1.2974869493957126</v>
      </c>
      <c r="D329" s="10">
        <v>0.5305800572463345</v>
      </c>
      <c r="E329" s="11">
        <v>0</v>
      </c>
      <c r="F329" s="11">
        <v>0.25279999999999997</v>
      </c>
      <c r="G329" s="12">
        <v>-0.10511712132718033</v>
      </c>
      <c r="H329" s="12">
        <v>-0.10304340206787781</v>
      </c>
      <c r="I329" s="12">
        <v>0.217974180734856</v>
      </c>
      <c r="J329" s="12">
        <v>0</v>
      </c>
      <c r="K329" s="12">
        <v>0</v>
      </c>
      <c r="L329" s="12">
        <v>0</v>
      </c>
      <c r="M329" s="12">
        <v>-2.6573608271511184E-2</v>
      </c>
      <c r="N329" s="12">
        <v>-2.6049372042759505E-2</v>
      </c>
      <c r="O329" s="12">
        <v>5.5103872889771588E-2</v>
      </c>
      <c r="P329">
        <f t="shared" si="15"/>
        <v>-5.5773048251345228E-2</v>
      </c>
      <c r="Q329">
        <f t="shared" si="16"/>
        <v>-5.4672774168031672E-2</v>
      </c>
      <c r="R329">
        <f t="shared" si="17"/>
        <v>0.11565275329252275</v>
      </c>
    </row>
    <row r="330" spans="1:18" ht="13">
      <c r="A330" s="8" t="s">
        <v>83</v>
      </c>
      <c r="B330" s="9">
        <v>2020</v>
      </c>
      <c r="C330" s="4">
        <v>-0.63178622470738521</v>
      </c>
      <c r="D330" s="10">
        <v>0.64802164946203711</v>
      </c>
      <c r="E330" s="11">
        <v>0</v>
      </c>
      <c r="F330" s="11">
        <v>0.34050000000000002</v>
      </c>
      <c r="G330" s="12">
        <v>2.5337727242967199E-2</v>
      </c>
      <c r="H330" s="12">
        <v>-7.8566596102223885E-3</v>
      </c>
      <c r="I330" s="12">
        <v>9.8426485672508234E-3</v>
      </c>
      <c r="J330" s="12">
        <v>0</v>
      </c>
      <c r="K330" s="12">
        <v>0</v>
      </c>
      <c r="L330" s="12">
        <v>0</v>
      </c>
      <c r="M330" s="12">
        <v>8.6274961262303319E-3</v>
      </c>
      <c r="N330" s="12">
        <v>-2.6751925972807234E-3</v>
      </c>
      <c r="O330" s="12">
        <v>3.3514218371489056E-3</v>
      </c>
      <c r="P330">
        <f t="shared" si="15"/>
        <v>1.6419395801606798E-2</v>
      </c>
      <c r="Q330">
        <f t="shared" si="16"/>
        <v>-5.0912855198780773E-3</v>
      </c>
      <c r="R330">
        <f t="shared" si="17"/>
        <v>6.3782493596250345E-3</v>
      </c>
    </row>
    <row r="331" spans="1:18" ht="13">
      <c r="A331" s="8" t="s">
        <v>83</v>
      </c>
      <c r="B331" s="9">
        <v>2021</v>
      </c>
      <c r="C331" s="4">
        <v>0.12295610325516042</v>
      </c>
      <c r="D331" s="10">
        <v>0.77961373101338327</v>
      </c>
      <c r="E331" s="11">
        <v>1.8E-3</v>
      </c>
      <c r="F331" s="11">
        <v>0.34050000000000002</v>
      </c>
      <c r="G331" s="12">
        <v>-0.17565400218337671</v>
      </c>
      <c r="H331" s="12">
        <v>4.6363060501098423E-3</v>
      </c>
      <c r="I331" s="12">
        <v>0.14822701726484899</v>
      </c>
      <c r="J331" s="12">
        <v>-3.1617720393007807E-4</v>
      </c>
      <c r="K331" s="12">
        <v>8.3453508901977154E-6</v>
      </c>
      <c r="L331" s="12">
        <v>2.668086310767282E-4</v>
      </c>
      <c r="M331" s="12">
        <v>-5.9810187743439776E-2</v>
      </c>
      <c r="N331" s="12">
        <v>1.5786622100624015E-3</v>
      </c>
      <c r="O331" s="12">
        <v>5.0471299378681084E-2</v>
      </c>
      <c r="P331">
        <f t="shared" si="15"/>
        <v>-0.13694227200961528</v>
      </c>
      <c r="Q331">
        <f t="shared" si="16"/>
        <v>3.6145278578460561E-3</v>
      </c>
      <c r="R331">
        <f t="shared" si="17"/>
        <v>0.11555981796683409</v>
      </c>
    </row>
    <row r="332" spans="1:18" ht="13">
      <c r="A332" s="8" t="s">
        <v>84</v>
      </c>
      <c r="B332" s="9">
        <v>2017</v>
      </c>
      <c r="C332" s="4">
        <v>-2.8957437618725033</v>
      </c>
      <c r="D332" s="10">
        <v>0.28197735908182853</v>
      </c>
      <c r="E332" s="11">
        <v>0.47799999999999998</v>
      </c>
      <c r="F332" s="11">
        <v>0.18110000000000001</v>
      </c>
      <c r="G332" s="12">
        <v>8.3050648282345568E-2</v>
      </c>
      <c r="H332" s="12">
        <v>-0.11174742449763013</v>
      </c>
      <c r="I332" s="12">
        <v>6.9285910141407808E-2</v>
      </c>
      <c r="J332" s="12">
        <v>3.969820987896118E-2</v>
      </c>
      <c r="K332" s="12">
        <v>-5.3415268909867197E-2</v>
      </c>
      <c r="L332" s="12">
        <v>3.3118665047592928E-2</v>
      </c>
      <c r="M332" s="12">
        <v>1.5040472403932784E-2</v>
      </c>
      <c r="N332" s="12">
        <v>-2.0237458576520817E-2</v>
      </c>
      <c r="O332" s="12">
        <v>1.2547678326608955E-2</v>
      </c>
      <c r="P332">
        <f t="shared" si="15"/>
        <v>2.3418402472689601E-2</v>
      </c>
      <c r="Q332">
        <f t="shared" si="16"/>
        <v>-3.1510243644037775E-2</v>
      </c>
      <c r="R332">
        <f t="shared" si="17"/>
        <v>1.9537057963255056E-2</v>
      </c>
    </row>
    <row r="333" spans="1:18" ht="13">
      <c r="A333" s="8" t="s">
        <v>84</v>
      </c>
      <c r="B333" s="9">
        <v>2018</v>
      </c>
      <c r="C333" s="4">
        <v>-2.3290250374355286</v>
      </c>
      <c r="D333" s="10">
        <v>0.38999134292099241</v>
      </c>
      <c r="E333" s="11">
        <v>0.49659999999999999</v>
      </c>
      <c r="F333" s="11">
        <v>0.1983</v>
      </c>
      <c r="G333" s="12">
        <v>5.570729677674803E-2</v>
      </c>
      <c r="H333" s="12">
        <v>-0.178698216910161</v>
      </c>
      <c r="I333" s="12">
        <v>7.577292951527069E-2</v>
      </c>
      <c r="J333" s="12">
        <v>2.7664243579333073E-2</v>
      </c>
      <c r="K333" s="12">
        <v>-8.8741534517585943E-2</v>
      </c>
      <c r="L333" s="12">
        <v>3.7628836797283426E-2</v>
      </c>
      <c r="M333" s="12">
        <v>1.1046756950829136E-2</v>
      </c>
      <c r="N333" s="12">
        <v>-3.5435856413284929E-2</v>
      </c>
      <c r="O333" s="12">
        <v>1.5025771922878179E-2</v>
      </c>
      <c r="P333">
        <f t="shared" si="15"/>
        <v>2.1725363480462237E-2</v>
      </c>
      <c r="Q333">
        <f t="shared" si="16"/>
        <v>-6.9690757590380487E-2</v>
      </c>
      <c r="R333">
        <f t="shared" si="17"/>
        <v>2.9550786538718118E-2</v>
      </c>
    </row>
    <row r="334" spans="1:18" ht="13">
      <c r="A334" s="8" t="s">
        <v>84</v>
      </c>
      <c r="B334" s="9">
        <v>2019</v>
      </c>
      <c r="C334" s="4">
        <v>-2.3098824207742377</v>
      </c>
      <c r="D334" s="10">
        <v>0.38963209614796795</v>
      </c>
      <c r="E334" s="11">
        <v>0.46779999999999999</v>
      </c>
      <c r="F334" s="11">
        <v>0.17979999999999999</v>
      </c>
      <c r="G334" s="12">
        <v>3.3363032719184713E-2</v>
      </c>
      <c r="H334" s="12">
        <v>-3.7109057445549321E-2</v>
      </c>
      <c r="I334" s="12">
        <v>5.4239316350487435E-3</v>
      </c>
      <c r="J334" s="12">
        <v>1.5607226706034608E-2</v>
      </c>
      <c r="K334" s="12">
        <v>-1.7359617073027973E-2</v>
      </c>
      <c r="L334" s="12">
        <v>2.5373152188758021E-3</v>
      </c>
      <c r="M334" s="12">
        <v>5.9986732829094107E-3</v>
      </c>
      <c r="N334" s="12">
        <v>-6.6722085287097676E-3</v>
      </c>
      <c r="O334" s="12">
        <v>9.7522290798176398E-4</v>
      </c>
      <c r="P334">
        <f t="shared" si="15"/>
        <v>1.2999308372229179E-2</v>
      </c>
      <c r="Q334">
        <f t="shared" si="16"/>
        <v>-1.4458879838584739E-2</v>
      </c>
      <c r="R334">
        <f t="shared" si="17"/>
        <v>2.1133378523273171E-3</v>
      </c>
    </row>
    <row r="335" spans="1:18" ht="13">
      <c r="A335" s="8" t="s">
        <v>84</v>
      </c>
      <c r="B335" s="9">
        <v>2020</v>
      </c>
      <c r="C335" s="4">
        <v>-2.7464804065734714</v>
      </c>
      <c r="D335" s="10">
        <v>0.30207016843676782</v>
      </c>
      <c r="E335" s="11">
        <v>0.47510000000000002</v>
      </c>
      <c r="F335" s="11">
        <v>0.17979999999999999</v>
      </c>
      <c r="G335" s="12">
        <v>0.11625758482812651</v>
      </c>
      <c r="H335" s="12">
        <v>2.3192390412629431E-2</v>
      </c>
      <c r="I335" s="12">
        <v>-0.15282735785607118</v>
      </c>
      <c r="J335" s="12">
        <v>5.5233978551842908E-2</v>
      </c>
      <c r="K335" s="12">
        <v>1.1018704685040244E-2</v>
      </c>
      <c r="L335" s="12">
        <v>-7.2608277717419428E-2</v>
      </c>
      <c r="M335" s="12">
        <v>2.0903113752097146E-2</v>
      </c>
      <c r="N335" s="12">
        <v>4.1699917961907718E-3</v>
      </c>
      <c r="O335" s="12">
        <v>-2.7478358942521597E-2</v>
      </c>
      <c r="P335">
        <f t="shared" si="15"/>
        <v>3.5117948231083995E-2</v>
      </c>
      <c r="Q335">
        <f t="shared" si="16"/>
        <v>7.0057292783942508E-3</v>
      </c>
      <c r="R335">
        <f t="shared" si="17"/>
        <v>-4.6164585729329612E-2</v>
      </c>
    </row>
    <row r="336" spans="1:18" ht="13">
      <c r="A336" s="8" t="s">
        <v>84</v>
      </c>
      <c r="B336" s="9">
        <v>2021</v>
      </c>
      <c r="C336" s="4">
        <v>-3.1570665345528188</v>
      </c>
      <c r="D336" s="10">
        <v>0.24016741018648421</v>
      </c>
      <c r="E336" s="11">
        <v>0.49309999999999998</v>
      </c>
      <c r="F336" s="11">
        <v>0.19409999999999999</v>
      </c>
      <c r="G336" s="12">
        <v>-4.1434809338398729E-2</v>
      </c>
      <c r="H336" s="12">
        <v>0.16973532796317606</v>
      </c>
      <c r="I336" s="12">
        <v>-0.12815076374986206</v>
      </c>
      <c r="J336" s="12">
        <v>-2.0431504484764412E-2</v>
      </c>
      <c r="K336" s="12">
        <v>8.3696490218642117E-2</v>
      </c>
      <c r="L336" s="12">
        <v>-6.3191141605056983E-2</v>
      </c>
      <c r="M336" s="12">
        <v>-8.0424964925831927E-3</v>
      </c>
      <c r="N336" s="12">
        <v>3.2945627157652473E-2</v>
      </c>
      <c r="O336" s="12">
        <v>-2.4874063243848225E-2</v>
      </c>
      <c r="P336">
        <f t="shared" si="15"/>
        <v>-9.9512908503739742E-3</v>
      </c>
      <c r="Q336">
        <f t="shared" si="16"/>
        <v>4.0764894134069529E-2</v>
      </c>
      <c r="R336">
        <f t="shared" si="17"/>
        <v>-3.0777637043224355E-2</v>
      </c>
    </row>
    <row r="337" spans="1:18" ht="13">
      <c r="A337" s="8" t="s">
        <v>85</v>
      </c>
      <c r="B337" s="9">
        <v>2017</v>
      </c>
      <c r="C337" s="4">
        <v>-4.026654335141501</v>
      </c>
      <c r="D337" s="10">
        <v>0.10494897959183673</v>
      </c>
      <c r="E337" s="11">
        <v>4.5999999999999999E-3</v>
      </c>
      <c r="F337" s="11">
        <v>0.40506100000000006</v>
      </c>
      <c r="G337" s="12">
        <v>-0.17155612244897958</v>
      </c>
      <c r="H337" s="12">
        <v>0.21755102040816326</v>
      </c>
      <c r="I337" s="12">
        <v>-0.01</v>
      </c>
      <c r="J337" s="12">
        <v>-7.891581632653061E-4</v>
      </c>
      <c r="K337" s="12">
        <v>1.000734693877551E-3</v>
      </c>
      <c r="L337" s="12">
        <v>-4.6E-5</v>
      </c>
      <c r="M337" s="12">
        <v>-6.9490694515306123E-2</v>
      </c>
      <c r="N337" s="12">
        <v>8.8121433877551031E-2</v>
      </c>
      <c r="O337" s="12">
        <v>-4.0506100000000005E-3</v>
      </c>
      <c r="P337">
        <f t="shared" si="15"/>
        <v>-1.80046399937526E-2</v>
      </c>
      <c r="Q337">
        <f t="shared" si="16"/>
        <v>2.2831757600999581E-2</v>
      </c>
      <c r="R337">
        <f t="shared" si="17"/>
        <v>-1.0494897959183673E-3</v>
      </c>
    </row>
    <row r="338" spans="1:18" ht="13">
      <c r="A338" s="8" t="s">
        <v>85</v>
      </c>
      <c r="B338" s="9">
        <v>2018</v>
      </c>
      <c r="C338" s="4">
        <v>-3.786150018550178</v>
      </c>
      <c r="D338" s="10">
        <v>0.12093995739420876</v>
      </c>
      <c r="E338" s="11">
        <v>7.9690000000000004E-3</v>
      </c>
      <c r="F338" s="11">
        <v>0.36899999999999999</v>
      </c>
      <c r="G338" s="12">
        <v>-0.49090024458880149</v>
      </c>
      <c r="H338" s="12">
        <v>8.2515845672356203E-2</v>
      </c>
      <c r="I338" s="12">
        <v>0.39188122978197404</v>
      </c>
      <c r="J338" s="12">
        <v>-3.9119840491281593E-3</v>
      </c>
      <c r="K338" s="12">
        <v>6.5756877416300657E-4</v>
      </c>
      <c r="L338" s="12">
        <v>3.1229015201325512E-3</v>
      </c>
      <c r="M338" s="12">
        <v>-0.18114219025326775</v>
      </c>
      <c r="N338" s="12">
        <v>3.0448347053099439E-2</v>
      </c>
      <c r="O338" s="12">
        <v>0.14460417378954843</v>
      </c>
      <c r="P338">
        <f t="shared" si="15"/>
        <v>-5.9369454665376312E-2</v>
      </c>
      <c r="Q338">
        <f t="shared" si="16"/>
        <v>9.9794628599618653E-3</v>
      </c>
      <c r="R338">
        <f t="shared" si="17"/>
        <v>4.7394099233422075E-2</v>
      </c>
    </row>
    <row r="339" spans="1:18" ht="13">
      <c r="A339" s="8" t="s">
        <v>85</v>
      </c>
      <c r="B339" s="9">
        <v>2019</v>
      </c>
      <c r="C339" s="4">
        <v>-3.5764153271023704</v>
      </c>
      <c r="D339" s="10">
        <v>0.14620902484128198</v>
      </c>
      <c r="E339" s="11">
        <v>7.9690000000000004E-3</v>
      </c>
      <c r="F339" s="11">
        <v>0.36899999999999999</v>
      </c>
      <c r="G339" s="12">
        <v>1.0294585330804839E-2</v>
      </c>
      <c r="H339" s="12">
        <v>-3.7291369745226684E-2</v>
      </c>
      <c r="I339" s="12">
        <v>3.3710644412772828E-2</v>
      </c>
      <c r="J339" s="12">
        <v>8.2037550501183769E-5</v>
      </c>
      <c r="K339" s="12">
        <v>-2.9717492549971147E-4</v>
      </c>
      <c r="L339" s="12">
        <v>2.6864012532538668E-4</v>
      </c>
      <c r="M339" s="12">
        <v>3.7987019870669853E-3</v>
      </c>
      <c r="N339" s="12">
        <v>-1.3760515435988645E-2</v>
      </c>
      <c r="O339" s="12">
        <v>1.2439227788313174E-2</v>
      </c>
      <c r="P339">
        <f t="shared" si="15"/>
        <v>1.5051612823623417E-3</v>
      </c>
      <c r="Q339">
        <f t="shared" si="16"/>
        <v>-5.4523348054452796E-3</v>
      </c>
      <c r="R339">
        <f t="shared" si="17"/>
        <v>4.928800446362726E-3</v>
      </c>
    </row>
    <row r="340" spans="1:18" ht="13">
      <c r="A340" s="8" t="s">
        <v>85</v>
      </c>
      <c r="B340" s="9">
        <v>2020</v>
      </c>
      <c r="C340" s="4">
        <v>-2.8093655302124558</v>
      </c>
      <c r="D340" s="10">
        <v>0.27791546393756494</v>
      </c>
      <c r="E340" s="11">
        <v>1.4E-2</v>
      </c>
      <c r="F340" s="11">
        <v>0.36109999999999998</v>
      </c>
      <c r="G340" s="12">
        <v>5.1277565579107981E-2</v>
      </c>
      <c r="H340" s="12">
        <v>-3.7437676764731607E-2</v>
      </c>
      <c r="I340" s="12">
        <v>-9.1650387303068293E-3</v>
      </c>
      <c r="J340" s="12">
        <v>7.178859181075117E-4</v>
      </c>
      <c r="K340" s="12">
        <v>-5.2412747470624251E-4</v>
      </c>
      <c r="L340" s="12">
        <v>-1.2831054222429562E-4</v>
      </c>
      <c r="M340" s="12">
        <v>1.8516328930615892E-2</v>
      </c>
      <c r="N340" s="12">
        <v>-1.3518745079744583E-2</v>
      </c>
      <c r="O340" s="12">
        <v>-3.3094954855137958E-3</v>
      </c>
      <c r="P340">
        <f t="shared" si="15"/>
        <v>1.4250828427506705E-2</v>
      </c>
      <c r="Q340">
        <f t="shared" si="16"/>
        <v>-1.0404509306814981E-2</v>
      </c>
      <c r="R340">
        <f t="shared" si="17"/>
        <v>-2.5471059907389735E-3</v>
      </c>
    </row>
    <row r="341" spans="1:18" ht="13">
      <c r="A341" s="8" t="s">
        <v>85</v>
      </c>
      <c r="B341" s="9">
        <v>2021</v>
      </c>
      <c r="C341" s="4">
        <v>-3.0650098200058307</v>
      </c>
      <c r="D341" s="10">
        <v>0.22871172049683322</v>
      </c>
      <c r="E341" s="11">
        <v>8.2000000000000007E-3</v>
      </c>
      <c r="F341" s="11">
        <v>0.35039999999999999</v>
      </c>
      <c r="G341" s="12">
        <v>-0.16746451543000107</v>
      </c>
      <c r="H341" s="12">
        <v>-3.224885001428248E-2</v>
      </c>
      <c r="I341" s="12">
        <v>0.22132915693980673</v>
      </c>
      <c r="J341" s="12">
        <v>-1.3732090265260088E-3</v>
      </c>
      <c r="K341" s="12">
        <v>-2.6444057011711634E-4</v>
      </c>
      <c r="L341" s="12">
        <v>1.8148990869064153E-3</v>
      </c>
      <c r="M341" s="12">
        <v>-5.8679566206672376E-2</v>
      </c>
      <c r="N341" s="12">
        <v>-1.1299997045004581E-2</v>
      </c>
      <c r="O341" s="12">
        <v>7.7553736591708278E-2</v>
      </c>
      <c r="P341">
        <f t="shared" si="15"/>
        <v>-3.8301097446164022E-2</v>
      </c>
      <c r="Q341">
        <f t="shared" si="16"/>
        <v>-7.3756899708108704E-3</v>
      </c>
      <c r="R341">
        <f t="shared" si="17"/>
        <v>5.0620572279816811E-2</v>
      </c>
    </row>
    <row r="342" spans="1:18" ht="13">
      <c r="A342" s="8" t="s">
        <v>86</v>
      </c>
      <c r="B342" s="9">
        <v>2017</v>
      </c>
      <c r="C342" s="4">
        <v>-1.8585435210111638</v>
      </c>
      <c r="D342" s="10">
        <v>0.45242870090051868</v>
      </c>
      <c r="E342" s="11">
        <v>5.2000000000000005E-2</v>
      </c>
      <c r="F342" s="11">
        <v>7.6730000000000001E-3</v>
      </c>
      <c r="G342" s="12">
        <v>8.185657262963034E-3</v>
      </c>
      <c r="H342" s="12">
        <v>-1.0277868836653232E-2</v>
      </c>
      <c r="I342" s="12">
        <v>-3.3070441003490232E-3</v>
      </c>
      <c r="J342" s="12">
        <v>4.2565417767407779E-4</v>
      </c>
      <c r="K342" s="12">
        <v>-5.3444917950596813E-4</v>
      </c>
      <c r="L342" s="12">
        <v>-1.7196629321814921E-4</v>
      </c>
      <c r="M342" s="12">
        <v>6.2808548178715364E-5</v>
      </c>
      <c r="N342" s="12">
        <v>-7.8862087583640256E-5</v>
      </c>
      <c r="O342" s="12">
        <v>-2.5374949381978056E-5</v>
      </c>
      <c r="P342">
        <f t="shared" si="15"/>
        <v>3.7034262814992606E-3</v>
      </c>
      <c r="Q342">
        <f t="shared" si="16"/>
        <v>-4.6500028457929473E-3</v>
      </c>
      <c r="R342">
        <f t="shared" si="17"/>
        <v>-1.4962016661416331E-3</v>
      </c>
    </row>
    <row r="343" spans="1:18" ht="13">
      <c r="A343" s="8" t="s">
        <v>86</v>
      </c>
      <c r="B343" s="9">
        <v>2018</v>
      </c>
      <c r="C343" s="4">
        <v>-2.1251206240739378</v>
      </c>
      <c r="D343" s="10">
        <v>0.4138635464239494</v>
      </c>
      <c r="E343" s="11">
        <v>2.5600000000000001E-2</v>
      </c>
      <c r="F343" s="11">
        <v>2.1900000000000001E-3</v>
      </c>
      <c r="G343" s="12">
        <v>6.2707894370942388E-2</v>
      </c>
      <c r="H343" s="12">
        <v>5.6151534273826964E-3</v>
      </c>
      <c r="I343" s="12">
        <v>-6.1146346941613097E-2</v>
      </c>
      <c r="J343" s="12">
        <v>1.6053220958961252E-3</v>
      </c>
      <c r="K343" s="12">
        <v>1.4374792774099704E-4</v>
      </c>
      <c r="L343" s="12">
        <v>-1.5653464817052955E-3</v>
      </c>
      <c r="M343" s="12">
        <v>1.3733028867236383E-4</v>
      </c>
      <c r="N343" s="12">
        <v>1.2297186005968106E-5</v>
      </c>
      <c r="O343" s="12">
        <v>-1.339104998021327E-4</v>
      </c>
      <c r="P343">
        <f t="shared" si="15"/>
        <v>2.5952511553136631E-2</v>
      </c>
      <c r="Q343">
        <f t="shared" si="16"/>
        <v>2.3239073111711974E-3</v>
      </c>
      <c r="R343">
        <f t="shared" si="17"/>
        <v>-2.5306243996125209E-2</v>
      </c>
    </row>
    <row r="344" spans="1:18" ht="13">
      <c r="A344" s="8" t="s">
        <v>86</v>
      </c>
      <c r="B344" s="9">
        <v>2019</v>
      </c>
      <c r="C344" s="4">
        <v>-2.4274261170436215</v>
      </c>
      <c r="D344" s="10">
        <v>0.37131723901932862</v>
      </c>
      <c r="E344" s="11">
        <v>2.53E-2</v>
      </c>
      <c r="F344" s="11">
        <v>9.8999999999999999E-4</v>
      </c>
      <c r="G344" s="12">
        <v>0.1801393074367211</v>
      </c>
      <c r="H344" s="12">
        <v>-7.0139417822962541E-2</v>
      </c>
      <c r="I344" s="12">
        <v>-5.6142442405978522E-2</v>
      </c>
      <c r="J344" s="12">
        <v>4.5575244781490441E-3</v>
      </c>
      <c r="K344" s="12">
        <v>-1.7745272709209523E-3</v>
      </c>
      <c r="L344" s="12">
        <v>-1.4204037928712565E-3</v>
      </c>
      <c r="M344" s="12">
        <v>1.7833791436235388E-4</v>
      </c>
      <c r="N344" s="12">
        <v>-6.9438023644732909E-5</v>
      </c>
      <c r="O344" s="12">
        <v>-5.5581017981918738E-5</v>
      </c>
      <c r="P344">
        <f t="shared" si="15"/>
        <v>6.6888830276257291E-2</v>
      </c>
      <c r="Q344">
        <f t="shared" si="16"/>
        <v>-2.6043974972445538E-2</v>
      </c>
      <c r="R344">
        <f t="shared" si="17"/>
        <v>-2.0846656705989619E-2</v>
      </c>
    </row>
    <row r="345" spans="1:18" ht="13">
      <c r="A345" s="8" t="s">
        <v>86</v>
      </c>
      <c r="B345" s="9">
        <v>2020</v>
      </c>
      <c r="C345" s="4">
        <v>-2.742172243058739</v>
      </c>
      <c r="D345" s="10">
        <v>0.30229198053792389</v>
      </c>
      <c r="E345" s="11">
        <v>2.0400000000000001E-2</v>
      </c>
      <c r="F345" s="11">
        <v>9.8999999999999999E-4</v>
      </c>
      <c r="G345" s="12">
        <v>7.1661438909333408E-2</v>
      </c>
      <c r="H345" s="12">
        <v>-1.160809108646793E-3</v>
      </c>
      <c r="I345" s="12">
        <v>-0.12326804811183284</v>
      </c>
      <c r="J345" s="12">
        <v>1.4618933537504017E-3</v>
      </c>
      <c r="K345" s="12">
        <v>-2.3680505816394578E-5</v>
      </c>
      <c r="L345" s="12">
        <v>-2.5146681814813901E-3</v>
      </c>
      <c r="M345" s="12">
        <v>7.0944824520240078E-5</v>
      </c>
      <c r="N345" s="12">
        <v>-1.1492010175603251E-6</v>
      </c>
      <c r="O345" s="12">
        <v>-1.2203536763071451E-4</v>
      </c>
      <c r="P345">
        <f t="shared" si="15"/>
        <v>2.1662678296099837E-2</v>
      </c>
      <c r="Q345">
        <f t="shared" si="16"/>
        <v>-3.5090328447930113E-4</v>
      </c>
      <c r="R345">
        <f t="shared" si="17"/>
        <v>-3.7262942400770036E-2</v>
      </c>
    </row>
    <row r="346" spans="1:18" ht="13">
      <c r="A346" s="8" t="s">
        <v>86</v>
      </c>
      <c r="B346" s="9">
        <v>2021</v>
      </c>
      <c r="C346" s="4">
        <v>-2.680282378574506</v>
      </c>
      <c r="D346" s="10">
        <v>0.29915707670726105</v>
      </c>
      <c r="E346" s="11">
        <v>2.24E-2</v>
      </c>
      <c r="F346" s="11">
        <v>6.9999999999999999E-4</v>
      </c>
      <c r="G346" s="12">
        <v>6.6664183829280105E-2</v>
      </c>
      <c r="H346" s="12">
        <v>-9.2982260126872988E-3</v>
      </c>
      <c r="I346" s="12">
        <v>-2.322694375131901E-2</v>
      </c>
      <c r="J346" s="12">
        <v>1.4932777177758744E-3</v>
      </c>
      <c r="K346" s="12">
        <v>-2.082802626841955E-4</v>
      </c>
      <c r="L346" s="12">
        <v>-5.2028354002954579E-4</v>
      </c>
      <c r="M346" s="12">
        <v>4.6664928680496076E-5</v>
      </c>
      <c r="N346" s="12">
        <v>-6.5087582088811094E-6</v>
      </c>
      <c r="O346" s="12">
        <v>-1.6258860625923306E-5</v>
      </c>
      <c r="P346">
        <f t="shared" si="15"/>
        <v>1.9943062355442898E-2</v>
      </c>
      <c r="Q346">
        <f t="shared" si="16"/>
        <v>-2.7816301125189445E-3</v>
      </c>
      <c r="R346">
        <f t="shared" si="17"/>
        <v>-6.9485045934885789E-3</v>
      </c>
    </row>
    <row r="347" spans="1:18" ht="13">
      <c r="A347" s="8" t="s">
        <v>87</v>
      </c>
      <c r="B347" s="9">
        <v>2017</v>
      </c>
      <c r="C347" s="4">
        <v>-0.8746077767288597</v>
      </c>
      <c r="D347" s="10">
        <v>0.63858410307854663</v>
      </c>
      <c r="E347" s="11">
        <v>0.44059999999999999</v>
      </c>
      <c r="F347" s="11">
        <v>0.127</v>
      </c>
      <c r="G347" s="12">
        <v>-1.5094388785387653E-2</v>
      </c>
      <c r="H347" s="12">
        <v>3.5170733613872351E-2</v>
      </c>
      <c r="I347" s="12">
        <v>-2.496970960303295E-2</v>
      </c>
      <c r="J347" s="12">
        <v>-6.6505876988417999E-3</v>
      </c>
      <c r="K347" s="12">
        <v>1.5496225230272158E-2</v>
      </c>
      <c r="L347" s="12">
        <v>-1.1001654051096318E-2</v>
      </c>
      <c r="M347" s="12">
        <v>-1.9169873757442319E-3</v>
      </c>
      <c r="N347" s="12">
        <v>4.4666831689617889E-3</v>
      </c>
      <c r="O347" s="12">
        <v>-3.1711531195851845E-3</v>
      </c>
      <c r="P347">
        <f t="shared" si="15"/>
        <v>-9.6390367240356475E-3</v>
      </c>
      <c r="Q347">
        <f t="shared" si="16"/>
        <v>2.2459471379429167E-2</v>
      </c>
      <c r="R347">
        <f t="shared" si="17"/>
        <v>-1.5945259610984568E-2</v>
      </c>
    </row>
    <row r="348" spans="1:18" ht="13">
      <c r="A348" s="8" t="s">
        <v>87</v>
      </c>
      <c r="B348" s="9">
        <v>2018</v>
      </c>
      <c r="C348" s="4">
        <v>-1.1778649048596717</v>
      </c>
      <c r="D348" s="10">
        <v>0.59049171650875987</v>
      </c>
      <c r="E348" s="11">
        <v>0.3664</v>
      </c>
      <c r="F348" s="11">
        <v>0.11333</v>
      </c>
      <c r="G348" s="12">
        <v>-3.3290636743767532E-2</v>
      </c>
      <c r="H348" s="12">
        <v>-7.7122743873392255E-2</v>
      </c>
      <c r="I348" s="12">
        <v>0.10195310432435294</v>
      </c>
      <c r="J348" s="12">
        <v>-1.2197689302916424E-2</v>
      </c>
      <c r="K348" s="12">
        <v>-2.8257773355210923E-2</v>
      </c>
      <c r="L348" s="12">
        <v>3.7355617424442919E-2</v>
      </c>
      <c r="M348" s="12">
        <v>-3.7728278621711746E-3</v>
      </c>
      <c r="N348" s="12">
        <v>-8.7403205631715435E-3</v>
      </c>
      <c r="O348" s="12">
        <v>1.1554345313078918E-2</v>
      </c>
      <c r="P348">
        <f t="shared" si="15"/>
        <v>-1.9657845234496884E-2</v>
      </c>
      <c r="Q348">
        <f t="shared" si="16"/>
        <v>-4.5540341411664839E-2</v>
      </c>
      <c r="R348">
        <f t="shared" si="17"/>
        <v>6.0202463575883831E-2</v>
      </c>
    </row>
    <row r="349" spans="1:18" ht="13">
      <c r="A349" s="8" t="s">
        <v>87</v>
      </c>
      <c r="B349" s="9">
        <v>2019</v>
      </c>
      <c r="C349" s="4">
        <v>-1.2536742947268342</v>
      </c>
      <c r="D349" s="10">
        <v>0.56514433037152989</v>
      </c>
      <c r="E349" s="11">
        <v>0.50439999999999996</v>
      </c>
      <c r="F349" s="11">
        <v>0.11333</v>
      </c>
      <c r="G349" s="12">
        <v>-5.0642235624510845E-3</v>
      </c>
      <c r="H349" s="12">
        <v>-2.2086035137920412E-2</v>
      </c>
      <c r="I349" s="12">
        <v>3.4928976920597932E-2</v>
      </c>
      <c r="J349" s="12">
        <v>-2.5543943649003267E-3</v>
      </c>
      <c r="K349" s="12">
        <v>-1.1140196123567054E-2</v>
      </c>
      <c r="L349" s="12">
        <v>1.7618175958749597E-2</v>
      </c>
      <c r="M349" s="12">
        <v>-5.7392845633258145E-4</v>
      </c>
      <c r="N349" s="12">
        <v>-2.5030103621805203E-3</v>
      </c>
      <c r="O349" s="12">
        <v>3.9585009544113635E-3</v>
      </c>
      <c r="P349">
        <f t="shared" si="15"/>
        <v>-2.8620172340531416E-3</v>
      </c>
      <c r="Q349">
        <f t="shared" si="16"/>
        <v>-1.2481797538582111E-2</v>
      </c>
      <c r="R349">
        <f t="shared" si="17"/>
        <v>1.9739913272353939E-2</v>
      </c>
    </row>
    <row r="350" spans="1:18" ht="13">
      <c r="A350" s="8" t="s">
        <v>87</v>
      </c>
      <c r="B350" s="9">
        <v>2020</v>
      </c>
      <c r="C350" s="4">
        <v>-0.79855235167579364</v>
      </c>
      <c r="D350" s="10">
        <v>0.63084522227515483</v>
      </c>
      <c r="E350" s="11">
        <v>0.39250000000000002</v>
      </c>
      <c r="F350" s="11">
        <v>7.9860000000000014E-2</v>
      </c>
      <c r="G350" s="12">
        <v>1.3076484009846448E-2</v>
      </c>
      <c r="H350" s="12">
        <v>-5.2395905081186002E-2</v>
      </c>
      <c r="I350" s="12">
        <v>5.730290511510875E-2</v>
      </c>
      <c r="J350" s="12">
        <v>5.1325199738647305E-3</v>
      </c>
      <c r="K350" s="12">
        <v>-2.0565392744365505E-2</v>
      </c>
      <c r="L350" s="12">
        <v>2.2491390257680186E-2</v>
      </c>
      <c r="M350" s="12">
        <v>1.0442880130263376E-3</v>
      </c>
      <c r="N350" s="12">
        <v>-4.184336979783515E-3</v>
      </c>
      <c r="O350" s="12">
        <v>4.5762100024925858E-3</v>
      </c>
      <c r="P350">
        <f t="shared" si="15"/>
        <v>8.2492374617690895E-3</v>
      </c>
      <c r="Q350">
        <f t="shared" si="16"/>
        <v>-3.3053706387248701E-2</v>
      </c>
      <c r="R350">
        <f t="shared" si="17"/>
        <v>3.6149263914352886E-2</v>
      </c>
    </row>
    <row r="351" spans="1:18" ht="13">
      <c r="A351" s="8" t="s">
        <v>87</v>
      </c>
      <c r="B351" s="9">
        <v>2021</v>
      </c>
      <c r="C351" s="4">
        <v>-0.87596335078536713</v>
      </c>
      <c r="D351" s="10">
        <v>0.60921861867470695</v>
      </c>
      <c r="E351" s="11">
        <v>0.32100000000000001</v>
      </c>
      <c r="F351" s="11">
        <v>4.1009999999999998E-2</v>
      </c>
      <c r="G351" s="12">
        <v>-1.472711020985365E-2</v>
      </c>
      <c r="H351" s="12">
        <v>-0.1612324399322278</v>
      </c>
      <c r="I351" s="12">
        <v>0.16982803473991756</v>
      </c>
      <c r="J351" s="12">
        <v>-4.7274023773630214E-3</v>
      </c>
      <c r="K351" s="12">
        <v>-5.1755613218245122E-2</v>
      </c>
      <c r="L351" s="12">
        <v>5.451479915151354E-2</v>
      </c>
      <c r="M351" s="12">
        <v>-6.0395878970609818E-4</v>
      </c>
      <c r="N351" s="12">
        <v>-6.6121423616206619E-3</v>
      </c>
      <c r="O351" s="12">
        <v>6.9646477046840186E-3</v>
      </c>
      <c r="P351">
        <f t="shared" si="15"/>
        <v>-8.9720297391172148E-3</v>
      </c>
      <c r="Q351">
        <f t="shared" si="16"/>
        <v>-9.8225804341064482E-2</v>
      </c>
      <c r="R351">
        <f t="shared" si="17"/>
        <v>0.10346240073649272</v>
      </c>
    </row>
    <row r="352" spans="1:18" ht="13">
      <c r="A352" s="8" t="s">
        <v>88</v>
      </c>
      <c r="B352" s="9">
        <v>2017</v>
      </c>
      <c r="C352" s="4">
        <v>-2.0140783786496277</v>
      </c>
      <c r="D352" s="10">
        <v>0.40416285212193914</v>
      </c>
      <c r="E352" s="11">
        <v>8.3999999999999995E-3</v>
      </c>
      <c r="F352" s="11">
        <v>3.3799999999999997E-2</v>
      </c>
      <c r="G352" s="12">
        <v>0.10270332838757879</v>
      </c>
      <c r="H352" s="12">
        <v>-0.12369647799139229</v>
      </c>
      <c r="I352" s="12">
        <v>2.2455830202775938E-2</v>
      </c>
      <c r="J352" s="12">
        <v>8.6270795845566173E-4</v>
      </c>
      <c r="K352" s="12">
        <v>-1.0390504151276952E-3</v>
      </c>
      <c r="L352" s="12">
        <v>1.8862897370331786E-4</v>
      </c>
      <c r="M352" s="12">
        <v>3.4713724995001625E-3</v>
      </c>
      <c r="N352" s="12">
        <v>-4.1809409561090593E-3</v>
      </c>
      <c r="O352" s="12">
        <v>7.5900706085382666E-4</v>
      </c>
      <c r="P352">
        <f t="shared" si="15"/>
        <v>4.1508870123539959E-2</v>
      </c>
      <c r="Q352">
        <f t="shared" si="16"/>
        <v>-4.9993521342439784E-2</v>
      </c>
      <c r="R352">
        <f t="shared" si="17"/>
        <v>9.0758123815199068E-3</v>
      </c>
    </row>
    <row r="353" spans="1:18" ht="13">
      <c r="A353" s="8" t="s">
        <v>88</v>
      </c>
      <c r="B353" s="9">
        <v>2018</v>
      </c>
      <c r="C353" s="4">
        <v>-1.7836805111545913</v>
      </c>
      <c r="D353" s="10">
        <v>0.41199517143522735</v>
      </c>
      <c r="E353" s="11">
        <v>6.3E-3</v>
      </c>
      <c r="F353" s="11">
        <v>3.3799999999999997E-2</v>
      </c>
      <c r="G353" s="12">
        <v>6.3533747008619407E-4</v>
      </c>
      <c r="H353" s="12">
        <v>1.0059509943031408E-2</v>
      </c>
      <c r="I353" s="12">
        <v>1.0250111184057265E-2</v>
      </c>
      <c r="J353" s="12">
        <v>4.0026260615430227E-6</v>
      </c>
      <c r="K353" s="12">
        <v>6.3374912641097874E-5</v>
      </c>
      <c r="L353" s="12">
        <v>6.4575700459560767E-5</v>
      </c>
      <c r="M353" s="12">
        <v>2.1474406488913359E-5</v>
      </c>
      <c r="N353" s="12">
        <v>3.4001143607446157E-4</v>
      </c>
      <c r="O353" s="12">
        <v>3.4645375802113554E-4</v>
      </c>
      <c r="P353">
        <f t="shared" si="15"/>
        <v>2.6175596990738516E-4</v>
      </c>
      <c r="Q353">
        <f t="shared" si="16"/>
        <v>4.1444695235335989E-3</v>
      </c>
      <c r="R353">
        <f t="shared" si="17"/>
        <v>4.2229963145058143E-3</v>
      </c>
    </row>
    <row r="354" spans="1:18" ht="13">
      <c r="A354" s="8" t="s">
        <v>88</v>
      </c>
      <c r="B354" s="9">
        <v>2019</v>
      </c>
      <c r="C354" s="4">
        <v>-2.5738451534405589</v>
      </c>
      <c r="D354" s="10">
        <v>0.35808163050900876</v>
      </c>
      <c r="E354" s="11">
        <v>6.9999999999999999E-4</v>
      </c>
      <c r="F354" s="11">
        <v>3.3799999999999997E-2</v>
      </c>
      <c r="G354" s="12">
        <v>-5.6059253033566209E-2</v>
      </c>
      <c r="H354" s="12">
        <v>5.6279876030887216E-2</v>
      </c>
      <c r="I354" s="12">
        <v>-2.4604717129799863E-2</v>
      </c>
      <c r="J354" s="12">
        <v>-3.9241477123496344E-5</v>
      </c>
      <c r="K354" s="12">
        <v>3.939591322162105E-5</v>
      </c>
      <c r="L354" s="12">
        <v>-1.7223301990859905E-5</v>
      </c>
      <c r="M354" s="12">
        <v>-1.8948027525345376E-3</v>
      </c>
      <c r="N354" s="12">
        <v>1.9022598098439878E-3</v>
      </c>
      <c r="O354" s="12">
        <v>-8.3163943898723535E-4</v>
      </c>
      <c r="P354">
        <f t="shared" si="15"/>
        <v>-2.0073788731376482E-2</v>
      </c>
      <c r="Q354">
        <f t="shared" si="16"/>
        <v>2.0152789773984974E-2</v>
      </c>
      <c r="R354">
        <f t="shared" si="17"/>
        <v>-8.8104972280516735E-3</v>
      </c>
    </row>
    <row r="355" spans="1:18" ht="13">
      <c r="A355" s="8" t="s">
        <v>88</v>
      </c>
      <c r="B355" s="9">
        <v>2020</v>
      </c>
      <c r="C355" s="4">
        <v>-1.8709988719701725</v>
      </c>
      <c r="D355" s="10">
        <v>0.40604343720491026</v>
      </c>
      <c r="E355" s="11">
        <v>6.9999999999999999E-4</v>
      </c>
      <c r="F355" s="11">
        <v>0</v>
      </c>
      <c r="G355" s="12">
        <v>1.4722755287499873E-3</v>
      </c>
      <c r="H355" s="12">
        <v>1.8276523805172255E-2</v>
      </c>
      <c r="I355" s="12">
        <v>-1.8865434016672251E-2</v>
      </c>
      <c r="J355" s="12">
        <v>1.030592870124991E-6</v>
      </c>
      <c r="K355" s="12">
        <v>1.2793566663620578E-5</v>
      </c>
      <c r="L355" s="12">
        <v>-1.3205803811670575E-5</v>
      </c>
      <c r="M355" s="12">
        <v>0</v>
      </c>
      <c r="N355" s="12">
        <v>0</v>
      </c>
      <c r="O355" s="12">
        <v>0</v>
      </c>
      <c r="P355">
        <f t="shared" si="15"/>
        <v>5.978078162063215E-4</v>
      </c>
      <c r="Q355">
        <f t="shared" si="16"/>
        <v>7.4210625460095075E-3</v>
      </c>
      <c r="R355">
        <f t="shared" si="17"/>
        <v>-7.6601856724920368E-3</v>
      </c>
    </row>
    <row r="356" spans="1:18" ht="13">
      <c r="A356" s="8" t="s">
        <v>88</v>
      </c>
      <c r="B356" s="9">
        <v>2021</v>
      </c>
      <c r="C356" s="4">
        <v>-3.2184280506503757</v>
      </c>
      <c r="D356" s="10">
        <v>0.20151358874625641</v>
      </c>
      <c r="E356" s="11">
        <v>2.0000000000000001E-4</v>
      </c>
      <c r="F356" s="11">
        <v>4.6100000000000002E-2</v>
      </c>
      <c r="G356" s="12">
        <v>1.2004324539275017E-2</v>
      </c>
      <c r="H356" s="12">
        <v>0.10088106274310001</v>
      </c>
      <c r="I356" s="12">
        <v>-6.4644406059325726E-2</v>
      </c>
      <c r="J356" s="12">
        <v>2.4008649078550036E-6</v>
      </c>
      <c r="K356" s="12">
        <v>2.0176212548620002E-5</v>
      </c>
      <c r="L356" s="12">
        <v>-1.2928881211865146E-5</v>
      </c>
      <c r="M356" s="12">
        <v>5.533993612605783E-4</v>
      </c>
      <c r="N356" s="12">
        <v>4.6506169924569107E-3</v>
      </c>
      <c r="O356" s="12">
        <v>-2.9801071193349161E-3</v>
      </c>
      <c r="P356">
        <f t="shared" si="15"/>
        <v>2.4190345183840597E-3</v>
      </c>
      <c r="Q356">
        <f t="shared" si="16"/>
        <v>2.0328904989898346E-2</v>
      </c>
      <c r="R356">
        <f t="shared" si="17"/>
        <v>-1.302672625738497E-2</v>
      </c>
    </row>
    <row r="357" spans="1:18" ht="13">
      <c r="A357" s="8" t="s">
        <v>89</v>
      </c>
      <c r="B357" s="9">
        <v>2017</v>
      </c>
      <c r="C357" s="4">
        <v>-3.3690269648526083</v>
      </c>
      <c r="D357" s="10">
        <v>0.18402119404264528</v>
      </c>
      <c r="E357" s="11">
        <v>6.7000000000000002E-3</v>
      </c>
      <c r="F357" s="11">
        <v>4.0000000000000002E-4</v>
      </c>
      <c r="G357" s="12">
        <v>1.9779609714480485E-2</v>
      </c>
      <c r="H357" s="12">
        <v>-0.15463242092544327</v>
      </c>
      <c r="I357" s="12">
        <v>0.13422417435284081</v>
      </c>
      <c r="J357" s="12">
        <v>1.3252338508701924E-4</v>
      </c>
      <c r="K357" s="12">
        <v>-1.0360372202004699E-3</v>
      </c>
      <c r="L357" s="12">
        <v>8.9930196816403346E-4</v>
      </c>
      <c r="M357" s="12">
        <v>7.9118438857921944E-6</v>
      </c>
      <c r="N357" s="12">
        <v>-6.1852968370177316E-5</v>
      </c>
      <c r="O357" s="12">
        <v>5.368966974113633E-5</v>
      </c>
      <c r="P357">
        <f t="shared" si="15"/>
        <v>3.639867397356205E-3</v>
      </c>
      <c r="Q357">
        <f t="shared" si="16"/>
        <v>-2.8455642736404999E-2</v>
      </c>
      <c r="R357">
        <f t="shared" si="17"/>
        <v>2.4700092833797972E-2</v>
      </c>
    </row>
    <row r="358" spans="1:18" ht="13">
      <c r="A358" s="8" t="s">
        <v>89</v>
      </c>
      <c r="B358" s="9">
        <v>2018</v>
      </c>
      <c r="C358" s="4">
        <v>-2.9615915949642639</v>
      </c>
      <c r="D358" s="10">
        <v>0.23640589614972421</v>
      </c>
      <c r="E358" s="11">
        <v>2.2499999999999999E-2</v>
      </c>
      <c r="F358" s="11">
        <v>4.0000000000000002E-4</v>
      </c>
      <c r="G358" s="12">
        <v>-2.7983814641861431E-2</v>
      </c>
      <c r="H358" s="12">
        <v>-4.8504124264761056E-2</v>
      </c>
      <c r="I358" s="12">
        <v>7.5845296298647946E-2</v>
      </c>
      <c r="J358" s="12">
        <v>-6.2963582944188217E-4</v>
      </c>
      <c r="K358" s="12">
        <v>-1.0913427959571237E-3</v>
      </c>
      <c r="L358" s="12">
        <v>1.7065191667195788E-3</v>
      </c>
      <c r="M358" s="12">
        <v>-1.1193525856744574E-5</v>
      </c>
      <c r="N358" s="12">
        <v>-1.9401649705904422E-5</v>
      </c>
      <c r="O358" s="12">
        <v>3.033811851945918E-5</v>
      </c>
      <c r="P358">
        <f t="shared" si="15"/>
        <v>-6.615538778097025E-3</v>
      </c>
      <c r="Q358">
        <f t="shared" si="16"/>
        <v>-1.1466660963768421E-2</v>
      </c>
      <c r="R358">
        <f t="shared" si="17"/>
        <v>1.7930275240223229E-2</v>
      </c>
    </row>
    <row r="359" spans="1:18" ht="13">
      <c r="A359" s="8" t="s">
        <v>89</v>
      </c>
      <c r="B359" s="9">
        <v>2019</v>
      </c>
      <c r="C359" s="4">
        <v>-3.0585171778844082</v>
      </c>
      <c r="D359" s="10">
        <v>0.23426829475978814</v>
      </c>
      <c r="E359" s="11">
        <v>1.77E-2</v>
      </c>
      <c r="F359" s="11">
        <v>4.0000000000000002E-4</v>
      </c>
      <c r="G359" s="12">
        <v>2.4353275771045145E-2</v>
      </c>
      <c r="H359" s="12">
        <v>-2.3772354585209026E-2</v>
      </c>
      <c r="I359" s="12">
        <v>-3.780718336483932E-3</v>
      </c>
      <c r="J359" s="12">
        <v>4.3105298114749909E-4</v>
      </c>
      <c r="K359" s="12">
        <v>-4.207706761581998E-4</v>
      </c>
      <c r="L359" s="12">
        <v>-6.6918714555765603E-5</v>
      </c>
      <c r="M359" s="12">
        <v>9.741310308418059E-6</v>
      </c>
      <c r="N359" s="12">
        <v>-9.5089418340836111E-6</v>
      </c>
      <c r="O359" s="12">
        <v>-1.5122873345935729E-6</v>
      </c>
      <c r="P359">
        <f t="shared" si="15"/>
        <v>5.7052003866976111E-3</v>
      </c>
      <c r="Q359">
        <f t="shared" si="16"/>
        <v>-5.5691089711019494E-3</v>
      </c>
      <c r="R359">
        <f t="shared" si="17"/>
        <v>-8.8570243765515369E-4</v>
      </c>
    </row>
    <row r="360" spans="1:18" ht="13">
      <c r="A360" s="8" t="s">
        <v>89</v>
      </c>
      <c r="B360" s="9">
        <v>2020</v>
      </c>
      <c r="C360" s="4">
        <v>-3.0542707673474756</v>
      </c>
      <c r="D360" s="10">
        <v>0.23417953890817153</v>
      </c>
      <c r="E360" s="11">
        <v>1.6799999999999999E-2</v>
      </c>
      <c r="F360" s="11">
        <v>0</v>
      </c>
      <c r="G360" s="12">
        <v>1.3720718095072276E-2</v>
      </c>
      <c r="H360" s="12">
        <v>-2.9901702883054066E-4</v>
      </c>
      <c r="I360" s="12">
        <v>-6.6483976093777803E-3</v>
      </c>
      <c r="J360" s="12">
        <v>2.3050806399721422E-4</v>
      </c>
      <c r="K360" s="12">
        <v>-5.0234860843530825E-6</v>
      </c>
      <c r="L360" s="12">
        <v>-1.1169307983754671E-4</v>
      </c>
      <c r="M360" s="12">
        <v>0</v>
      </c>
      <c r="N360" s="12">
        <v>0</v>
      </c>
      <c r="O360" s="12">
        <v>0</v>
      </c>
      <c r="P360">
        <f t="shared" si="15"/>
        <v>3.2131114369930314E-3</v>
      </c>
      <c r="Q360">
        <f t="shared" si="16"/>
        <v>-7.0023669937227442E-5</v>
      </c>
      <c r="R360">
        <f t="shared" si="17"/>
        <v>-1.5569186866422784E-3</v>
      </c>
    </row>
    <row r="361" spans="1:18" ht="13">
      <c r="A361" s="8" t="s">
        <v>89</v>
      </c>
      <c r="B361" s="9">
        <v>2021</v>
      </c>
      <c r="C361" s="4">
        <v>-3.2634190663800182</v>
      </c>
      <c r="D361" s="10">
        <v>0.21463115466370769</v>
      </c>
      <c r="E361" s="11">
        <v>1.6799999999999999E-2</v>
      </c>
      <c r="F361" s="11">
        <v>4.0000000000000002E-4</v>
      </c>
      <c r="G361" s="12">
        <v>-1.4505153674416117E-3</v>
      </c>
      <c r="H361" s="12">
        <v>4.4987700699188511E-2</v>
      </c>
      <c r="I361" s="12">
        <v>-3.8000828865924251E-3</v>
      </c>
      <c r="J361" s="12">
        <v>-2.4368658173019074E-5</v>
      </c>
      <c r="K361" s="12">
        <v>7.5579337174636692E-4</v>
      </c>
      <c r="L361" s="12">
        <v>-6.3841392494752737E-5</v>
      </c>
      <c r="M361" s="12">
        <v>-5.8020614697664469E-7</v>
      </c>
      <c r="N361" s="12">
        <v>1.7995080279675404E-5</v>
      </c>
      <c r="O361" s="12">
        <v>-1.5200331546369701E-6</v>
      </c>
      <c r="P361">
        <f t="shared" si="15"/>
        <v>-3.1132578817144536E-4</v>
      </c>
      <c r="Q361">
        <f t="shared" si="16"/>
        <v>9.6557621467321195E-3</v>
      </c>
      <c r="R361">
        <f t="shared" si="17"/>
        <v>-8.1561617776712753E-4</v>
      </c>
    </row>
    <row r="362" spans="1:18" ht="13">
      <c r="A362" s="8" t="s">
        <v>90</v>
      </c>
      <c r="B362" s="9">
        <v>2017</v>
      </c>
      <c r="C362" s="4">
        <v>-0.89537615659236325</v>
      </c>
      <c r="D362" s="10">
        <v>0.65195332626155478</v>
      </c>
      <c r="E362" s="11">
        <v>0.1094</v>
      </c>
      <c r="F362" s="11">
        <v>2.3399999999999997E-2</v>
      </c>
      <c r="G362" s="12">
        <v>-0.16970450068192153</v>
      </c>
      <c r="H362" s="12">
        <v>-2.876799515078042E-2</v>
      </c>
      <c r="I362" s="12">
        <v>0.10203364146082741</v>
      </c>
      <c r="J362" s="12">
        <v>-1.8565672374602216E-2</v>
      </c>
      <c r="K362" s="12">
        <v>-3.1472186694953778E-3</v>
      </c>
      <c r="L362" s="12">
        <v>1.1162480375814519E-2</v>
      </c>
      <c r="M362" s="12">
        <v>-3.9710853159569629E-3</v>
      </c>
      <c r="N362" s="12">
        <v>-6.7317108652826174E-4</v>
      </c>
      <c r="O362" s="12">
        <v>2.3875872101833612E-3</v>
      </c>
      <c r="P362">
        <f t="shared" si="15"/>
        <v>-0.11063941370113503</v>
      </c>
      <c r="Q362">
        <f t="shared" si="16"/>
        <v>-1.8755390128427574E-2</v>
      </c>
      <c r="R362">
        <f t="shared" si="17"/>
        <v>6.652117194096531E-2</v>
      </c>
    </row>
    <row r="363" spans="1:18" ht="13">
      <c r="A363" s="8" t="s">
        <v>90</v>
      </c>
      <c r="B363" s="9">
        <v>2018</v>
      </c>
      <c r="C363" s="4">
        <v>-1.7754373371530709</v>
      </c>
      <c r="D363" s="10">
        <v>0.53925122388379121</v>
      </c>
      <c r="E363" s="11">
        <v>6.6600000000000006E-2</v>
      </c>
      <c r="F363" s="11">
        <v>3.3699999999999994E-2</v>
      </c>
      <c r="G363" s="12">
        <v>0.24368663224632836</v>
      </c>
      <c r="H363" s="12">
        <v>-5.0881463845268989E-2</v>
      </c>
      <c r="I363" s="12">
        <v>-0.28621492201920762</v>
      </c>
      <c r="J363" s="12">
        <v>1.622952970760547E-2</v>
      </c>
      <c r="K363" s="12">
        <v>-3.3887054920949148E-3</v>
      </c>
      <c r="L363" s="12">
        <v>-1.906191380647923E-2</v>
      </c>
      <c r="M363" s="12">
        <v>8.2122395067012639E-3</v>
      </c>
      <c r="N363" s="12">
        <v>-1.7147053315855645E-3</v>
      </c>
      <c r="O363" s="12">
        <v>-9.6454428720472943E-3</v>
      </c>
      <c r="P363">
        <f t="shared" si="15"/>
        <v>0.13140831468295192</v>
      </c>
      <c r="Q363">
        <f t="shared" si="16"/>
        <v>-2.7437891651560176E-2</v>
      </c>
      <c r="R363">
        <f t="shared" si="17"/>
        <v>-0.15434174699266157</v>
      </c>
    </row>
    <row r="364" spans="1:18" ht="13">
      <c r="A364" s="8" t="s">
        <v>90</v>
      </c>
      <c r="B364" s="9">
        <v>2019</v>
      </c>
      <c r="C364" s="4">
        <v>-2.8059812187158766</v>
      </c>
      <c r="D364" s="10">
        <v>0.38273585650035513</v>
      </c>
      <c r="E364" s="11">
        <v>7.3800000000000004E-2</v>
      </c>
      <c r="F364" s="11">
        <v>3.9099999999999996E-2</v>
      </c>
      <c r="G364" s="12">
        <v>0.36604771047578977</v>
      </c>
      <c r="H364" s="12">
        <v>-9.9405591646721553E-2</v>
      </c>
      <c r="I364" s="12">
        <v>-0.12409589437416164</v>
      </c>
      <c r="J364" s="12">
        <v>2.7014321033113287E-2</v>
      </c>
      <c r="K364" s="12">
        <v>-7.3361326635280506E-3</v>
      </c>
      <c r="L364" s="12">
        <v>-9.1582770048131302E-3</v>
      </c>
      <c r="M364" s="12">
        <v>1.4312465479603378E-2</v>
      </c>
      <c r="N364" s="12">
        <v>-3.8867586333868123E-3</v>
      </c>
      <c r="O364" s="12">
        <v>-4.8521494700297201E-3</v>
      </c>
      <c r="P364">
        <f t="shared" si="15"/>
        <v>0.14009958398894543</v>
      </c>
      <c r="Q364">
        <f t="shared" si="16"/>
        <v>-3.8046084259832524E-2</v>
      </c>
      <c r="R364">
        <f t="shared" si="17"/>
        <v>-4.749594842147236E-2</v>
      </c>
    </row>
    <row r="365" spans="1:18" ht="13">
      <c r="A365" s="8" t="s">
        <v>90</v>
      </c>
      <c r="B365" s="9">
        <v>2020</v>
      </c>
      <c r="C365" s="4">
        <v>-2.8035006948913495</v>
      </c>
      <c r="D365" s="10">
        <v>0.36817714299071974</v>
      </c>
      <c r="E365" s="11">
        <v>8.4900000000000003E-2</v>
      </c>
      <c r="F365" s="11">
        <v>3.3099999999999997E-2</v>
      </c>
      <c r="G365" s="12">
        <v>2.4550597255662821E-2</v>
      </c>
      <c r="H365" s="12">
        <v>-3.5560672292479951E-2</v>
      </c>
      <c r="I365" s="12">
        <v>2.4836952710442037E-2</v>
      </c>
      <c r="J365" s="12">
        <v>2.0843457070057734E-3</v>
      </c>
      <c r="K365" s="12">
        <v>-3.0191010776315481E-3</v>
      </c>
      <c r="L365" s="12">
        <v>2.1086572851165292E-3</v>
      </c>
      <c r="M365" s="12">
        <v>8.1262476916243932E-4</v>
      </c>
      <c r="N365" s="12">
        <v>-1.1770582528810862E-3</v>
      </c>
      <c r="O365" s="12">
        <v>8.2210313471563136E-4</v>
      </c>
      <c r="P365">
        <f t="shared" si="15"/>
        <v>9.0389687563057416E-3</v>
      </c>
      <c r="Q365">
        <f t="shared" si="16"/>
        <v>-1.3092626727474516E-2</v>
      </c>
      <c r="R365">
        <f t="shared" si="17"/>
        <v>9.1443982895261615E-3</v>
      </c>
    </row>
    <row r="366" spans="1:18" ht="13">
      <c r="A366" s="8" t="s">
        <v>90</v>
      </c>
      <c r="B366" s="9">
        <v>2021</v>
      </c>
      <c r="C366" s="4">
        <v>-3.2640619669278603</v>
      </c>
      <c r="D366" s="10">
        <v>0.26781071050233718</v>
      </c>
      <c r="E366" s="11">
        <v>0.32450000000000001</v>
      </c>
      <c r="F366" s="11">
        <v>2.0100000000000003E-2</v>
      </c>
      <c r="G366" s="12">
        <v>6.6068346309699308E-2</v>
      </c>
      <c r="H366" s="12">
        <v>-8.6125536154797802E-2</v>
      </c>
      <c r="I366" s="12">
        <v>0.20563897799079922</v>
      </c>
      <c r="J366" s="12">
        <v>2.1439178377497425E-2</v>
      </c>
      <c r="K366" s="12">
        <v>-2.7947736482231887E-2</v>
      </c>
      <c r="L366" s="12">
        <v>6.6729848358014349E-2</v>
      </c>
      <c r="M366" s="12">
        <v>1.3279737608249563E-3</v>
      </c>
      <c r="N366" s="12">
        <v>-1.7311232767114361E-3</v>
      </c>
      <c r="O366" s="12">
        <v>4.133343457615065E-3</v>
      </c>
      <c r="P366">
        <f t="shared" si="15"/>
        <v>1.7693810766915039E-2</v>
      </c>
      <c r="Q366">
        <f t="shared" si="16"/>
        <v>-2.3065341030011129E-2</v>
      </c>
      <c r="R366">
        <f t="shared" si="17"/>
        <v>5.5072320802690415E-2</v>
      </c>
    </row>
    <row r="367" spans="1:18" ht="13">
      <c r="A367" s="8" t="s">
        <v>91</v>
      </c>
      <c r="B367" s="9">
        <v>2017</v>
      </c>
      <c r="C367" s="4">
        <v>-2.259244392752747</v>
      </c>
      <c r="D367" s="10">
        <v>0.47045802186267982</v>
      </c>
      <c r="E367" s="11">
        <v>0.49</v>
      </c>
      <c r="F367" s="11">
        <v>0.11649999999999999</v>
      </c>
      <c r="G367" s="12">
        <v>7.9528217961189904E-2</v>
      </c>
      <c r="H367" s="12">
        <v>-0.10435253571245713</v>
      </c>
      <c r="I367" s="12">
        <v>-7.6484979007731296E-2</v>
      </c>
      <c r="J367" s="12">
        <v>3.8968826800983049E-2</v>
      </c>
      <c r="K367" s="12">
        <v>-5.1132742499103996E-2</v>
      </c>
      <c r="L367" s="12">
        <v>-3.7477639713788334E-2</v>
      </c>
      <c r="M367" s="12">
        <v>9.2650373924786228E-3</v>
      </c>
      <c r="N367" s="12">
        <v>-1.2157070410501255E-2</v>
      </c>
      <c r="O367" s="12">
        <v>-8.9105000544006958E-3</v>
      </c>
      <c r="P367">
        <f t="shared" si="15"/>
        <v>3.7414688104285443E-2</v>
      </c>
      <c r="Q367">
        <f t="shared" si="16"/>
        <v>-4.9093487527637231E-2</v>
      </c>
      <c r="R367">
        <f t="shared" si="17"/>
        <v>-3.598297192618586E-2</v>
      </c>
    </row>
    <row r="368" spans="1:18" ht="13">
      <c r="A368" s="8" t="s">
        <v>91</v>
      </c>
      <c r="B368" s="9">
        <v>2018</v>
      </c>
      <c r="C368" s="4">
        <v>-1.9243169613746045</v>
      </c>
      <c r="D368" s="10">
        <v>0.50348034937579544</v>
      </c>
      <c r="E368" s="11">
        <v>0.49</v>
      </c>
      <c r="F368" s="11">
        <v>0.1164</v>
      </c>
      <c r="G368" s="12">
        <v>0.1205871411399039</v>
      </c>
      <c r="H368" s="12">
        <v>-0.12423030896523078</v>
      </c>
      <c r="I368" s="12">
        <v>1.8599949524600375E-2</v>
      </c>
      <c r="J368" s="12">
        <v>5.9087699158552914E-2</v>
      </c>
      <c r="K368" s="12">
        <v>-6.0872851392963084E-2</v>
      </c>
      <c r="L368" s="12">
        <v>9.1139752670541842E-3</v>
      </c>
      <c r="M368" s="12">
        <v>1.4036343228684814E-2</v>
      </c>
      <c r="N368" s="12">
        <v>-1.4460407963552864E-2</v>
      </c>
      <c r="O368" s="12">
        <v>2.1650341246634837E-3</v>
      </c>
      <c r="P368">
        <f t="shared" si="15"/>
        <v>6.0713255951347175E-2</v>
      </c>
      <c r="Q368">
        <f t="shared" si="16"/>
        <v>-6.2547519360877407E-2</v>
      </c>
      <c r="R368">
        <f t="shared" si="17"/>
        <v>9.3647090850179568E-3</v>
      </c>
    </row>
    <row r="369" spans="1:18" ht="13">
      <c r="A369" s="8" t="s">
        <v>91</v>
      </c>
      <c r="B369" s="9">
        <v>2019</v>
      </c>
      <c r="C369" s="4">
        <v>-1.999279700133018</v>
      </c>
      <c r="D369" s="10">
        <v>0.49693928519238084</v>
      </c>
      <c r="E369" s="11">
        <v>0.49</v>
      </c>
      <c r="F369" s="11">
        <v>0.1096</v>
      </c>
      <c r="G369" s="12">
        <v>0.1167494555934331</v>
      </c>
      <c r="H369" s="12">
        <v>-0.11514198889865772</v>
      </c>
      <c r="I369" s="12">
        <v>-1.5402992619068722E-2</v>
      </c>
      <c r="J369" s="12">
        <v>5.7207233240782217E-2</v>
      </c>
      <c r="K369" s="12">
        <v>-5.641957456034228E-2</v>
      </c>
      <c r="L369" s="12">
        <v>-7.5474663833436737E-3</v>
      </c>
      <c r="M369" s="12">
        <v>1.2795740333040267E-2</v>
      </c>
      <c r="N369" s="12">
        <v>-1.2619561983292886E-2</v>
      </c>
      <c r="O369" s="12">
        <v>-1.688167991049932E-3</v>
      </c>
      <c r="P369">
        <f t="shared" si="15"/>
        <v>5.8017391009200253E-2</v>
      </c>
      <c r="Q369">
        <f t="shared" si="16"/>
        <v>-5.7218577658928016E-2</v>
      </c>
      <c r="R369">
        <f t="shared" si="17"/>
        <v>-7.6543521419435287E-3</v>
      </c>
    </row>
    <row r="370" spans="1:18" ht="13">
      <c r="A370" s="8" t="s">
        <v>91</v>
      </c>
      <c r="B370" s="9">
        <v>2020</v>
      </c>
      <c r="C370" s="4">
        <v>-1.6226377213073373</v>
      </c>
      <c r="D370" s="10">
        <v>0.5541880160021776</v>
      </c>
      <c r="E370" s="11">
        <v>0.49</v>
      </c>
      <c r="F370" s="11">
        <v>2.9000000000000002E-3</v>
      </c>
      <c r="G370" s="12">
        <v>0.15190567379557163</v>
      </c>
      <c r="H370" s="12">
        <v>-0.19514203178582998</v>
      </c>
      <c r="I370" s="12">
        <v>7.2778471052122096E-2</v>
      </c>
      <c r="J370" s="12">
        <v>7.4433780159830099E-2</v>
      </c>
      <c r="K370" s="12">
        <v>-9.5619595575056684E-2</v>
      </c>
      <c r="L370" s="12">
        <v>3.5661450815539827E-2</v>
      </c>
      <c r="M370" s="12">
        <v>4.4052645400715777E-4</v>
      </c>
      <c r="N370" s="12">
        <v>-5.6591189217890703E-4</v>
      </c>
      <c r="O370" s="12">
        <v>2.1105756605115409E-4</v>
      </c>
      <c r="P370">
        <f t="shared" si="15"/>
        <v>8.418430398024182E-2</v>
      </c>
      <c r="Q370">
        <f t="shared" si="16"/>
        <v>-0.108145375434023</v>
      </c>
      <c r="R370">
        <f t="shared" si="17"/>
        <v>4.0332956480047456E-2</v>
      </c>
    </row>
    <row r="371" spans="1:18" ht="13">
      <c r="A371" s="8" t="s">
        <v>91</v>
      </c>
      <c r="B371" s="9">
        <v>2021</v>
      </c>
      <c r="C371" s="4">
        <v>-1.3265066807910013</v>
      </c>
      <c r="D371" s="10">
        <v>0.6011396340343782</v>
      </c>
      <c r="E371" s="11">
        <v>0.49</v>
      </c>
      <c r="F371" s="11">
        <v>2.4000000000000002E-3</v>
      </c>
      <c r="G371" s="12">
        <v>0.10875072675041164</v>
      </c>
      <c r="H371" s="12">
        <v>-0.19391600497151285</v>
      </c>
      <c r="I371" s="12">
        <v>9.9904391118169511E-2</v>
      </c>
      <c r="J371" s="12">
        <v>5.3287856107701703E-2</v>
      </c>
      <c r="K371" s="12">
        <v>-9.5018842436041293E-2</v>
      </c>
      <c r="L371" s="12">
        <v>4.8953151647903058E-2</v>
      </c>
      <c r="M371" s="12">
        <v>2.6100174420098796E-4</v>
      </c>
      <c r="N371" s="12">
        <v>-4.6539841193163085E-4</v>
      </c>
      <c r="O371" s="12">
        <v>2.3977053868360685E-4</v>
      </c>
      <c r="P371">
        <f t="shared" si="15"/>
        <v>6.5374372079715123E-2</v>
      </c>
      <c r="Q371">
        <f t="shared" si="16"/>
        <v>-0.11657059626198389</v>
      </c>
      <c r="R371">
        <f t="shared" si="17"/>
        <v>6.0056489115203802E-2</v>
      </c>
    </row>
    <row r="372" spans="1:18" ht="13">
      <c r="A372" s="8" t="s">
        <v>92</v>
      </c>
      <c r="B372" s="9">
        <v>2017</v>
      </c>
      <c r="C372" s="4">
        <v>-0.11423589340407252</v>
      </c>
      <c r="D372" s="10">
        <v>0.79426177209827364</v>
      </c>
      <c r="E372" s="11">
        <v>0.309</v>
      </c>
      <c r="F372" s="11">
        <v>2.1000000000000001E-2</v>
      </c>
      <c r="G372" s="12">
        <v>4.6202369789446765E-2</v>
      </c>
      <c r="H372" s="12">
        <v>6.8009392363667348E-2</v>
      </c>
      <c r="I372" s="12">
        <v>-0.32588350472588812</v>
      </c>
      <c r="J372" s="12">
        <v>1.427653226493905E-2</v>
      </c>
      <c r="K372" s="12">
        <v>2.1014902240373209E-2</v>
      </c>
      <c r="L372" s="12">
        <v>-0.10069800296029943</v>
      </c>
      <c r="M372" s="12">
        <v>9.7024976557838212E-4</v>
      </c>
      <c r="N372" s="12">
        <v>1.4281972396370144E-3</v>
      </c>
      <c r="O372" s="12">
        <v>-6.8435535992436508E-3</v>
      </c>
      <c r="P372">
        <f t="shared" si="15"/>
        <v>3.6696776104105731E-2</v>
      </c>
      <c r="Q372">
        <f t="shared" si="16"/>
        <v>5.4017260498093224E-2</v>
      </c>
      <c r="R372">
        <f t="shared" si="17"/>
        <v>-0.25883680996118003</v>
      </c>
    </row>
    <row r="373" spans="1:18" ht="13">
      <c r="A373" s="8" t="s">
        <v>92</v>
      </c>
      <c r="B373" s="9">
        <v>2018</v>
      </c>
      <c r="C373" s="4">
        <v>-0.1857615681625068</v>
      </c>
      <c r="D373" s="10">
        <v>0.77576548038090665</v>
      </c>
      <c r="E373" s="11">
        <v>0.48699999999999999</v>
      </c>
      <c r="F373" s="11">
        <v>1.7000000000000001E-2</v>
      </c>
      <c r="G373" s="12">
        <v>-0.2683491786433731</v>
      </c>
      <c r="H373" s="12">
        <v>-2.0243165682019167E-2</v>
      </c>
      <c r="I373" s="12">
        <v>0.34863874821728169</v>
      </c>
      <c r="J373" s="12">
        <v>-0.13068604999932271</v>
      </c>
      <c r="K373" s="12">
        <v>-9.8584216871433344E-3</v>
      </c>
      <c r="L373" s="12">
        <v>0.16978707038181617</v>
      </c>
      <c r="M373" s="12">
        <v>-4.5619360369373429E-3</v>
      </c>
      <c r="N373" s="12">
        <v>-3.4413381659432584E-4</v>
      </c>
      <c r="O373" s="12">
        <v>5.9268587196937891E-3</v>
      </c>
      <c r="P373">
        <f t="shared" si="15"/>
        <v>-0.20817602948009806</v>
      </c>
      <c r="Q373">
        <f t="shared" si="16"/>
        <v>-1.5703949149741884E-2</v>
      </c>
      <c r="R373">
        <f t="shared" si="17"/>
        <v>0.2704619059901775</v>
      </c>
    </row>
    <row r="374" spans="1:18" ht="13">
      <c r="A374" s="8" t="s">
        <v>92</v>
      </c>
      <c r="B374" s="9">
        <v>2019</v>
      </c>
      <c r="C374" s="4">
        <v>0.15028236567502568</v>
      </c>
      <c r="D374" s="10">
        <v>0.80597442737614433</v>
      </c>
      <c r="E374" s="11">
        <v>0.52490000000000003</v>
      </c>
      <c r="F374" s="11">
        <v>1.21E-2</v>
      </c>
      <c r="G374" s="12">
        <v>-1.6409428900310444E-2</v>
      </c>
      <c r="H374" s="12">
        <v>-9.8121408541699207E-2</v>
      </c>
      <c r="I374" s="12">
        <v>0.1025907788715712</v>
      </c>
      <c r="J374" s="12">
        <v>-8.6133092297729537E-3</v>
      </c>
      <c r="K374" s="12">
        <v>-5.1503927343537918E-2</v>
      </c>
      <c r="L374" s="12">
        <v>5.3849899829687728E-2</v>
      </c>
      <c r="M374" s="12">
        <v>-1.9855408969375637E-4</v>
      </c>
      <c r="N374" s="12">
        <v>-1.1872690433545603E-3</v>
      </c>
      <c r="O374" s="12">
        <v>1.2413484243460114E-3</v>
      </c>
      <c r="P374">
        <f t="shared" si="15"/>
        <v>-1.3225580061497265E-2</v>
      </c>
      <c r="Q374">
        <f t="shared" si="16"/>
        <v>-7.9083346062736731E-2</v>
      </c>
      <c r="R374">
        <f t="shared" si="17"/>
        <v>8.2685544255087243E-2</v>
      </c>
    </row>
    <row r="375" spans="1:18" ht="13">
      <c r="A375" s="8" t="s">
        <v>92</v>
      </c>
      <c r="B375" s="9">
        <v>2020</v>
      </c>
      <c r="C375" s="4">
        <v>9.0523298295258597E-2</v>
      </c>
      <c r="D375" s="10">
        <v>0.77260105650403332</v>
      </c>
      <c r="E375" s="11">
        <v>0.17829999999999999</v>
      </c>
      <c r="F375" s="11">
        <v>1.21E-2</v>
      </c>
      <c r="G375" s="12">
        <v>0.28182040916329781</v>
      </c>
      <c r="H375" s="12">
        <v>-7.3550647971816666E-2</v>
      </c>
      <c r="I375" s="12">
        <v>-0.23625449645295288</v>
      </c>
      <c r="J375" s="12">
        <v>5.0248578953815994E-2</v>
      </c>
      <c r="K375" s="12">
        <v>-1.311408053337491E-2</v>
      </c>
      <c r="L375" s="12">
        <v>-4.2124176717561496E-2</v>
      </c>
      <c r="M375" s="12">
        <v>3.4100269508759037E-3</v>
      </c>
      <c r="N375" s="12">
        <v>-8.899628404589816E-4</v>
      </c>
      <c r="O375" s="12">
        <v>-2.8586794070807296E-3</v>
      </c>
      <c r="P375">
        <f t="shared" si="15"/>
        <v>0.21773474586396285</v>
      </c>
      <c r="Q375">
        <f t="shared" si="16"/>
        <v>-5.682530832958179E-2</v>
      </c>
      <c r="R375">
        <f t="shared" si="17"/>
        <v>-0.18253047356337979</v>
      </c>
    </row>
    <row r="376" spans="1:18" ht="13">
      <c r="A376" s="8" t="s">
        <v>92</v>
      </c>
      <c r="B376" s="9">
        <v>2021</v>
      </c>
      <c r="C376" s="4">
        <v>0.32288166248036088</v>
      </c>
      <c r="D376" s="10">
        <v>0.84431030022983355</v>
      </c>
      <c r="E376" s="11">
        <v>0.14860000000000001</v>
      </c>
      <c r="F376" s="11">
        <v>1.5300000000000001E-2</v>
      </c>
      <c r="G376" s="12">
        <v>-0.13669019392605461</v>
      </c>
      <c r="H376" s="12">
        <v>-0.15632477816294538</v>
      </c>
      <c r="I376" s="12">
        <v>0.33044380390633477</v>
      </c>
      <c r="J376" s="12">
        <v>-2.0312162817411716E-2</v>
      </c>
      <c r="K376" s="12">
        <v>-2.3229862035013683E-2</v>
      </c>
      <c r="L376" s="12">
        <v>4.9103949260481353E-2</v>
      </c>
      <c r="M376" s="12">
        <v>-2.0913599670686358E-3</v>
      </c>
      <c r="N376" s="12">
        <v>-2.3917691058930645E-3</v>
      </c>
      <c r="O376" s="12">
        <v>5.0557901997669219E-3</v>
      </c>
      <c r="P376">
        <f t="shared" si="15"/>
        <v>-0.11540893867218134</v>
      </c>
      <c r="Q376">
        <f t="shared" si="16"/>
        <v>-0.13198662038411854</v>
      </c>
      <c r="R376">
        <f t="shared" si="17"/>
        <v>0.27899710728524574</v>
      </c>
    </row>
    <row r="377" spans="1:18" ht="13">
      <c r="A377" s="8" t="s">
        <v>93</v>
      </c>
      <c r="B377" s="9">
        <v>2017</v>
      </c>
      <c r="C377" s="4">
        <v>-3.3219052845150721</v>
      </c>
      <c r="D377" s="10">
        <v>0.30082450386447818</v>
      </c>
      <c r="E377" s="11">
        <v>3.3099999999999997E-2</v>
      </c>
      <c r="F377" s="11">
        <v>1.3059999999999998E-4</v>
      </c>
      <c r="G377" s="12">
        <v>0.23243986767349595</v>
      </c>
      <c r="H377" s="12">
        <v>-0.1404314539466732</v>
      </c>
      <c r="I377" s="12">
        <v>-9.2567476079079211E-2</v>
      </c>
      <c r="J377" s="12">
        <v>7.6937596199927157E-3</v>
      </c>
      <c r="K377" s="12">
        <v>-4.6482811256348825E-3</v>
      </c>
      <c r="L377" s="12">
        <v>-3.0639834582175218E-3</v>
      </c>
      <c r="M377" s="12">
        <v>3.0356646718158564E-5</v>
      </c>
      <c r="N377" s="12">
        <v>-1.8340347885435517E-5</v>
      </c>
      <c r="O377" s="12">
        <v>-1.2089312375927743E-5</v>
      </c>
      <c r="P377">
        <f t="shared" si="15"/>
        <v>6.9923607871204371E-2</v>
      </c>
      <c r="Q377">
        <f t="shared" si="16"/>
        <v>-4.2245222460475282E-2</v>
      </c>
      <c r="R377">
        <f t="shared" si="17"/>
        <v>-2.7846565065475955E-2</v>
      </c>
    </row>
    <row r="378" spans="1:18" ht="13">
      <c r="A378" s="8" t="s">
        <v>93</v>
      </c>
      <c r="B378" s="9">
        <v>2018</v>
      </c>
      <c r="C378" s="4">
        <v>-3.7217678289662404</v>
      </c>
      <c r="D378" s="10">
        <v>0.25149638054620643</v>
      </c>
      <c r="E378" s="11">
        <v>3.4000000000000002E-2</v>
      </c>
      <c r="F378" s="11">
        <v>7.4200000000000001E-5</v>
      </c>
      <c r="G378" s="12">
        <v>0.19838704886190753</v>
      </c>
      <c r="H378" s="12">
        <v>-0.11681829840474448</v>
      </c>
      <c r="I378" s="12">
        <v>-0.19013272022642708</v>
      </c>
      <c r="J378" s="12">
        <v>6.7451596613048561E-3</v>
      </c>
      <c r="K378" s="12">
        <v>-3.9718221457613126E-3</v>
      </c>
      <c r="L378" s="12">
        <v>-6.4645124876985208E-3</v>
      </c>
      <c r="M378" s="12">
        <v>1.472031902555354E-5</v>
      </c>
      <c r="N378" s="12">
        <v>-8.6679177416320402E-6</v>
      </c>
      <c r="O378" s="12">
        <v>-1.410784784080089E-5</v>
      </c>
      <c r="P378">
        <f t="shared" si="15"/>
        <v>4.9893624736013144E-2</v>
      </c>
      <c r="Q378">
        <f t="shared" si="16"/>
        <v>-2.9379379230359916E-2</v>
      </c>
      <c r="R378">
        <f t="shared" si="17"/>
        <v>-4.7817690960350906E-2</v>
      </c>
    </row>
    <row r="379" spans="1:18" ht="13">
      <c r="A379" s="8" t="s">
        <v>93</v>
      </c>
      <c r="B379" s="9">
        <v>2019</v>
      </c>
      <c r="C379" s="4">
        <v>-4.0396679297270994</v>
      </c>
      <c r="D379" s="10">
        <v>0.20206665327517631</v>
      </c>
      <c r="E379" s="11">
        <v>4.0000000000000001E-3</v>
      </c>
      <c r="F379" s="11">
        <v>4.1E-5</v>
      </c>
      <c r="G379" s="12">
        <v>0.20394285575515381</v>
      </c>
      <c r="H379" s="12">
        <v>-7.5944385537254744E-2</v>
      </c>
      <c r="I379" s="12">
        <v>-0.16385201448918515</v>
      </c>
      <c r="J379" s="12">
        <v>8.1577142302061525E-4</v>
      </c>
      <c r="K379" s="12">
        <v>-3.0377754214901896E-4</v>
      </c>
      <c r="L379" s="12">
        <v>-6.5540805795674065E-4</v>
      </c>
      <c r="M379" s="12">
        <v>8.361657085961307E-6</v>
      </c>
      <c r="N379" s="12">
        <v>-3.1137198070274446E-6</v>
      </c>
      <c r="O379" s="12">
        <v>-6.7179325940565911E-6</v>
      </c>
      <c r="P379">
        <f t="shared" si="15"/>
        <v>4.121005032182596E-2</v>
      </c>
      <c r="Q379">
        <f t="shared" si="16"/>
        <v>-1.5345827820552769E-2</v>
      </c>
      <c r="R379">
        <f t="shared" si="17"/>
        <v>-3.3109028200225342E-2</v>
      </c>
    </row>
    <row r="380" spans="1:18" ht="13">
      <c r="A380" s="8" t="s">
        <v>93</v>
      </c>
      <c r="B380" s="9">
        <v>2020</v>
      </c>
      <c r="C380" s="4">
        <v>-3.6475085463079959</v>
      </c>
      <c r="D380" s="10">
        <v>0.21688130058663088</v>
      </c>
      <c r="E380" s="11">
        <v>4.0000000000000001E-3</v>
      </c>
      <c r="F380" s="11">
        <v>0</v>
      </c>
      <c r="G380" s="12">
        <v>0.11597192778175051</v>
      </c>
      <c r="H380" s="12">
        <v>1.5683042127312191E-3</v>
      </c>
      <c r="I380" s="12">
        <v>-0.10549657956853836</v>
      </c>
      <c r="J380" s="12">
        <v>4.6388771112700208E-4</v>
      </c>
      <c r="K380" s="12">
        <v>6.2732168509248764E-6</v>
      </c>
      <c r="L380" s="12">
        <v>-4.2198631827415346E-4</v>
      </c>
      <c r="M380" s="12">
        <v>0</v>
      </c>
      <c r="N380" s="12">
        <v>0</v>
      </c>
      <c r="O380" s="12">
        <v>0</v>
      </c>
      <c r="P380">
        <f t="shared" si="15"/>
        <v>2.5152142528844883E-2</v>
      </c>
      <c r="Q380">
        <f t="shared" si="16"/>
        <v>3.4013585737263901E-4</v>
      </c>
      <c r="R380">
        <f t="shared" si="17"/>
        <v>-2.288023538426559E-2</v>
      </c>
    </row>
    <row r="381" spans="1:18" ht="13">
      <c r="A381" s="8" t="s">
        <v>93</v>
      </c>
      <c r="B381" s="9">
        <v>2021</v>
      </c>
      <c r="C381" s="4">
        <v>-2.8950077726356938</v>
      </c>
      <c r="D381" s="10">
        <v>0.33738721794249876</v>
      </c>
      <c r="E381" s="11">
        <v>2.5000000000000001E-2</v>
      </c>
      <c r="F381" s="11">
        <v>0.9575999999999999</v>
      </c>
      <c r="G381" s="12">
        <v>9.6420034158511178E-2</v>
      </c>
      <c r="H381" s="12">
        <v>-8.5758861426971617E-2</v>
      </c>
      <c r="I381" s="12">
        <v>-9.8297444637148006E-3</v>
      </c>
      <c r="J381" s="12">
        <v>2.4105008539627797E-3</v>
      </c>
      <c r="K381" s="12">
        <v>-2.1439715356742907E-3</v>
      </c>
      <c r="L381" s="12">
        <v>-2.4574361159287003E-4</v>
      </c>
      <c r="M381" s="12">
        <v>9.2331824710190288E-2</v>
      </c>
      <c r="N381" s="12">
        <v>-8.2122685702468015E-2</v>
      </c>
      <c r="O381" s="12">
        <v>-9.4129632984532915E-3</v>
      </c>
      <c r="P381">
        <f t="shared" si="15"/>
        <v>3.2530887078660788E-2</v>
      </c>
      <c r="Q381">
        <f t="shared" si="16"/>
        <v>-2.8933943670762224E-2</v>
      </c>
      <c r="R381">
        <f t="shared" si="17"/>
        <v>-3.316430137698416E-3</v>
      </c>
    </row>
    <row r="382" spans="1:18" ht="13">
      <c r="A382" s="8" t="s">
        <v>94</v>
      </c>
      <c r="B382" s="9">
        <v>2017</v>
      </c>
      <c r="C382" s="4">
        <v>-4.0819385807068258</v>
      </c>
      <c r="D382" s="10">
        <v>0.26876444241577041</v>
      </c>
      <c r="E382" s="11">
        <v>0.25650000000000001</v>
      </c>
      <c r="F382" s="11">
        <v>0.18130000000000002</v>
      </c>
      <c r="G382" s="12">
        <v>0.13382592074858071</v>
      </c>
      <c r="H382" s="12">
        <v>9.1575614070122394E-2</v>
      </c>
      <c r="I382" s="12">
        <v>-0.2348158502838559</v>
      </c>
      <c r="J382" s="12">
        <v>3.4326348672010953E-2</v>
      </c>
      <c r="K382" s="12">
        <v>2.3489145008986394E-2</v>
      </c>
      <c r="L382" s="12">
        <v>-6.0230265597809043E-2</v>
      </c>
      <c r="M382" s="12">
        <v>2.4262639431717685E-2</v>
      </c>
      <c r="N382" s="12">
        <v>1.6602658830913192E-2</v>
      </c>
      <c r="O382" s="12">
        <v>-4.257211365646308E-2</v>
      </c>
      <c r="P382">
        <f t="shared" si="15"/>
        <v>3.5967648970769373E-2</v>
      </c>
      <c r="Q382">
        <f t="shared" si="16"/>
        <v>2.4612268854438225E-2</v>
      </c>
      <c r="R382">
        <f t="shared" si="17"/>
        <v>-6.3110151071925552E-2</v>
      </c>
    </row>
    <row r="383" spans="1:18" ht="13">
      <c r="A383" s="8" t="s">
        <v>94</v>
      </c>
      <c r="B383" s="9">
        <v>2018</v>
      </c>
      <c r="C383" s="4">
        <v>-4.0763070682754714</v>
      </c>
      <c r="D383" s="10">
        <v>0.24773176689542864</v>
      </c>
      <c r="E383" s="11">
        <v>0.2326</v>
      </c>
      <c r="F383" s="11">
        <v>0.11149999999999997</v>
      </c>
      <c r="G383" s="12">
        <v>0.13559962777713155</v>
      </c>
      <c r="H383" s="12">
        <v>0.16427242061184136</v>
      </c>
      <c r="I383" s="12">
        <v>-0.25282075142491567</v>
      </c>
      <c r="J383" s="12">
        <v>3.15404734209608E-2</v>
      </c>
      <c r="K383" s="12">
        <v>3.8209765034314301E-2</v>
      </c>
      <c r="L383" s="12">
        <v>-5.8806106781435385E-2</v>
      </c>
      <c r="M383" s="12">
        <v>1.5119358497150164E-2</v>
      </c>
      <c r="N383" s="12">
        <v>1.8316374898220307E-2</v>
      </c>
      <c r="O383" s="12">
        <v>-2.818951378387809E-2</v>
      </c>
      <c r="P383">
        <f t="shared" si="15"/>
        <v>3.3592335379591241E-2</v>
      </c>
      <c r="Q383">
        <f t="shared" si="16"/>
        <v>4.0695497010360487E-2</v>
      </c>
      <c r="R383">
        <f t="shared" si="17"/>
        <v>-6.2631731458324319E-2</v>
      </c>
    </row>
    <row r="384" spans="1:18" ht="13">
      <c r="A384" s="8" t="s">
        <v>94</v>
      </c>
      <c r="B384" s="9">
        <v>2019</v>
      </c>
      <c r="C384" s="4">
        <v>-3.5704879785562293</v>
      </c>
      <c r="D384" s="10">
        <v>0.28150653105477824</v>
      </c>
      <c r="E384" s="11">
        <v>0.21049999999999999</v>
      </c>
      <c r="F384" s="11">
        <v>0.1507</v>
      </c>
      <c r="G384" s="12">
        <v>0.17832619133667199</v>
      </c>
      <c r="H384" s="12">
        <v>-0.12948525995146884</v>
      </c>
      <c r="I384" s="12">
        <v>-7.0292735814962051E-2</v>
      </c>
      <c r="J384" s="12">
        <v>3.7537663276369454E-2</v>
      </c>
      <c r="K384" s="12">
        <v>-2.7256647219784189E-2</v>
      </c>
      <c r="L384" s="12">
        <v>-1.4796620889049511E-2</v>
      </c>
      <c r="M384" s="12">
        <v>2.6873757034436469E-2</v>
      </c>
      <c r="N384" s="12">
        <v>-1.9513428674686355E-2</v>
      </c>
      <c r="O384" s="12">
        <v>-1.0593115287314782E-2</v>
      </c>
      <c r="P384">
        <f t="shared" si="15"/>
        <v>5.019998751939718E-2</v>
      </c>
      <c r="Q384">
        <f t="shared" si="16"/>
        <v>-3.6450946351664196E-2</v>
      </c>
      <c r="R384">
        <f t="shared" si="17"/>
        <v>-1.9787864217619938E-2</v>
      </c>
    </row>
    <row r="385" spans="1:18" ht="13">
      <c r="A385" s="8" t="s">
        <v>94</v>
      </c>
      <c r="B385" s="9">
        <v>2020</v>
      </c>
      <c r="C385" s="4">
        <v>-3.3779770799372422</v>
      </c>
      <c r="D385" s="10">
        <v>0.32174196459910748</v>
      </c>
      <c r="E385" s="11">
        <v>0.19819999999999999</v>
      </c>
      <c r="F385" s="11">
        <v>0.11310000000000001</v>
      </c>
      <c r="G385" s="12">
        <v>0.17948653662939376</v>
      </c>
      <c r="H385" s="12">
        <v>8.7499373213658933E-3</v>
      </c>
      <c r="I385" s="12">
        <v>-0.20819335105049391</v>
      </c>
      <c r="J385" s="12">
        <v>3.5574231559945844E-2</v>
      </c>
      <c r="K385" s="12">
        <v>1.7342375770947199E-3</v>
      </c>
      <c r="L385" s="12">
        <v>-4.1263922178207894E-2</v>
      </c>
      <c r="M385" s="12">
        <v>2.0299927292784434E-2</v>
      </c>
      <c r="N385" s="12">
        <v>9.8961791104648254E-4</v>
      </c>
      <c r="O385" s="12">
        <v>-2.3546668003810865E-2</v>
      </c>
      <c r="P385">
        <f t="shared" si="15"/>
        <v>5.7748350914230813E-2</v>
      </c>
      <c r="Q385">
        <f t="shared" si="16"/>
        <v>2.8152220238953146E-3</v>
      </c>
      <c r="R385">
        <f t="shared" si="17"/>
        <v>-6.6984537783457573E-2</v>
      </c>
    </row>
    <row r="386" spans="1:18" ht="13">
      <c r="A386" s="8" t="s">
        <v>94</v>
      </c>
      <c r="B386" s="9">
        <v>2021</v>
      </c>
      <c r="C386" s="4">
        <v>-3.2971271258995456</v>
      </c>
      <c r="D386" s="10">
        <v>0.30335721972858753</v>
      </c>
      <c r="E386" s="11">
        <v>0.25119999999999998</v>
      </c>
      <c r="F386" s="11">
        <v>0.11280000000000001</v>
      </c>
      <c r="G386" s="12">
        <v>9.0164579888180163E-2</v>
      </c>
      <c r="H386" s="12">
        <v>0.10048035278368375</v>
      </c>
      <c r="I386" s="12">
        <v>-0.17124707982255818</v>
      </c>
      <c r="J386" s="12">
        <v>2.2649342467910855E-2</v>
      </c>
      <c r="K386" s="12">
        <v>2.5240664619261357E-2</v>
      </c>
      <c r="L386" s="12">
        <v>-4.301726645142661E-2</v>
      </c>
      <c r="M386" s="12">
        <v>1.0170564611386724E-2</v>
      </c>
      <c r="N386" s="12">
        <v>1.1334183793999529E-2</v>
      </c>
      <c r="O386" s="12">
        <v>-1.9316670603984565E-2</v>
      </c>
      <c r="P386">
        <f t="shared" si="15"/>
        <v>2.7352076272874455E-2</v>
      </c>
      <c r="Q386">
        <f t="shared" si="16"/>
        <v>3.0481440457805944E-2</v>
      </c>
      <c r="R386">
        <f t="shared" si="17"/>
        <v>-5.1949038021610751E-2</v>
      </c>
    </row>
    <row r="387" spans="1:18" ht="13">
      <c r="A387" s="8" t="s">
        <v>95</v>
      </c>
      <c r="B387" s="9">
        <v>2017</v>
      </c>
      <c r="C387" s="4">
        <v>-3.716168919926941</v>
      </c>
      <c r="D387" s="10">
        <v>0.20534664568524247</v>
      </c>
      <c r="E387" s="11">
        <v>0.33189999999999997</v>
      </c>
      <c r="F387" s="11">
        <v>2.8E-3</v>
      </c>
      <c r="G387" s="12">
        <v>0.14699055232996305</v>
      </c>
      <c r="H387" s="12">
        <v>2.7854649375079134E-3</v>
      </c>
      <c r="I387" s="12">
        <v>-5.6324271528569107E-2</v>
      </c>
      <c r="J387" s="12">
        <v>4.8786164318314736E-2</v>
      </c>
      <c r="K387" s="12">
        <v>9.2449581275887637E-4</v>
      </c>
      <c r="L387" s="12">
        <v>-1.8694025720332085E-2</v>
      </c>
      <c r="M387" s="12">
        <v>4.1157354652389654E-4</v>
      </c>
      <c r="N387" s="12">
        <v>7.7993018250221569E-6</v>
      </c>
      <c r="O387" s="12">
        <v>-1.577079602799935E-4</v>
      </c>
      <c r="P387">
        <f t="shared" ref="P387:P450" si="18">G387*D387</f>
        <v>3.0184016868379016E-2</v>
      </c>
      <c r="Q387">
        <f t="shared" ref="Q387:Q450" si="19">H387*D387</f>
        <v>5.7198588159110351E-4</v>
      </c>
      <c r="R387">
        <f t="shared" ref="R387:R450" si="20">I387*D387</f>
        <v>-1.156600022905647E-2</v>
      </c>
    </row>
    <row r="388" spans="1:18" ht="13">
      <c r="A388" s="8" t="s">
        <v>95</v>
      </c>
      <c r="B388" s="9">
        <v>2018</v>
      </c>
      <c r="C388" s="4">
        <v>-1.9501620749276736</v>
      </c>
      <c r="D388" s="10">
        <v>0.44779110939879274</v>
      </c>
      <c r="E388" s="11">
        <v>0.37090000000000001</v>
      </c>
      <c r="F388" s="11">
        <v>5.1000000000000004E-3</v>
      </c>
      <c r="G388" s="12">
        <v>3.2362815785128514E-2</v>
      </c>
      <c r="H388" s="12">
        <v>-0.4462454363659713</v>
      </c>
      <c r="I388" s="12">
        <v>0.50249967894031955</v>
      </c>
      <c r="J388" s="12">
        <v>1.2003368374704166E-2</v>
      </c>
      <c r="K388" s="12">
        <v>-0.16551243234813875</v>
      </c>
      <c r="L388" s="12">
        <v>0.18637713091896452</v>
      </c>
      <c r="M388" s="12">
        <v>1.6505036050415545E-4</v>
      </c>
      <c r="N388" s="12">
        <v>-2.275851725466454E-3</v>
      </c>
      <c r="O388" s="12">
        <v>2.5627483625956298E-3</v>
      </c>
      <c r="P388">
        <f t="shared" si="18"/>
        <v>1.4491781183691458E-2</v>
      </c>
      <c r="Q388">
        <f t="shared" si="19"/>
        <v>-0.19982473901446665</v>
      </c>
      <c r="R388">
        <f t="shared" si="20"/>
        <v>0.22501488870522285</v>
      </c>
    </row>
    <row r="389" spans="1:18" ht="13">
      <c r="A389" s="8" t="s">
        <v>95</v>
      </c>
      <c r="B389" s="9">
        <v>2019</v>
      </c>
      <c r="C389" s="4">
        <v>-0.97309048410602339</v>
      </c>
      <c r="D389" s="10">
        <v>0.61857961148683616</v>
      </c>
      <c r="E389" s="11">
        <v>0.36380000000000001</v>
      </c>
      <c r="F389" s="11">
        <v>3.5600000000000007E-2</v>
      </c>
      <c r="G389" s="12">
        <v>-4.9202894479256916E-2</v>
      </c>
      <c r="H389" s="12">
        <v>-0.39065859161760225</v>
      </c>
      <c r="I389" s="12">
        <v>0.36537773427450237</v>
      </c>
      <c r="J389" s="12">
        <v>-1.7900013011553667E-2</v>
      </c>
      <c r="K389" s="12">
        <v>-0.14212159563048371</v>
      </c>
      <c r="L389" s="12">
        <v>0.13292441972906396</v>
      </c>
      <c r="M389" s="12">
        <v>-1.7516230434615465E-3</v>
      </c>
      <c r="N389" s="12">
        <v>-1.3907445861586643E-2</v>
      </c>
      <c r="O389" s="12">
        <v>1.3007447340172286E-2</v>
      </c>
      <c r="P389">
        <f t="shared" si="18"/>
        <v>-3.0435907351006538E-2</v>
      </c>
      <c r="Q389">
        <f t="shared" si="19"/>
        <v>-0.24165343982681098</v>
      </c>
      <c r="R389">
        <f t="shared" si="20"/>
        <v>0.22601521691346213</v>
      </c>
    </row>
    <row r="390" spans="1:18" ht="13">
      <c r="A390" s="8" t="s">
        <v>95</v>
      </c>
      <c r="B390" s="9">
        <v>2020</v>
      </c>
      <c r="C390" s="4">
        <v>-1.3202379037855294</v>
      </c>
      <c r="D390" s="10">
        <v>0.55385682178690376</v>
      </c>
      <c r="E390" s="11">
        <v>0.36599999999999999</v>
      </c>
      <c r="F390" s="11">
        <v>8.1799999999999984E-2</v>
      </c>
      <c r="G390" s="12">
        <v>5.4104470411456933E-2</v>
      </c>
      <c r="H390" s="12">
        <v>-0.12056435583698159</v>
      </c>
      <c r="I390" s="12">
        <v>7.0334782345804966E-2</v>
      </c>
      <c r="J390" s="12">
        <v>1.9802236170593238E-2</v>
      </c>
      <c r="K390" s="12">
        <v>-4.4126554236335262E-2</v>
      </c>
      <c r="L390" s="12">
        <v>2.5742530338564617E-2</v>
      </c>
      <c r="M390" s="12">
        <v>4.4257456796571761E-3</v>
      </c>
      <c r="N390" s="12">
        <v>-9.862164307465093E-3</v>
      </c>
      <c r="O390" s="12">
        <v>5.7533851958868447E-3</v>
      </c>
      <c r="P390">
        <f t="shared" si="18"/>
        <v>2.9966130026553111E-2</v>
      </c>
      <c r="Q390">
        <f t="shared" si="19"/>
        <v>-6.6775390944655968E-2</v>
      </c>
      <c r="R390">
        <f t="shared" si="20"/>
        <v>3.8955399011121168E-2</v>
      </c>
    </row>
    <row r="391" spans="1:18" ht="13">
      <c r="A391" s="8" t="s">
        <v>95</v>
      </c>
      <c r="B391" s="9">
        <v>2021</v>
      </c>
      <c r="C391" s="4">
        <v>-0.43152940733653128</v>
      </c>
      <c r="D391" s="10">
        <v>0.70032984090027162</v>
      </c>
      <c r="E391" s="11">
        <v>0.375</v>
      </c>
      <c r="F391" s="11">
        <v>1.2690000000000007E-2</v>
      </c>
      <c r="G391" s="12">
        <v>0.20384311952202733</v>
      </c>
      <c r="H391" s="12">
        <v>-0.47170616098544976</v>
      </c>
      <c r="I391" s="12">
        <v>0.27705432994352458</v>
      </c>
      <c r="J391" s="12">
        <v>7.6441169820760241E-2</v>
      </c>
      <c r="K391" s="12">
        <v>-0.17688981036954365</v>
      </c>
      <c r="L391" s="12">
        <v>0.10389537372882171</v>
      </c>
      <c r="M391" s="12">
        <v>2.5867691867345281E-3</v>
      </c>
      <c r="N391" s="12">
        <v>-5.9859511829053608E-3</v>
      </c>
      <c r="O391" s="12">
        <v>3.5158194469833287E-3</v>
      </c>
      <c r="P391">
        <f t="shared" si="18"/>
        <v>0.14275741946347645</v>
      </c>
      <c r="Q391">
        <f t="shared" si="19"/>
        <v>-0.33034990067461795</v>
      </c>
      <c r="R391">
        <f t="shared" si="20"/>
        <v>0.19402941481007993</v>
      </c>
    </row>
    <row r="392" spans="1:18" ht="13">
      <c r="A392" s="8" t="s">
        <v>96</v>
      </c>
      <c r="B392" s="9">
        <v>2017</v>
      </c>
      <c r="C392" s="4">
        <v>-1.4528341208992051</v>
      </c>
      <c r="D392" s="10">
        <v>0.55258382694598196</v>
      </c>
      <c r="E392" s="11">
        <v>0.1176</v>
      </c>
      <c r="F392" s="11">
        <v>2.5000000000000001E-4</v>
      </c>
      <c r="G392" s="12">
        <v>-2.2171692177556665E-3</v>
      </c>
      <c r="H392" s="12">
        <v>-0.17876444593660684</v>
      </c>
      <c r="I392" s="12">
        <v>4.9143980832495805E-2</v>
      </c>
      <c r="J392" s="12">
        <v>-2.607391000080664E-4</v>
      </c>
      <c r="K392" s="12">
        <v>-2.1022698842144964E-2</v>
      </c>
      <c r="L392" s="12">
        <v>5.7793321459015069E-3</v>
      </c>
      <c r="M392" s="12">
        <v>-5.5429230443891666E-7</v>
      </c>
      <c r="N392" s="12">
        <v>-4.4691111484151713E-5</v>
      </c>
      <c r="O392" s="12">
        <v>1.2285995208123951E-5</v>
      </c>
      <c r="P392">
        <f t="shared" si="18"/>
        <v>-1.2251718513342554E-3</v>
      </c>
      <c r="Q392">
        <f t="shared" si="19"/>
        <v>-9.8782341657528305E-2</v>
      </c>
      <c r="R392">
        <f t="shared" si="20"/>
        <v>2.7156168999780517E-2</v>
      </c>
    </row>
    <row r="393" spans="1:18" ht="13">
      <c r="A393" s="8" t="s">
        <v>96</v>
      </c>
      <c r="B393" s="9">
        <v>2018</v>
      </c>
      <c r="C393" s="4">
        <v>-1.5720730211965452</v>
      </c>
      <c r="D393" s="10">
        <v>0.53816921588102851</v>
      </c>
      <c r="E393" s="11">
        <v>0.15429999999999999</v>
      </c>
      <c r="F393" s="11">
        <v>2.0000000000000001E-4</v>
      </c>
      <c r="G393" s="12">
        <v>2.8608719803275909E-2</v>
      </c>
      <c r="H393" s="12">
        <v>-7.9351798539876797E-2</v>
      </c>
      <c r="I393" s="12">
        <v>4.0666245711446211E-2</v>
      </c>
      <c r="J393" s="12">
        <v>4.4143254656454729E-3</v>
      </c>
      <c r="K393" s="12">
        <v>-1.2243982514702989E-2</v>
      </c>
      <c r="L393" s="12">
        <v>6.2748017132761499E-3</v>
      </c>
      <c r="M393" s="12">
        <v>5.7217439606551817E-6</v>
      </c>
      <c r="N393" s="12">
        <v>-1.5870359707975359E-5</v>
      </c>
      <c r="O393" s="12">
        <v>8.1332491422892423E-6</v>
      </c>
      <c r="P393">
        <f t="shared" si="18"/>
        <v>1.5396332303889048E-2</v>
      </c>
      <c r="Q393">
        <f t="shared" si="19"/>
        <v>-4.270469519895484E-2</v>
      </c>
      <c r="R393">
        <f t="shared" si="20"/>
        <v>2.1885321567354246E-2</v>
      </c>
    </row>
    <row r="394" spans="1:18" ht="13">
      <c r="A394" s="8" t="s">
        <v>96</v>
      </c>
      <c r="B394" s="9">
        <v>2019</v>
      </c>
      <c r="C394" s="4">
        <v>-1.1109852369315387</v>
      </c>
      <c r="D394" s="10">
        <v>0.59189762730741158</v>
      </c>
      <c r="E394" s="11">
        <v>0.15210000000000001</v>
      </c>
      <c r="F394" s="11">
        <v>0.17899999999999999</v>
      </c>
      <c r="G394" s="12">
        <v>5.4928717632274048E-2</v>
      </c>
      <c r="H394" s="12">
        <v>-0.18502139035421072</v>
      </c>
      <c r="I394" s="12">
        <v>0.12996380383333209</v>
      </c>
      <c r="J394" s="12">
        <v>8.3546579518688838E-3</v>
      </c>
      <c r="K394" s="12">
        <v>-2.8141753472875453E-2</v>
      </c>
      <c r="L394" s="12">
        <v>1.9767494563049812E-2</v>
      </c>
      <c r="M394" s="12">
        <v>9.8322404561770535E-3</v>
      </c>
      <c r="N394" s="12">
        <v>-3.311882887340372E-2</v>
      </c>
      <c r="O394" s="12">
        <v>2.3263520886166442E-2</v>
      </c>
      <c r="P394">
        <f t="shared" si="18"/>
        <v>3.2512177637581789E-2</v>
      </c>
      <c r="Q394">
        <f t="shared" si="19"/>
        <v>-0.10951372195177574</v>
      </c>
      <c r="R394">
        <f t="shared" si="20"/>
        <v>7.6925267124795138E-2</v>
      </c>
    </row>
    <row r="395" spans="1:18" ht="13">
      <c r="A395" s="8" t="s">
        <v>96</v>
      </c>
      <c r="B395" s="9">
        <v>2020</v>
      </c>
      <c r="C395" s="4">
        <v>-0.49178872625263165</v>
      </c>
      <c r="D395" s="10">
        <v>0.69743839240367866</v>
      </c>
      <c r="E395" s="11">
        <v>0.129</v>
      </c>
      <c r="F395" s="11">
        <v>0.12744</v>
      </c>
      <c r="G395" s="12">
        <v>1.3749217831850145E-2</v>
      </c>
      <c r="H395" s="12">
        <v>-0.10974993085246845</v>
      </c>
      <c r="I395" s="12">
        <v>0.11952855194572498</v>
      </c>
      <c r="J395" s="12">
        <v>1.7736491003086689E-3</v>
      </c>
      <c r="K395" s="12">
        <v>-1.4157741079968431E-2</v>
      </c>
      <c r="L395" s="12">
        <v>1.5419183200998523E-2</v>
      </c>
      <c r="M395" s="12">
        <v>1.7522003204909825E-3</v>
      </c>
      <c r="N395" s="12">
        <v>-1.398653118783858E-2</v>
      </c>
      <c r="O395" s="12">
        <v>1.5232718659963191E-2</v>
      </c>
      <c r="P395">
        <f t="shared" si="18"/>
        <v>9.5892323814535576E-3</v>
      </c>
      <c r="Q395">
        <f t="shared" si="19"/>
        <v>-7.6543815340160498E-2</v>
      </c>
      <c r="R395">
        <f t="shared" si="20"/>
        <v>8.3363801115366024E-2</v>
      </c>
    </row>
    <row r="396" spans="1:18" ht="13">
      <c r="A396" s="8" t="s">
        <v>96</v>
      </c>
      <c r="B396" s="9">
        <v>2021</v>
      </c>
      <c r="C396" s="4">
        <v>-0.63717785210419386</v>
      </c>
      <c r="D396" s="10">
        <v>0.66501033268044196</v>
      </c>
      <c r="E396" s="11">
        <v>8.5099999999999995E-2</v>
      </c>
      <c r="F396" s="11">
        <v>0.24729999999999996</v>
      </c>
      <c r="G396" s="12">
        <v>-4.108165881807864E-2</v>
      </c>
      <c r="H396" s="12">
        <v>-9.440744181789805E-2</v>
      </c>
      <c r="I396" s="12">
        <v>0.19023065288322233</v>
      </c>
      <c r="J396" s="12">
        <v>-3.496049165418492E-3</v>
      </c>
      <c r="K396" s="12">
        <v>-8.0340732987031239E-3</v>
      </c>
      <c r="L396" s="12">
        <v>1.6188628560362218E-2</v>
      </c>
      <c r="M396" s="12">
        <v>-1.0159494225710846E-2</v>
      </c>
      <c r="N396" s="12">
        <v>-2.3346960361566183E-2</v>
      </c>
      <c r="O396" s="12">
        <v>4.7044040458020873E-2</v>
      </c>
      <c r="P396">
        <f t="shared" si="18"/>
        <v>-2.7319727597674887E-2</v>
      </c>
      <c r="Q396">
        <f t="shared" si="19"/>
        <v>-6.2781924290829849E-2</v>
      </c>
      <c r="R396">
        <f t="shared" si="20"/>
        <v>0.12650534975988936</v>
      </c>
    </row>
    <row r="397" spans="1:18" ht="13">
      <c r="A397" s="8" t="s">
        <v>97</v>
      </c>
      <c r="B397" s="9">
        <v>2017</v>
      </c>
      <c r="C397" s="4">
        <v>-1.1848249761447209</v>
      </c>
      <c r="D397" s="10">
        <v>0.62356603951208356</v>
      </c>
      <c r="E397" s="11">
        <v>9.1700000000000004E-2</v>
      </c>
      <c r="F397" s="11">
        <v>0.18840000000000001</v>
      </c>
      <c r="G397" s="12">
        <v>6.5831058272926551E-3</v>
      </c>
      <c r="H397" s="12">
        <v>-6.7310407897037258E-3</v>
      </c>
      <c r="I397" s="12">
        <v>3.9115348924781794E-2</v>
      </c>
      <c r="J397" s="12">
        <v>6.0367080436273652E-4</v>
      </c>
      <c r="K397" s="12">
        <v>-6.1723644041583169E-4</v>
      </c>
      <c r="L397" s="12">
        <v>3.5868774964024908E-3</v>
      </c>
      <c r="M397" s="12">
        <v>1.2402571378619363E-3</v>
      </c>
      <c r="N397" s="12">
        <v>-1.2681280847801821E-3</v>
      </c>
      <c r="O397" s="12">
        <v>7.3693317374288903E-3</v>
      </c>
      <c r="P397">
        <f t="shared" si="18"/>
        <v>4.1050012284137996E-3</v>
      </c>
      <c r="Q397">
        <f t="shared" si="19"/>
        <v>-4.19724844702984E-3</v>
      </c>
      <c r="R397">
        <f t="shared" si="20"/>
        <v>2.4391003213159419E-2</v>
      </c>
    </row>
    <row r="398" spans="1:18" ht="13">
      <c r="A398" s="8" t="s">
        <v>97</v>
      </c>
      <c r="B398" s="9">
        <v>2018</v>
      </c>
      <c r="C398" s="4">
        <v>-1.1961914431331444</v>
      </c>
      <c r="D398" s="10">
        <v>0.61534705039718707</v>
      </c>
      <c r="E398" s="11">
        <v>7.0099999999999996E-2</v>
      </c>
      <c r="F398" s="11">
        <v>0.18909999999999999</v>
      </c>
      <c r="G398" s="12">
        <v>-3.0402179103181839E-2</v>
      </c>
      <c r="H398" s="12">
        <v>-1.2165212484264444E-2</v>
      </c>
      <c r="I398" s="12">
        <v>7.6534487997569137E-2</v>
      </c>
      <c r="J398" s="12">
        <v>-2.1311927551330469E-3</v>
      </c>
      <c r="K398" s="12">
        <v>-8.5278139514693746E-4</v>
      </c>
      <c r="L398" s="12">
        <v>5.3650676086295958E-3</v>
      </c>
      <c r="M398" s="12">
        <v>-5.7490520684116853E-3</v>
      </c>
      <c r="N398" s="12">
        <v>-2.3004416807744063E-3</v>
      </c>
      <c r="O398" s="12">
        <v>1.4472671680340323E-2</v>
      </c>
      <c r="P398">
        <f t="shared" si="18"/>
        <v>-1.8707891236789943E-2</v>
      </c>
      <c r="Q398">
        <f t="shared" si="19"/>
        <v>-7.4858276196471622E-3</v>
      </c>
      <c r="R398">
        <f t="shared" si="20"/>
        <v>4.7095271442963084E-2</v>
      </c>
    </row>
    <row r="399" spans="1:18" ht="13">
      <c r="A399" s="8" t="s">
        <v>97</v>
      </c>
      <c r="B399" s="9">
        <v>2019</v>
      </c>
      <c r="C399" s="4">
        <v>-1.4978079972426315</v>
      </c>
      <c r="D399" s="10">
        <v>0.55938792172561824</v>
      </c>
      <c r="E399" s="11">
        <v>4.4200000000000003E-2</v>
      </c>
      <c r="F399" s="11">
        <v>0.19079999999999997</v>
      </c>
      <c r="G399" s="12">
        <v>0.16381785140509361</v>
      </c>
      <c r="H399" s="12">
        <v>-3.7504279807211147E-2</v>
      </c>
      <c r="I399" s="12">
        <v>-6.0496721009244379E-2</v>
      </c>
      <c r="J399" s="12">
        <v>7.2407490321051383E-3</v>
      </c>
      <c r="K399" s="12">
        <v>-1.6576891674787329E-3</v>
      </c>
      <c r="L399" s="12">
        <v>-2.6739550686086019E-3</v>
      </c>
      <c r="M399" s="12">
        <v>3.1256446048091857E-2</v>
      </c>
      <c r="N399" s="12">
        <v>-7.1558165872158859E-3</v>
      </c>
      <c r="O399" s="12">
        <v>-1.1542774368563826E-2</v>
      </c>
      <c r="P399">
        <f t="shared" si="18"/>
        <v>9.1637727439051464E-2</v>
      </c>
      <c r="Q399">
        <f t="shared" si="19"/>
        <v>-2.0979441137171914E-2</v>
      </c>
      <c r="R399">
        <f t="shared" si="20"/>
        <v>-3.3841135036575758E-2</v>
      </c>
    </row>
    <row r="400" spans="1:18" ht="13">
      <c r="A400" s="8" t="s">
        <v>97</v>
      </c>
      <c r="B400" s="9">
        <v>2020</v>
      </c>
      <c r="C400" s="4">
        <v>-1.8346465325508419</v>
      </c>
      <c r="D400" s="10">
        <v>0.52373585964497738</v>
      </c>
      <c r="E400" s="11">
        <v>3.8800000000000001E-2</v>
      </c>
      <c r="F400" s="11">
        <v>0.17429999999999995</v>
      </c>
      <c r="G400" s="12">
        <v>9.2613787399946829E-2</v>
      </c>
      <c r="H400" s="12">
        <v>-0.13668517588681811</v>
      </c>
      <c r="I400" s="12">
        <v>0.11605797914759135</v>
      </c>
      <c r="J400" s="12">
        <v>3.5934149511179371E-3</v>
      </c>
      <c r="K400" s="12">
        <v>-5.3033848244085427E-3</v>
      </c>
      <c r="L400" s="12">
        <v>4.5030495909265441E-3</v>
      </c>
      <c r="M400" s="12">
        <v>1.6142583143810729E-2</v>
      </c>
      <c r="N400" s="12">
        <v>-2.382422615707239E-2</v>
      </c>
      <c r="O400" s="12">
        <v>2.0228905765425166E-2</v>
      </c>
      <c r="P400">
        <f t="shared" si="18"/>
        <v>4.8505161558888329E-2</v>
      </c>
      <c r="Q400">
        <f t="shared" si="19"/>
        <v>-7.1586928093807622E-2</v>
      </c>
      <c r="R400">
        <f t="shared" si="20"/>
        <v>6.0783725477522615E-2</v>
      </c>
    </row>
    <row r="401" spans="1:18" ht="13">
      <c r="A401" s="8" t="s">
        <v>97</v>
      </c>
      <c r="B401" s="9">
        <v>2021</v>
      </c>
      <c r="C401" s="4">
        <v>-1.4387394569094463</v>
      </c>
      <c r="D401" s="10">
        <v>0.57235116044399592</v>
      </c>
      <c r="E401" s="11">
        <v>5.21E-2</v>
      </c>
      <c r="F401" s="11">
        <v>0.21349999999999997</v>
      </c>
      <c r="G401" s="12">
        <v>3.0397259546444313E-2</v>
      </c>
      <c r="H401" s="12">
        <v>-3.7933506824579105E-2</v>
      </c>
      <c r="I401" s="12">
        <v>5.5255191459981944E-2</v>
      </c>
      <c r="J401" s="12">
        <v>1.5836972223697487E-3</v>
      </c>
      <c r="K401" s="12">
        <v>-1.9763357055605714E-3</v>
      </c>
      <c r="L401" s="12">
        <v>2.8787954750650593E-3</v>
      </c>
      <c r="M401" s="12">
        <v>6.4898149131658598E-3</v>
      </c>
      <c r="N401" s="12">
        <v>-8.0988037070476374E-3</v>
      </c>
      <c r="O401" s="12">
        <v>1.1796983376706142E-2</v>
      </c>
      <c r="P401">
        <f t="shared" si="18"/>
        <v>1.7397906775724736E-2</v>
      </c>
      <c r="Q401">
        <f t="shared" si="19"/>
        <v>-2.171128665075809E-2</v>
      </c>
      <c r="R401">
        <f t="shared" si="20"/>
        <v>3.162537295267584E-2</v>
      </c>
    </row>
    <row r="402" spans="1:18" ht="13">
      <c r="A402" s="8" t="s">
        <v>98</v>
      </c>
      <c r="B402" s="9">
        <v>2017</v>
      </c>
      <c r="C402" s="4">
        <v>-0.9050249281587206</v>
      </c>
      <c r="D402" s="10">
        <v>0.64737746069493995</v>
      </c>
      <c r="E402" s="11">
        <v>0.14940000000000001</v>
      </c>
      <c r="F402" s="11">
        <v>0.12050000000000001</v>
      </c>
      <c r="G402" s="12">
        <v>4.4259479455674468E-2</v>
      </c>
      <c r="H402" s="12">
        <v>-9.5234949575020919E-3</v>
      </c>
      <c r="I402" s="12">
        <v>-4.2883251860659714E-2</v>
      </c>
      <c r="J402" s="12">
        <v>6.6123662306777657E-3</v>
      </c>
      <c r="K402" s="12">
        <v>-1.4228101466508126E-3</v>
      </c>
      <c r="L402" s="12">
        <v>-6.4067578279825618E-3</v>
      </c>
      <c r="M402" s="12">
        <v>5.3332672744087735E-3</v>
      </c>
      <c r="N402" s="12">
        <v>-1.1475811423790022E-3</v>
      </c>
      <c r="O402" s="12">
        <v>-5.1674318492094962E-3</v>
      </c>
      <c r="P402">
        <f t="shared" si="18"/>
        <v>2.8652589421694401E-2</v>
      </c>
      <c r="Q402">
        <f t="shared" si="19"/>
        <v>-6.1652959825287696E-3</v>
      </c>
      <c r="R402">
        <f t="shared" si="20"/>
        <v>-2.7761650695895444E-2</v>
      </c>
    </row>
    <row r="403" spans="1:18" ht="13">
      <c r="A403" s="8" t="s">
        <v>98</v>
      </c>
      <c r="B403" s="9">
        <v>2018</v>
      </c>
      <c r="C403" s="4">
        <v>-1.2876500131259045</v>
      </c>
      <c r="D403" s="10">
        <v>0.62342802299464717</v>
      </c>
      <c r="E403" s="11">
        <v>0.12609999999999999</v>
      </c>
      <c r="F403" s="11">
        <v>0.1099</v>
      </c>
      <c r="G403" s="12">
        <v>9.7103901372356957E-2</v>
      </c>
      <c r="H403" s="12">
        <v>-7.5593418227512445E-3</v>
      </c>
      <c r="I403" s="12">
        <v>-5.8802576508652678E-2</v>
      </c>
      <c r="J403" s="12">
        <v>1.2244801963054211E-2</v>
      </c>
      <c r="K403" s="12">
        <v>-9.5323300384893186E-4</v>
      </c>
      <c r="L403" s="12">
        <v>-7.4150048977411022E-3</v>
      </c>
      <c r="M403" s="12">
        <v>1.0671718760822029E-2</v>
      </c>
      <c r="N403" s="12">
        <v>-8.3077166632036174E-4</v>
      </c>
      <c r="O403" s="12">
        <v>-6.462403158300929E-3</v>
      </c>
      <c r="P403">
        <f t="shared" si="18"/>
        <v>6.0537293257635703E-2</v>
      </c>
      <c r="Q403">
        <f t="shared" si="19"/>
        <v>-4.7127055276985613E-3</v>
      </c>
      <c r="R403">
        <f t="shared" si="20"/>
        <v>-3.6659174019780819E-2</v>
      </c>
    </row>
    <row r="404" spans="1:18" ht="13">
      <c r="A404" s="8" t="s">
        <v>98</v>
      </c>
      <c r="B404" s="9">
        <v>2019</v>
      </c>
      <c r="C404" s="4">
        <v>-1.7408284657372568</v>
      </c>
      <c r="D404" s="10">
        <v>0.5301897977628548</v>
      </c>
      <c r="E404" s="11">
        <v>0.1348</v>
      </c>
      <c r="F404" s="11">
        <v>5.6202999999999996E-2</v>
      </c>
      <c r="G404" s="12">
        <v>0.19799998056346516</v>
      </c>
      <c r="H404" s="12">
        <v>-8.6589762777092103E-3</v>
      </c>
      <c r="I404" s="12">
        <v>-8.7930883682057162E-2</v>
      </c>
      <c r="J404" s="12">
        <v>2.6690397379955103E-2</v>
      </c>
      <c r="K404" s="12">
        <v>-1.1672300022352016E-3</v>
      </c>
      <c r="L404" s="12">
        <v>-1.1853083120341305E-2</v>
      </c>
      <c r="M404" s="12">
        <v>1.1128192907608431E-2</v>
      </c>
      <c r="N404" s="12">
        <v>-4.8666044373609071E-4</v>
      </c>
      <c r="O404" s="12">
        <v>-4.9419794555826584E-3</v>
      </c>
      <c r="P404">
        <f t="shared" si="18"/>
        <v>0.10497756965199277</v>
      </c>
      <c r="Q404">
        <f t="shared" si="19"/>
        <v>-4.5909008815120033E-3</v>
      </c>
      <c r="R404">
        <f t="shared" si="20"/>
        <v>-4.6620057436498996E-2</v>
      </c>
    </row>
    <row r="405" spans="1:18" ht="13">
      <c r="A405" s="8" t="s">
        <v>98</v>
      </c>
      <c r="B405" s="9">
        <v>2020</v>
      </c>
      <c r="C405" s="4">
        <v>-1.8474315872662177</v>
      </c>
      <c r="D405" s="10">
        <v>0.46153468706809841</v>
      </c>
      <c r="E405" s="11">
        <v>0.1036</v>
      </c>
      <c r="F405" s="11">
        <v>1E-3</v>
      </c>
      <c r="G405" s="12">
        <v>0.10453961841362786</v>
      </c>
      <c r="H405" s="12">
        <v>-1.9520931639938177E-2</v>
      </c>
      <c r="I405" s="12">
        <v>0.20274945002821415</v>
      </c>
      <c r="J405" s="12">
        <v>1.0830304467651845E-2</v>
      </c>
      <c r="K405" s="12">
        <v>-2.0223685178975951E-3</v>
      </c>
      <c r="L405" s="12">
        <v>2.1004843022922985E-2</v>
      </c>
      <c r="M405" s="12">
        <v>1.0453961841362785E-4</v>
      </c>
      <c r="N405" s="12">
        <v>-1.9520931639938179E-5</v>
      </c>
      <c r="O405" s="12">
        <v>2.0274945002821416E-4</v>
      </c>
      <c r="P405">
        <f t="shared" si="18"/>
        <v>4.8248660070752153E-2</v>
      </c>
      <c r="Q405">
        <f t="shared" si="19"/>
        <v>-9.0095870757166078E-3</v>
      </c>
      <c r="R405">
        <f t="shared" si="20"/>
        <v>9.3575903972000871E-2</v>
      </c>
    </row>
    <row r="406" spans="1:18" ht="13">
      <c r="A406" s="8" t="s">
        <v>98</v>
      </c>
      <c r="B406" s="9">
        <v>2021</v>
      </c>
      <c r="C406" s="4">
        <v>-3.7006549487625451</v>
      </c>
      <c r="D406" s="10">
        <v>0.15077715197370012</v>
      </c>
      <c r="E406" s="11">
        <v>8.3500000000000005E-2</v>
      </c>
      <c r="F406" s="11">
        <v>1.07E-3</v>
      </c>
      <c r="G406" s="12">
        <v>0.17795934153593271</v>
      </c>
      <c r="H406" s="12">
        <v>-3.6766661026372403E-2</v>
      </c>
      <c r="I406" s="12">
        <v>-0.44045057893591821</v>
      </c>
      <c r="J406" s="12">
        <v>1.4859605018250382E-2</v>
      </c>
      <c r="K406" s="12">
        <v>-3.0700161957020957E-3</v>
      </c>
      <c r="L406" s="12">
        <v>-3.6777623341149174E-2</v>
      </c>
      <c r="M406" s="12">
        <v>1.9041649544344799E-4</v>
      </c>
      <c r="N406" s="12">
        <v>-3.9340327298218468E-5</v>
      </c>
      <c r="O406" s="12">
        <v>-4.712821194614325E-4</v>
      </c>
      <c r="P406">
        <f t="shared" si="18"/>
        <v>2.683220268390293E-2</v>
      </c>
      <c r="Q406">
        <f t="shared" si="19"/>
        <v>-5.5435724371388695E-3</v>
      </c>
      <c r="R406">
        <f t="shared" si="20"/>
        <v>-6.6409883877125139E-2</v>
      </c>
    </row>
    <row r="407" spans="1:18" ht="13">
      <c r="A407" s="8" t="s">
        <v>99</v>
      </c>
      <c r="B407" s="9">
        <v>2017</v>
      </c>
      <c r="C407" s="4">
        <v>-2.4164942367945974</v>
      </c>
      <c r="D407" s="10">
        <v>0.37167639989301426</v>
      </c>
      <c r="E407" s="11">
        <v>0.48470000000000002</v>
      </c>
      <c r="F407" s="11">
        <v>1.4800000000000001E-2</v>
      </c>
      <c r="G407" s="12">
        <v>5.6050630489885067E-2</v>
      </c>
      <c r="H407" s="12">
        <v>-7.446936646349997E-2</v>
      </c>
      <c r="I407" s="12">
        <v>2.3416424443062838E-2</v>
      </c>
      <c r="J407" s="12">
        <v>2.7167740598447294E-2</v>
      </c>
      <c r="K407" s="12">
        <v>-3.6095301924858436E-2</v>
      </c>
      <c r="L407" s="12">
        <v>1.1349940927552558E-2</v>
      </c>
      <c r="M407" s="12">
        <v>8.2954933125029906E-4</v>
      </c>
      <c r="N407" s="12">
        <v>-1.1021466236597996E-3</v>
      </c>
      <c r="O407" s="12">
        <v>3.4656308175733E-4</v>
      </c>
      <c r="P407">
        <f t="shared" si="18"/>
        <v>2.0832696552214099E-2</v>
      </c>
      <c r="Q407">
        <f t="shared" si="19"/>
        <v>-2.767850602946724E-2</v>
      </c>
      <c r="R407">
        <f t="shared" si="20"/>
        <v>8.703332335364378E-3</v>
      </c>
    </row>
    <row r="408" spans="1:18" ht="13">
      <c r="A408" s="8" t="s">
        <v>99</v>
      </c>
      <c r="B408" s="9">
        <v>2018</v>
      </c>
      <c r="C408" s="4">
        <v>-3.1874963053548031</v>
      </c>
      <c r="D408" s="10">
        <v>0.34605961903273819</v>
      </c>
      <c r="E408" s="11">
        <v>0.44019999999999998</v>
      </c>
      <c r="F408" s="11">
        <v>8.5900000000000004E-2</v>
      </c>
      <c r="G408" s="12">
        <v>5.4616057996446338E-2</v>
      </c>
      <c r="H408" s="12">
        <v>0.10096193332171481</v>
      </c>
      <c r="I408" s="12">
        <v>-0.21633583932788866</v>
      </c>
      <c r="J408" s="12">
        <v>2.4041988730035678E-2</v>
      </c>
      <c r="K408" s="12">
        <v>4.4443443048218859E-2</v>
      </c>
      <c r="L408" s="12">
        <v>-9.5231036472136585E-2</v>
      </c>
      <c r="M408" s="12">
        <v>4.6915193818947406E-3</v>
      </c>
      <c r="N408" s="12">
        <v>8.6726300723353033E-3</v>
      </c>
      <c r="O408" s="12">
        <v>-1.8583248598265639E-2</v>
      </c>
      <c r="P408">
        <f t="shared" si="18"/>
        <v>1.8900412223320152E-2</v>
      </c>
      <c r="Q408">
        <f t="shared" si="19"/>
        <v>3.493884818212134E-2</v>
      </c>
      <c r="R408">
        <f t="shared" si="20"/>
        <v>-7.4865098140936809E-2</v>
      </c>
    </row>
    <row r="409" spans="1:18" ht="13">
      <c r="A409" s="8" t="s">
        <v>99</v>
      </c>
      <c r="B409" s="9">
        <v>2019</v>
      </c>
      <c r="C409" s="4">
        <v>-2.5744169996867305</v>
      </c>
      <c r="D409" s="10">
        <v>0.35105549357652394</v>
      </c>
      <c r="E409" s="11">
        <v>0.48770000000000002</v>
      </c>
      <c r="F409" s="11">
        <v>1.9599999999999999E-2</v>
      </c>
      <c r="G409" s="12">
        <v>0.10449104784528716</v>
      </c>
      <c r="H409" s="12">
        <v>-3.7214757838755483E-2</v>
      </c>
      <c r="I409" s="12">
        <v>-6.596007276744556E-2</v>
      </c>
      <c r="J409" s="12">
        <v>5.0960284034146555E-2</v>
      </c>
      <c r="K409" s="12">
        <v>-1.8149637397961049E-2</v>
      </c>
      <c r="L409" s="12">
        <v>-3.2168727488683199E-2</v>
      </c>
      <c r="M409" s="12">
        <v>2.0480245377676285E-3</v>
      </c>
      <c r="N409" s="12">
        <v>-7.2940925363960745E-4</v>
      </c>
      <c r="O409" s="12">
        <v>-1.2928174262419329E-3</v>
      </c>
      <c r="P409">
        <f t="shared" si="18"/>
        <v>3.6682156375655466E-2</v>
      </c>
      <c r="Q409">
        <f t="shared" si="19"/>
        <v>-1.306444518141512E-2</v>
      </c>
      <c r="R409">
        <f t="shared" si="20"/>
        <v>-2.3155645901719035E-2</v>
      </c>
    </row>
    <row r="410" spans="1:18" ht="13">
      <c r="A410" s="8" t="s">
        <v>99</v>
      </c>
      <c r="B410" s="9">
        <v>2020</v>
      </c>
      <c r="C410" s="4">
        <v>-2.6270144949950098</v>
      </c>
      <c r="D410" s="10">
        <v>0.3294114417146099</v>
      </c>
      <c r="E410" s="11">
        <v>0.49</v>
      </c>
      <c r="F410" s="11">
        <v>2.2000000000000002E-2</v>
      </c>
      <c r="G410" s="12">
        <v>6.6638602313885548E-2</v>
      </c>
      <c r="H410" s="12">
        <v>7.4309525407390675E-3</v>
      </c>
      <c r="I410" s="12">
        <v>-4.9436984342938251E-2</v>
      </c>
      <c r="J410" s="12">
        <v>3.2652915133803917E-2</v>
      </c>
      <c r="K410" s="12">
        <v>3.6411667449621431E-3</v>
      </c>
      <c r="L410" s="12">
        <v>-2.4224122328039742E-2</v>
      </c>
      <c r="M410" s="12">
        <v>1.4660492509054822E-3</v>
      </c>
      <c r="N410" s="12">
        <v>1.634809558962595E-4</v>
      </c>
      <c r="O410" s="12">
        <v>-1.0876136555446417E-3</v>
      </c>
      <c r="P410">
        <f t="shared" si="18"/>
        <v>2.1951518062063576E-2</v>
      </c>
      <c r="Q410">
        <f t="shared" si="19"/>
        <v>2.4478407897576995E-3</v>
      </c>
      <c r="R410">
        <f t="shared" si="20"/>
        <v>-1.6285108286429886E-2</v>
      </c>
    </row>
    <row r="411" spans="1:18" ht="13">
      <c r="A411" s="8" t="s">
        <v>99</v>
      </c>
      <c r="B411" s="9">
        <v>2021</v>
      </c>
      <c r="C411" s="4">
        <v>-2.6469717965932915</v>
      </c>
      <c r="D411" s="10">
        <v>0.34353907900413844</v>
      </c>
      <c r="E411" s="11">
        <v>0.41660000000000003</v>
      </c>
      <c r="F411" s="11">
        <v>1.66E-2</v>
      </c>
      <c r="G411" s="12">
        <v>8.9907848229603196E-2</v>
      </c>
      <c r="H411" s="12">
        <v>-3.3203152300625934E-2</v>
      </c>
      <c r="I411" s="12">
        <v>-3.7042421124924403E-2</v>
      </c>
      <c r="J411" s="12">
        <v>3.7455609572452697E-2</v>
      </c>
      <c r="K411" s="12">
        <v>-1.3832433248440764E-2</v>
      </c>
      <c r="L411" s="12">
        <v>-1.5431872640643508E-2</v>
      </c>
      <c r="M411" s="12">
        <v>1.4924702806114131E-3</v>
      </c>
      <c r="N411" s="12">
        <v>-5.511723281903905E-4</v>
      </c>
      <c r="O411" s="12">
        <v>-6.1490419067374512E-4</v>
      </c>
      <c r="P411">
        <f t="shared" si="18"/>
        <v>3.0886859376041742E-2</v>
      </c>
      <c r="Q411">
        <f t="shared" si="19"/>
        <v>-1.1406580361391173E-2</v>
      </c>
      <c r="R411">
        <f t="shared" si="20"/>
        <v>-1.2725519237339972E-2</v>
      </c>
    </row>
    <row r="412" spans="1:18" ht="13">
      <c r="A412" s="8" t="s">
        <v>100</v>
      </c>
      <c r="B412" s="9">
        <v>2017</v>
      </c>
      <c r="C412" s="4">
        <v>-3.3974312583038384</v>
      </c>
      <c r="D412" s="10">
        <v>0.24220979786526958</v>
      </c>
      <c r="E412" s="11">
        <v>0.12</v>
      </c>
      <c r="F412" s="11">
        <v>5.9999999999999995E-4</v>
      </c>
      <c r="G412" s="12">
        <v>4.4532196895648433E-2</v>
      </c>
      <c r="H412" s="12">
        <v>-1.5287172068655432E-2</v>
      </c>
      <c r="I412" s="12">
        <v>-9.1840325292254749E-2</v>
      </c>
      <c r="J412" s="12">
        <v>5.3438636274778118E-3</v>
      </c>
      <c r="K412" s="12">
        <v>-1.8344606482386518E-3</v>
      </c>
      <c r="L412" s="12">
        <v>-1.1020839035070569E-2</v>
      </c>
      <c r="M412" s="12">
        <v>2.6719318137389059E-5</v>
      </c>
      <c r="N412" s="12">
        <v>-9.1723032411932587E-6</v>
      </c>
      <c r="O412" s="12">
        <v>-5.5104195175352842E-5</v>
      </c>
      <c r="P412">
        <f t="shared" si="18"/>
        <v>1.0786134408591393E-2</v>
      </c>
      <c r="Q412">
        <f t="shared" si="19"/>
        <v>-3.702702856680627E-3</v>
      </c>
      <c r="R412">
        <f t="shared" si="20"/>
        <v>-2.2244626624917628E-2</v>
      </c>
    </row>
    <row r="413" spans="1:18" ht="13">
      <c r="A413" s="8" t="s">
        <v>100</v>
      </c>
      <c r="B413" s="9">
        <v>2018</v>
      </c>
      <c r="C413" s="4">
        <v>-2.3593688327437841</v>
      </c>
      <c r="D413" s="10">
        <v>0.41568462808003009</v>
      </c>
      <c r="E413" s="11">
        <v>0.1421</v>
      </c>
      <c r="F413" s="11">
        <v>2.0000000000000001E-4</v>
      </c>
      <c r="G413" s="12">
        <v>2.2294930074992038E-2</v>
      </c>
      <c r="H413" s="12">
        <v>-0.26387642238758435</v>
      </c>
      <c r="I413" s="12">
        <v>0.15088166314387469</v>
      </c>
      <c r="J413" s="12">
        <v>3.1681095636563687E-3</v>
      </c>
      <c r="K413" s="12">
        <v>-3.7496839621275736E-2</v>
      </c>
      <c r="L413" s="12">
        <v>2.1440284332744593E-2</v>
      </c>
      <c r="M413" s="12">
        <v>4.4589860149984082E-6</v>
      </c>
      <c r="N413" s="12">
        <v>-5.2775284477516876E-5</v>
      </c>
      <c r="O413" s="12">
        <v>3.0176332628774941E-5</v>
      </c>
      <c r="P413">
        <f t="shared" si="18"/>
        <v>9.2676597162933434E-3</v>
      </c>
      <c r="Q413">
        <f t="shared" si="19"/>
        <v>-0.10968937249927192</v>
      </c>
      <c r="R413">
        <f t="shared" si="20"/>
        <v>6.271918802805794E-2</v>
      </c>
    </row>
    <row r="414" spans="1:18" ht="13">
      <c r="A414" s="8" t="s">
        <v>100</v>
      </c>
      <c r="B414" s="9">
        <v>2019</v>
      </c>
      <c r="C414" s="4">
        <v>-1.7244563523512975</v>
      </c>
      <c r="D414" s="10">
        <v>0.49895847183441916</v>
      </c>
      <c r="E414" s="11">
        <v>0.12590000000000001</v>
      </c>
      <c r="F414" s="11">
        <v>2.0000000000000001E-4</v>
      </c>
      <c r="G414" s="12">
        <v>0.13995257722820548</v>
      </c>
      <c r="H414" s="12">
        <v>-0.27064220183486237</v>
      </c>
      <c r="I414" s="12">
        <v>0.16201303018215663</v>
      </c>
      <c r="J414" s="12">
        <v>1.7620029473031072E-2</v>
      </c>
      <c r="K414" s="12">
        <v>-3.4073853211009177E-2</v>
      </c>
      <c r="L414" s="12">
        <v>2.0397440499933521E-2</v>
      </c>
      <c r="M414" s="12">
        <v>2.7990515445641096E-5</v>
      </c>
      <c r="N414" s="12">
        <v>-5.4128440366972475E-5</v>
      </c>
      <c r="O414" s="12">
        <v>3.2402606036431324E-5</v>
      </c>
      <c r="P414">
        <f t="shared" si="18"/>
        <v>6.983052406307394E-2</v>
      </c>
      <c r="Q414">
        <f t="shared" si="19"/>
        <v>-0.13503921944142536</v>
      </c>
      <c r="R414">
        <f t="shared" si="20"/>
        <v>8.0837773956952491E-2</v>
      </c>
    </row>
    <row r="415" spans="1:18" ht="13">
      <c r="A415" s="8" t="s">
        <v>100</v>
      </c>
      <c r="B415" s="9">
        <v>2020</v>
      </c>
      <c r="C415" s="4">
        <v>-1.9147228755082366</v>
      </c>
      <c r="D415" s="10">
        <v>0.47366201196922197</v>
      </c>
      <c r="E415" s="11">
        <v>8.5000000000000006E-2</v>
      </c>
      <c r="F415" s="11">
        <v>6.2000000000000006E-3</v>
      </c>
      <c r="G415" s="12">
        <v>0.15724137931034482</v>
      </c>
      <c r="H415" s="12">
        <v>-8.9598176118552298E-3</v>
      </c>
      <c r="I415" s="12">
        <v>-0.11906526075805073</v>
      </c>
      <c r="J415" s="12">
        <v>1.3365517241379311E-2</v>
      </c>
      <c r="K415" s="12">
        <v>-7.6158449700769459E-4</v>
      </c>
      <c r="L415" s="12">
        <v>-1.0120547164434312E-2</v>
      </c>
      <c r="M415" s="12">
        <v>9.74896551724138E-4</v>
      </c>
      <c r="N415" s="12">
        <v>-5.5550869193502433E-5</v>
      </c>
      <c r="O415" s="12">
        <v>-7.3820461669991456E-4</v>
      </c>
      <c r="P415">
        <f t="shared" si="18"/>
        <v>7.4479268088953526E-2</v>
      </c>
      <c r="Q415">
        <f t="shared" si="19"/>
        <v>-4.2439252369086177E-3</v>
      </c>
      <c r="R415">
        <f t="shared" si="20"/>
        <v>-5.639669096629836E-2</v>
      </c>
    </row>
    <row r="416" spans="1:18" ht="13">
      <c r="A416" s="8" t="s">
        <v>100</v>
      </c>
      <c r="B416" s="9">
        <v>2021</v>
      </c>
      <c r="C416" s="4">
        <v>-1.6866675973318299</v>
      </c>
      <c r="D416" s="10">
        <v>0.49370567990206271</v>
      </c>
      <c r="E416" s="11">
        <v>1.5299999999999999E-2</v>
      </c>
      <c r="F416" s="11">
        <v>2.0000000000000001E-4</v>
      </c>
      <c r="G416" s="12">
        <v>3.0582311228143116E-2</v>
      </c>
      <c r="H416" s="12">
        <v>-0.22167555955928211</v>
      </c>
      <c r="I416" s="12">
        <v>0.23785985417196007</v>
      </c>
      <c r="J416" s="12">
        <v>4.6790936179058964E-4</v>
      </c>
      <c r="K416" s="12">
        <v>-3.3916360612570163E-3</v>
      </c>
      <c r="L416" s="12">
        <v>3.639255768830989E-3</v>
      </c>
      <c r="M416" s="12">
        <v>6.1164622456286238E-6</v>
      </c>
      <c r="N416" s="12">
        <v>-4.4335111911856425E-5</v>
      </c>
      <c r="O416" s="12">
        <v>4.7571970834392013E-5</v>
      </c>
      <c r="P416">
        <f t="shared" si="18"/>
        <v>1.5098660757866884E-2</v>
      </c>
      <c r="Q416">
        <f t="shared" si="19"/>
        <v>-0.10944248284988557</v>
      </c>
      <c r="R416">
        <f t="shared" si="20"/>
        <v>0.11743276102537303</v>
      </c>
    </row>
    <row r="417" spans="1:18" ht="13">
      <c r="A417" s="8" t="s">
        <v>101</v>
      </c>
      <c r="B417" s="9">
        <v>2017</v>
      </c>
      <c r="C417" s="4">
        <v>-0.83203873745805745</v>
      </c>
      <c r="D417" s="10">
        <v>0.63746568573624673</v>
      </c>
      <c r="E417" s="11">
        <v>9.74E-2</v>
      </c>
      <c r="F417" s="11">
        <v>3.6800000000000001E-3</v>
      </c>
      <c r="G417" s="12">
        <v>-3.3007576589436691E-2</v>
      </c>
      <c r="H417" s="12">
        <v>8.9008455034588776E-2</v>
      </c>
      <c r="I417" s="12">
        <v>-7.4558032282859343E-2</v>
      </c>
      <c r="J417" s="12">
        <v>-3.2149379598111335E-3</v>
      </c>
      <c r="K417" s="12">
        <v>8.6694235203689466E-3</v>
      </c>
      <c r="L417" s="12">
        <v>-7.2619523443504998E-3</v>
      </c>
      <c r="M417" s="12">
        <v>-1.2146788184912703E-4</v>
      </c>
      <c r="N417" s="12">
        <v>3.2755111452728672E-4</v>
      </c>
      <c r="O417" s="12">
        <v>-2.7437355880092237E-4</v>
      </c>
      <c r="P417">
        <f t="shared" si="18"/>
        <v>-2.1041197445076945E-2</v>
      </c>
      <c r="Q417">
        <f t="shared" si="19"/>
        <v>5.6739835824948015E-2</v>
      </c>
      <c r="R417">
        <f t="shared" si="20"/>
        <v>-4.7528187176338152E-2</v>
      </c>
    </row>
    <row r="418" spans="1:18" ht="13">
      <c r="A418" s="8" t="s">
        <v>101</v>
      </c>
      <c r="B418" s="9">
        <v>2018</v>
      </c>
      <c r="C418" s="4">
        <v>-0.16229575323190509</v>
      </c>
      <c r="D418" s="10">
        <v>0.74755769288933249</v>
      </c>
      <c r="E418" s="11">
        <v>0.1048</v>
      </c>
      <c r="F418" s="11">
        <v>9.300000000000001E-3</v>
      </c>
      <c r="G418" s="12">
        <v>-4.8846142213350274E-3</v>
      </c>
      <c r="H418" s="12">
        <v>-0.13102259323110427</v>
      </c>
      <c r="I418" s="12">
        <v>0.16123763723800019</v>
      </c>
      <c r="J418" s="12">
        <v>-5.1190757039591087E-4</v>
      </c>
      <c r="K418" s="12">
        <v>-1.3731167770619728E-2</v>
      </c>
      <c r="L418" s="12">
        <v>1.6897704382542421E-2</v>
      </c>
      <c r="M418" s="12">
        <v>-4.5426912258415762E-5</v>
      </c>
      <c r="N418" s="12">
        <v>-1.2185101170492699E-3</v>
      </c>
      <c r="O418" s="12">
        <v>1.4995100263134019E-3</v>
      </c>
      <c r="P418">
        <f t="shared" si="18"/>
        <v>-3.6515309379556364E-3</v>
      </c>
      <c r="Q418">
        <f t="shared" si="19"/>
        <v>-9.7946947512221771E-2</v>
      </c>
      <c r="R418">
        <f t="shared" si="20"/>
        <v>0.12053443610056655</v>
      </c>
    </row>
    <row r="419" spans="1:18" ht="13">
      <c r="A419" s="8" t="s">
        <v>101</v>
      </c>
      <c r="B419" s="9">
        <v>2019</v>
      </c>
      <c r="C419" s="4">
        <v>-0.49837384497685966</v>
      </c>
      <c r="D419" s="10">
        <v>0.69409351630000726</v>
      </c>
      <c r="E419" s="11">
        <v>5.4000000000000003E-3</v>
      </c>
      <c r="F419" s="11">
        <v>1.042E-2</v>
      </c>
      <c r="G419" s="12">
        <v>-8.7490016699339306E-3</v>
      </c>
      <c r="H419" s="12">
        <v>4.8210266463370365E-2</v>
      </c>
      <c r="I419" s="12">
        <v>-8.8923981703332614E-2</v>
      </c>
      <c r="J419" s="12">
        <v>-4.7244609017643225E-5</v>
      </c>
      <c r="K419" s="12">
        <v>2.603354389022E-4</v>
      </c>
      <c r="L419" s="12">
        <v>-4.8018950119799614E-4</v>
      </c>
      <c r="M419" s="12">
        <v>-9.1164597400711565E-5</v>
      </c>
      <c r="N419" s="12">
        <v>5.0235097654831925E-4</v>
      </c>
      <c r="O419" s="12">
        <v>-9.2658788934872583E-4</v>
      </c>
      <c r="P419">
        <f t="shared" si="18"/>
        <v>-6.0726253331990776E-3</v>
      </c>
      <c r="Q419">
        <f t="shared" si="19"/>
        <v>3.346243337132105E-2</v>
      </c>
      <c r="R419">
        <f t="shared" si="20"/>
        <v>-6.1721559143863645E-2</v>
      </c>
    </row>
    <row r="420" spans="1:18" ht="13">
      <c r="A420" s="8" t="s">
        <v>101</v>
      </c>
      <c r="B420" s="9">
        <v>2020</v>
      </c>
      <c r="C420" s="4">
        <v>-0.66564557363059329</v>
      </c>
      <c r="D420" s="10">
        <v>0.66703380996400685</v>
      </c>
      <c r="E420" s="11">
        <v>5.4000000000000003E-3</v>
      </c>
      <c r="F420" s="11">
        <v>8.6999999999999994E-3</v>
      </c>
      <c r="G420" s="12">
        <v>4.7223806620380386E-2</v>
      </c>
      <c r="H420" s="12">
        <v>3.5186751371870266E-2</v>
      </c>
      <c r="I420" s="12">
        <v>-5.6644965875341739E-3</v>
      </c>
      <c r="J420" s="12">
        <v>2.5500855575005409E-4</v>
      </c>
      <c r="K420" s="12">
        <v>1.9000845740809943E-4</v>
      </c>
      <c r="L420" s="12">
        <v>-3.058828157268454E-5</v>
      </c>
      <c r="M420" s="12">
        <v>4.1084711759730932E-4</v>
      </c>
      <c r="N420" s="12">
        <v>3.0612473693527128E-4</v>
      </c>
      <c r="O420" s="12">
        <v>-4.928112031154731E-5</v>
      </c>
      <c r="P420">
        <f t="shared" si="18"/>
        <v>3.1499875650995816E-2</v>
      </c>
      <c r="Q420">
        <f t="shared" si="19"/>
        <v>2.3470752827834868E-2</v>
      </c>
      <c r="R420">
        <f t="shared" si="20"/>
        <v>-3.7784107403110354E-3</v>
      </c>
    </row>
    <row r="421" spans="1:18" ht="13">
      <c r="A421" s="8" t="s">
        <v>101</v>
      </c>
      <c r="B421" s="9">
        <v>2021</v>
      </c>
      <c r="C421" s="4">
        <v>-0.79614031675834118</v>
      </c>
      <c r="D421" s="10">
        <v>0.64216692320848301</v>
      </c>
      <c r="E421" s="11">
        <v>7.0000000000000001E-3</v>
      </c>
      <c r="F421" s="11">
        <v>2.9979999999999998E-3</v>
      </c>
      <c r="G421" s="12">
        <v>-7.1682059175645629E-2</v>
      </c>
      <c r="H421" s="12">
        <v>0.14751154438173422</v>
      </c>
      <c r="I421" s="12">
        <v>-0.13526167265264238</v>
      </c>
      <c r="J421" s="12">
        <v>-5.0177441422951936E-4</v>
      </c>
      <c r="K421" s="12">
        <v>1.0325808106721396E-3</v>
      </c>
      <c r="L421" s="12">
        <v>-9.4683170856849671E-4</v>
      </c>
      <c r="M421" s="12">
        <v>-2.1490281340858557E-4</v>
      </c>
      <c r="N421" s="12">
        <v>4.4223961005643915E-4</v>
      </c>
      <c r="O421" s="12">
        <v>-4.0551449461262185E-4</v>
      </c>
      <c r="P421">
        <f t="shared" si="18"/>
        <v>-4.603184739007276E-2</v>
      </c>
      <c r="Q421">
        <f t="shared" si="19"/>
        <v>9.4727034593349857E-2</v>
      </c>
      <c r="R421">
        <f t="shared" si="20"/>
        <v>-8.6860572155380372E-2</v>
      </c>
    </row>
    <row r="422" spans="1:18" ht="13">
      <c r="A422" s="8" t="s">
        <v>102</v>
      </c>
      <c r="B422" s="9">
        <v>2017</v>
      </c>
      <c r="C422" s="4">
        <v>-0.54517032188786407</v>
      </c>
      <c r="D422" s="10">
        <v>0.66477071312440728</v>
      </c>
      <c r="E422" s="11">
        <v>5.9199999999999996E-2</v>
      </c>
      <c r="F422" s="11">
        <v>0.36190000000000011</v>
      </c>
      <c r="G422" s="12">
        <v>1.9119473718827346E-2</v>
      </c>
      <c r="H422" s="12">
        <v>-4.8279818394022254E-2</v>
      </c>
      <c r="I422" s="12">
        <v>2.0100210828325211E-2</v>
      </c>
      <c r="J422" s="12">
        <v>1.1318728441545788E-3</v>
      </c>
      <c r="K422" s="12">
        <v>-2.8581652489261173E-3</v>
      </c>
      <c r="L422" s="12">
        <v>1.1899324810368524E-3</v>
      </c>
      <c r="M422" s="12">
        <v>6.9193375388436184E-3</v>
      </c>
      <c r="N422" s="12">
        <v>-1.7472466276796658E-2</v>
      </c>
      <c r="O422" s="12">
        <v>7.2742662987708958E-3</v>
      </c>
      <c r="P422">
        <f t="shared" si="18"/>
        <v>1.2710066178628219E-2</v>
      </c>
      <c r="Q422">
        <f t="shared" si="19"/>
        <v>-3.2095009303311051E-2</v>
      </c>
      <c r="R422">
        <f t="shared" si="20"/>
        <v>1.3362031486296683E-2</v>
      </c>
    </row>
    <row r="423" spans="1:18" ht="13">
      <c r="A423" s="8" t="s">
        <v>102</v>
      </c>
      <c r="B423" s="9">
        <v>2018</v>
      </c>
      <c r="C423" s="4">
        <v>-0.59425270042347433</v>
      </c>
      <c r="D423" s="10">
        <v>0.65058435166355444</v>
      </c>
      <c r="E423" s="11">
        <v>1.9599999999999999E-2</v>
      </c>
      <c r="F423" s="11">
        <v>0.36490000000000011</v>
      </c>
      <c r="G423" s="12">
        <v>-6.0644204372182577E-2</v>
      </c>
      <c r="H423" s="12">
        <v>-7.3491876360383306E-3</v>
      </c>
      <c r="I423" s="12">
        <v>7.2072671281508099E-2</v>
      </c>
      <c r="J423" s="12">
        <v>-1.1886264056947785E-3</v>
      </c>
      <c r="K423" s="12">
        <v>-1.4404407766635129E-4</v>
      </c>
      <c r="L423" s="12">
        <v>1.4126243571175587E-3</v>
      </c>
      <c r="M423" s="12">
        <v>-2.2129070175409431E-2</v>
      </c>
      <c r="N423" s="12">
        <v>-2.6817185683903877E-3</v>
      </c>
      <c r="O423" s="12">
        <v>2.6299317750622313E-2</v>
      </c>
      <c r="P423">
        <f t="shared" si="18"/>
        <v>-3.9454170383628494E-2</v>
      </c>
      <c r="Q423">
        <f t="shared" si="19"/>
        <v>-4.7812664734458079E-3</v>
      </c>
      <c r="R423">
        <f t="shared" si="20"/>
        <v>4.6889352118340423E-2</v>
      </c>
    </row>
    <row r="424" spans="1:18" ht="13">
      <c r="A424" s="8" t="s">
        <v>102</v>
      </c>
      <c r="B424" s="9">
        <v>2019</v>
      </c>
      <c r="C424" s="4">
        <v>-0.34169805019100746</v>
      </c>
      <c r="D424" s="10">
        <v>0.64998939701162517</v>
      </c>
      <c r="E424" s="11">
        <v>1.5299999999999999E-2</v>
      </c>
      <c r="F424" s="11">
        <v>0.35650000000000004</v>
      </c>
      <c r="G424" s="12">
        <v>-7.5578458539932752E-2</v>
      </c>
      <c r="H424" s="12">
        <v>0.18561930982885108</v>
      </c>
      <c r="I424" s="12">
        <v>-0.11252212927068118</v>
      </c>
      <c r="J424" s="12">
        <v>-1.1563504156609711E-3</v>
      </c>
      <c r="K424" s="12">
        <v>2.8399754403814212E-3</v>
      </c>
      <c r="L424" s="12">
        <v>-1.7215885778414221E-3</v>
      </c>
      <c r="M424" s="12">
        <v>-2.6943720469486031E-2</v>
      </c>
      <c r="N424" s="12">
        <v>6.6173283953985418E-2</v>
      </c>
      <c r="O424" s="12">
        <v>-4.0114139084997849E-2</v>
      </c>
      <c r="P424">
        <f t="shared" si="18"/>
        <v>-4.9125196693439004E-2</v>
      </c>
      <c r="Q424">
        <f t="shared" si="19"/>
        <v>0.12065058326936895</v>
      </c>
      <c r="R424">
        <f t="shared" si="20"/>
        <v>-7.3138190955114202E-2</v>
      </c>
    </row>
    <row r="425" spans="1:18" ht="13">
      <c r="A425" s="8" t="s">
        <v>102</v>
      </c>
      <c r="B425" s="9">
        <v>2020</v>
      </c>
      <c r="C425" s="4">
        <v>0.1516789202286602</v>
      </c>
      <c r="D425" s="10">
        <v>0.73091159673931771</v>
      </c>
      <c r="E425" s="11">
        <v>1.52E-2</v>
      </c>
      <c r="F425" s="11">
        <v>0.37190000000000006</v>
      </c>
      <c r="G425" s="12">
        <v>-4.7339358157153129E-2</v>
      </c>
      <c r="H425" s="12">
        <v>-3.9383005660414826E-2</v>
      </c>
      <c r="I425" s="12">
        <v>8.2501874371743333E-2</v>
      </c>
      <c r="J425" s="12">
        <v>-7.1955824398872758E-4</v>
      </c>
      <c r="K425" s="12">
        <v>-5.986216860383054E-4</v>
      </c>
      <c r="L425" s="12">
        <v>1.2540284904504987E-3</v>
      </c>
      <c r="M425" s="12">
        <v>-1.760550729864525E-2</v>
      </c>
      <c r="N425" s="12">
        <v>-1.4646539805108277E-2</v>
      </c>
      <c r="O425" s="12">
        <v>3.0682447078851351E-2</v>
      </c>
      <c r="P425">
        <f t="shared" si="18"/>
        <v>-3.4600885859259238E-2</v>
      </c>
      <c r="Q425">
        <f t="shared" si="19"/>
        <v>-2.8785495551647389E-2</v>
      </c>
      <c r="R425">
        <f t="shared" si="20"/>
        <v>6.0301576731037518E-2</v>
      </c>
    </row>
    <row r="426" spans="1:18" ht="13">
      <c r="A426" s="8" t="s">
        <v>102</v>
      </c>
      <c r="B426" s="9">
        <v>2021</v>
      </c>
      <c r="C426" s="4">
        <v>-7.9888026771836984E-2</v>
      </c>
      <c r="D426" s="10">
        <v>0.7465666432389283</v>
      </c>
      <c r="E426" s="11">
        <v>8.9999999999999993E-3</v>
      </c>
      <c r="F426" s="11">
        <v>0.34584999999999999</v>
      </c>
      <c r="G426" s="12">
        <v>-3.4722945300569207E-2</v>
      </c>
      <c r="H426" s="12">
        <v>6.9886245314452311E-2</v>
      </c>
      <c r="I426" s="12">
        <v>-3.6185552026933222E-2</v>
      </c>
      <c r="J426" s="12">
        <v>-3.1250650770512284E-4</v>
      </c>
      <c r="K426" s="12">
        <v>6.289762078300707E-4</v>
      </c>
      <c r="L426" s="12">
        <v>-3.2566996824239897E-4</v>
      </c>
      <c r="M426" s="12">
        <v>-1.200893063220186E-2</v>
      </c>
      <c r="N426" s="12">
        <v>2.4170157942003331E-2</v>
      </c>
      <c r="O426" s="12">
        <v>-1.2514773168514855E-2</v>
      </c>
      <c r="P426">
        <f t="shared" si="18"/>
        <v>-2.5922992716414874E-2</v>
      </c>
      <c r="Q426">
        <f t="shared" si="19"/>
        <v>5.2174739572982944E-2</v>
      </c>
      <c r="R426">
        <f t="shared" si="20"/>
        <v>-2.7014926110495132E-2</v>
      </c>
    </row>
    <row r="427" spans="1:18" ht="13">
      <c r="A427" s="8" t="s">
        <v>103</v>
      </c>
      <c r="B427" s="9">
        <v>2017</v>
      </c>
      <c r="C427" s="4">
        <v>-2.7706448743931515</v>
      </c>
      <c r="D427" s="10">
        <v>0.36124118649117315</v>
      </c>
      <c r="E427" s="11">
        <v>0.28689999999999999</v>
      </c>
      <c r="F427" s="11">
        <v>0.37720000000000004</v>
      </c>
      <c r="G427" s="12">
        <v>3.5437371569129232E-2</v>
      </c>
      <c r="H427" s="12">
        <v>-0.21424369972575949</v>
      </c>
      <c r="I427" s="12">
        <v>0.1373799720412201</v>
      </c>
      <c r="J427" s="12">
        <v>1.0166981903183176E-2</v>
      </c>
      <c r="K427" s="12">
        <v>-6.1466517451320396E-2</v>
      </c>
      <c r="L427" s="12">
        <v>3.9414313978626048E-2</v>
      </c>
      <c r="M427" s="12">
        <v>1.3366976555875548E-2</v>
      </c>
      <c r="N427" s="12">
        <v>-8.0812723536556483E-2</v>
      </c>
      <c r="O427" s="12">
        <v>5.1819725453948223E-2</v>
      </c>
      <c r="P427">
        <f t="shared" si="18"/>
        <v>1.2801438151760811E-2</v>
      </c>
      <c r="Q427">
        <f t="shared" si="19"/>
        <v>-7.7393648287191988E-2</v>
      </c>
      <c r="R427">
        <f t="shared" si="20"/>
        <v>4.9627304100294541E-2</v>
      </c>
    </row>
    <row r="428" spans="1:18" ht="13">
      <c r="A428" s="8" t="s">
        <v>103</v>
      </c>
      <c r="B428" s="9">
        <v>2018</v>
      </c>
      <c r="C428" s="4">
        <v>-3.2360741932382484</v>
      </c>
      <c r="D428" s="10">
        <v>0.26407323759948792</v>
      </c>
      <c r="E428" s="11">
        <v>0.20170000000000002</v>
      </c>
      <c r="F428" s="11">
        <v>0.27346999999999999</v>
      </c>
      <c r="G428" s="12">
        <v>-1.0646263843766228E-2</v>
      </c>
      <c r="H428" s="12">
        <v>-7.9535984734115148E-2</v>
      </c>
      <c r="I428" s="12">
        <v>0.15332310776700203</v>
      </c>
      <c r="J428" s="12">
        <v>-2.1473514172876485E-3</v>
      </c>
      <c r="K428" s="12">
        <v>-1.6042408120871026E-2</v>
      </c>
      <c r="L428" s="12">
        <v>3.0925270836604311E-2</v>
      </c>
      <c r="M428" s="12">
        <v>-2.9114337733547502E-3</v>
      </c>
      <c r="N428" s="12">
        <v>-2.175070574523847E-2</v>
      </c>
      <c r="O428" s="12">
        <v>4.1929270281042041E-2</v>
      </c>
      <c r="P428">
        <f t="shared" si="18"/>
        <v>-2.8113933615617169E-3</v>
      </c>
      <c r="Q428">
        <f t="shared" si="19"/>
        <v>-2.1003324994401232E-2</v>
      </c>
      <c r="R428">
        <f t="shared" si="20"/>
        <v>4.0488529466847417E-2</v>
      </c>
    </row>
    <row r="429" spans="1:18" ht="13">
      <c r="A429" s="8" t="s">
        <v>103</v>
      </c>
      <c r="B429" s="9">
        <v>2019</v>
      </c>
      <c r="C429" s="4">
        <v>-2.8494298089183032</v>
      </c>
      <c r="D429" s="10">
        <v>0.31345962331877825</v>
      </c>
      <c r="E429" s="11">
        <v>0.20170000000000002</v>
      </c>
      <c r="F429" s="11">
        <v>0.19278800000000001</v>
      </c>
      <c r="G429" s="12">
        <v>0.10076934020595993</v>
      </c>
      <c r="H429" s="12">
        <v>-0.12010681024765532</v>
      </c>
      <c r="I429" s="12">
        <v>3.6278275714895433E-3</v>
      </c>
      <c r="J429" s="12">
        <v>2.032517591954212E-2</v>
      </c>
      <c r="K429" s="12">
        <v>-2.4225543626952079E-2</v>
      </c>
      <c r="L429" s="12">
        <v>7.3173282116944095E-4</v>
      </c>
      <c r="M429" s="12">
        <v>1.9427119559626605E-2</v>
      </c>
      <c r="N429" s="12">
        <v>-2.3155151734024975E-2</v>
      </c>
      <c r="O429" s="12">
        <v>6.9940162185232614E-4</v>
      </c>
      <c r="P429">
        <f t="shared" si="18"/>
        <v>3.1587119423042015E-2</v>
      </c>
      <c r="Q429">
        <f t="shared" si="19"/>
        <v>-3.764863549825001E-2</v>
      </c>
      <c r="R429">
        <f t="shared" si="20"/>
        <v>1.1371774640245903E-3</v>
      </c>
    </row>
    <row r="430" spans="1:18" ht="13">
      <c r="A430" s="8" t="s">
        <v>103</v>
      </c>
      <c r="B430" s="9">
        <v>2020</v>
      </c>
      <c r="C430" s="4">
        <v>-2.5588143742344429</v>
      </c>
      <c r="D430" s="10">
        <v>0.36224964789572939</v>
      </c>
      <c r="E430" s="11">
        <v>0.1419</v>
      </c>
      <c r="F430" s="11">
        <v>0.212088</v>
      </c>
      <c r="G430" s="12">
        <v>0.13219545964526985</v>
      </c>
      <c r="H430" s="12">
        <v>-0.18307034923969348</v>
      </c>
      <c r="I430" s="12">
        <v>4.0342794394977441E-2</v>
      </c>
      <c r="J430" s="12">
        <v>1.8758535723663792E-2</v>
      </c>
      <c r="K430" s="12">
        <v>-2.5977682557112504E-2</v>
      </c>
      <c r="L430" s="12">
        <v>5.724642524647299E-3</v>
      </c>
      <c r="M430" s="12">
        <v>2.8037070645245993E-2</v>
      </c>
      <c r="N430" s="12">
        <v>-3.8827024229548111E-2</v>
      </c>
      <c r="O430" s="12">
        <v>8.5562225776419747E-3</v>
      </c>
      <c r="P430">
        <f t="shared" si="18"/>
        <v>4.788775870991311E-2</v>
      </c>
      <c r="Q430">
        <f t="shared" si="19"/>
        <v>-6.6317169552227176E-2</v>
      </c>
      <c r="R430">
        <f t="shared" si="20"/>
        <v>1.4614163064710382E-2</v>
      </c>
    </row>
    <row r="431" spans="1:18" ht="13">
      <c r="A431" s="8" t="s">
        <v>103</v>
      </c>
      <c r="B431" s="9">
        <v>2021</v>
      </c>
      <c r="C431" s="4">
        <v>-2.7289399303840232</v>
      </c>
      <c r="D431" s="10">
        <v>0.41156434173279499</v>
      </c>
      <c r="E431" s="11">
        <v>0.1205</v>
      </c>
      <c r="F431" s="11">
        <v>0.15179799999999999</v>
      </c>
      <c r="G431" s="12">
        <v>0.244428975822544</v>
      </c>
      <c r="H431" s="12">
        <v>-0.20094977338468914</v>
      </c>
      <c r="I431" s="12">
        <v>3.8256995684254488E-2</v>
      </c>
      <c r="J431" s="12">
        <v>2.9453691586616551E-2</v>
      </c>
      <c r="K431" s="12">
        <v>-2.4214447692855041E-2</v>
      </c>
      <c r="L431" s="12">
        <v>4.6099679799526654E-3</v>
      </c>
      <c r="M431" s="12">
        <v>3.7103829671910532E-2</v>
      </c>
      <c r="N431" s="12">
        <v>-3.0503773700249041E-2</v>
      </c>
      <c r="O431" s="12">
        <v>5.8073354308784625E-3</v>
      </c>
      <c r="P431">
        <f t="shared" si="18"/>
        <v>0.10059825053482659</v>
      </c>
      <c r="Q431">
        <f t="shared" si="19"/>
        <v>-8.2703761204423909E-2</v>
      </c>
      <c r="R431">
        <f t="shared" si="20"/>
        <v>1.5745215245464579E-2</v>
      </c>
    </row>
    <row r="432" spans="1:18" ht="13">
      <c r="A432" s="8" t="s">
        <v>104</v>
      </c>
      <c r="B432" s="9">
        <v>2017</v>
      </c>
      <c r="C432" s="4">
        <v>-3.4784325241308371</v>
      </c>
      <c r="D432" s="10">
        <v>0.16014328808446454</v>
      </c>
      <c r="E432" s="11">
        <v>7.3800000000000004E-2</v>
      </c>
      <c r="F432" s="11">
        <v>0.1539886</v>
      </c>
      <c r="G432" s="12">
        <v>0.15451231774761187</v>
      </c>
      <c r="H432" s="12">
        <v>0.20140774258421318</v>
      </c>
      <c r="I432" s="12">
        <v>-0.23125942684766215</v>
      </c>
      <c r="J432" s="12">
        <v>1.1403009049773757E-2</v>
      </c>
      <c r="K432" s="12">
        <v>1.4863891402714933E-2</v>
      </c>
      <c r="L432" s="12">
        <v>-1.7066945701357469E-2</v>
      </c>
      <c r="M432" s="12">
        <v>2.3793135492709908E-2</v>
      </c>
      <c r="N432" s="12">
        <v>3.101449630970337E-2</v>
      </c>
      <c r="O432" s="12">
        <v>-3.5611315377073911E-2</v>
      </c>
      <c r="P432">
        <f t="shared" si="18"/>
        <v>2.4744110613654131E-2</v>
      </c>
      <c r="Q432">
        <f t="shared" si="19"/>
        <v>3.2254098143105328E-2</v>
      </c>
      <c r="R432">
        <f t="shared" si="20"/>
        <v>-3.703464501591331E-2</v>
      </c>
    </row>
    <row r="433" spans="1:18" ht="13">
      <c r="A433" s="8" t="s">
        <v>104</v>
      </c>
      <c r="B433" s="9">
        <v>2018</v>
      </c>
      <c r="C433" s="4">
        <v>-3.6782381404964082</v>
      </c>
      <c r="D433" s="10">
        <v>0.14421014139444174</v>
      </c>
      <c r="E433" s="11">
        <v>6.8199999999999997E-2</v>
      </c>
      <c r="F433" s="11">
        <v>0.1539886</v>
      </c>
      <c r="G433" s="12">
        <v>4.6757679180887371E-2</v>
      </c>
      <c r="H433" s="12">
        <v>-0.14764748902974159</v>
      </c>
      <c r="I433" s="12">
        <v>-2.1477328132618236E-2</v>
      </c>
      <c r="J433" s="12">
        <v>3.1888737201365186E-3</v>
      </c>
      <c r="K433" s="12">
        <v>-1.0069558751828377E-2</v>
      </c>
      <c r="L433" s="12">
        <v>-1.4647537786445636E-3</v>
      </c>
      <c r="M433" s="12">
        <v>7.2001495563139934E-3</v>
      </c>
      <c r="N433" s="12">
        <v>-2.2736030129205265E-2</v>
      </c>
      <c r="O433" s="12">
        <v>-3.3072636908824966E-3</v>
      </c>
      <c r="P433">
        <f t="shared" si="18"/>
        <v>6.7429315259517125E-3</v>
      </c>
      <c r="Q433">
        <f t="shared" si="19"/>
        <v>-2.1292265269513323E-2</v>
      </c>
      <c r="R433">
        <f t="shared" si="20"/>
        <v>-3.0972485267796975E-3</v>
      </c>
    </row>
    <row r="434" spans="1:18" ht="13">
      <c r="A434" s="8" t="s">
        <v>104</v>
      </c>
      <c r="B434" s="9">
        <v>2019</v>
      </c>
      <c r="C434" s="4">
        <v>-3.5638630637347002</v>
      </c>
      <c r="D434" s="10">
        <v>0.15137518629370975</v>
      </c>
      <c r="E434" s="11">
        <v>6.8199999999999997E-2</v>
      </c>
      <c r="F434" s="11">
        <v>0.1539886</v>
      </c>
      <c r="G434" s="12">
        <v>4.3466479449186468E-2</v>
      </c>
      <c r="H434" s="12">
        <v>3.6704479670891378E-3</v>
      </c>
      <c r="I434" s="12">
        <v>-4.267819532202638E-2</v>
      </c>
      <c r="J434" s="12">
        <v>2.9644138984345168E-3</v>
      </c>
      <c r="K434" s="12">
        <v>2.5032455135547919E-4</v>
      </c>
      <c r="L434" s="12">
        <v>-2.910652920962199E-3</v>
      </c>
      <c r="M434" s="12">
        <v>6.6933423173089956E-3</v>
      </c>
      <c r="N434" s="12">
        <v>5.6520714382490237E-4</v>
      </c>
      <c r="O434" s="12">
        <v>-6.5719555481653915E-3</v>
      </c>
      <c r="P434">
        <f t="shared" si="18"/>
        <v>6.5797464241523079E-3</v>
      </c>
      <c r="Q434">
        <f t="shared" si="19"/>
        <v>5.5561474479948647E-4</v>
      </c>
      <c r="R434">
        <f t="shared" si="20"/>
        <v>-6.460419767551075E-3</v>
      </c>
    </row>
    <row r="435" spans="1:18" ht="13">
      <c r="A435" s="8" t="s">
        <v>104</v>
      </c>
      <c r="B435" s="9">
        <v>2020</v>
      </c>
      <c r="C435" s="4">
        <v>-3.8703155529381417</v>
      </c>
      <c r="D435" s="10">
        <v>0.11201306736623273</v>
      </c>
      <c r="E435" s="11">
        <v>4.6199999999999998E-2</v>
      </c>
      <c r="F435" s="11">
        <v>0.2520886</v>
      </c>
      <c r="G435" s="12">
        <v>2.7842399643617285E-2</v>
      </c>
      <c r="H435" s="12">
        <v>7.4481512646636633E-2</v>
      </c>
      <c r="I435" s="12">
        <v>-4.4609711428995689E-2</v>
      </c>
      <c r="J435" s="12">
        <v>1.2863188635351185E-3</v>
      </c>
      <c r="K435" s="12">
        <v>3.4410458842746121E-3</v>
      </c>
      <c r="L435" s="12">
        <v>-2.0609686680196008E-3</v>
      </c>
      <c r="M435" s="12">
        <v>7.0187515467999805E-3</v>
      </c>
      <c r="N435" s="12">
        <v>1.8775940248972924E-2</v>
      </c>
      <c r="O435" s="12">
        <v>-1.1245599700539522E-2</v>
      </c>
      <c r="P435">
        <f t="shared" si="18"/>
        <v>3.1187125869180771E-3</v>
      </c>
      <c r="Q435">
        <f t="shared" si="19"/>
        <v>8.3429026936266241E-3</v>
      </c>
      <c r="R435">
        <f t="shared" si="20"/>
        <v>-4.9968706114842968E-3</v>
      </c>
    </row>
    <row r="436" spans="1:18" ht="13">
      <c r="A436" s="8" t="s">
        <v>104</v>
      </c>
      <c r="B436" s="9">
        <v>2021</v>
      </c>
      <c r="C436" s="4">
        <v>-4.0086956554849058</v>
      </c>
      <c r="D436" s="10">
        <v>9.6190488050909712E-2</v>
      </c>
      <c r="E436" s="11">
        <v>3.0099999999999998E-2</v>
      </c>
      <c r="F436" s="11">
        <v>0.25607000000000002</v>
      </c>
      <c r="G436" s="12">
        <v>-1.9688912688825513E-2</v>
      </c>
      <c r="H436" s="12">
        <v>2.2304138283166665E-2</v>
      </c>
      <c r="I436" s="12">
        <v>-5.2528674080623665E-2</v>
      </c>
      <c r="J436" s="12">
        <v>-5.9263627193364792E-4</v>
      </c>
      <c r="K436" s="12">
        <v>6.7135456232331658E-4</v>
      </c>
      <c r="L436" s="12">
        <v>-1.5811130898267722E-3</v>
      </c>
      <c r="M436" s="12">
        <v>-5.0417398722275497E-3</v>
      </c>
      <c r="N436" s="12">
        <v>5.7114206901704885E-3</v>
      </c>
      <c r="O436" s="12">
        <v>-1.3451017571825303E-2</v>
      </c>
      <c r="P436">
        <f t="shared" si="18"/>
        <v>-1.8938861207298751E-3</v>
      </c>
      <c r="Q436">
        <f t="shared" si="19"/>
        <v>2.1454459470127809E-3</v>
      </c>
      <c r="R436">
        <f t="shared" si="20"/>
        <v>-5.052758796482361E-3</v>
      </c>
    </row>
    <row r="437" spans="1:18" ht="13">
      <c r="A437" s="8" t="s">
        <v>105</v>
      </c>
      <c r="B437" s="9">
        <v>2017</v>
      </c>
      <c r="C437" s="4">
        <v>-3.1698246975040925</v>
      </c>
      <c r="D437" s="10">
        <v>0.21584697443443074</v>
      </c>
      <c r="E437" s="11">
        <v>1.5E-3</v>
      </c>
      <c r="F437" s="11">
        <v>0.17829999999999999</v>
      </c>
      <c r="G437" s="12">
        <v>-3.0877322052602536E-2</v>
      </c>
      <c r="H437" s="12">
        <v>-1.1874195328306051E-2</v>
      </c>
      <c r="I437" s="12">
        <v>-1.8738274783888172E-2</v>
      </c>
      <c r="J437" s="12">
        <v>-4.6315983078903804E-5</v>
      </c>
      <c r="K437" s="12">
        <v>-1.7811292992459077E-5</v>
      </c>
      <c r="L437" s="12">
        <v>-2.810741217583226E-5</v>
      </c>
      <c r="M437" s="12">
        <v>-5.5054265219790319E-3</v>
      </c>
      <c r="N437" s="12">
        <v>-2.1171690270369689E-3</v>
      </c>
      <c r="O437" s="12">
        <v>-3.3410343939672608E-3</v>
      </c>
      <c r="P437">
        <f t="shared" si="18"/>
        <v>-6.6647765436917842E-3</v>
      </c>
      <c r="Q437">
        <f t="shared" si="19"/>
        <v>-2.5630091354583132E-3</v>
      </c>
      <c r="R437">
        <f t="shared" si="20"/>
        <v>-4.0445999182232486E-3</v>
      </c>
    </row>
    <row r="438" spans="1:18" ht="13">
      <c r="A438" s="8" t="s">
        <v>105</v>
      </c>
      <c r="B438" s="9">
        <v>2018</v>
      </c>
      <c r="C438" s="4">
        <v>-3.7396090092423888</v>
      </c>
      <c r="D438" s="10">
        <v>0.11020819740198112</v>
      </c>
      <c r="E438" s="11">
        <v>5.0000000000000001E-4</v>
      </c>
      <c r="F438" s="11">
        <v>0.1787</v>
      </c>
      <c r="G438" s="12">
        <v>8.4897426554701588E-2</v>
      </c>
      <c r="H438" s="12">
        <v>-5.3316160084058532E-2</v>
      </c>
      <c r="I438" s="12">
        <v>-3.2182895104776586E-2</v>
      </c>
      <c r="J438" s="12">
        <v>4.2448713277350796E-5</v>
      </c>
      <c r="K438" s="12">
        <v>-2.6658080042029267E-5</v>
      </c>
      <c r="L438" s="12">
        <v>-1.6091447552388293E-5</v>
      </c>
      <c r="M438" s="12">
        <v>1.5171170125325173E-2</v>
      </c>
      <c r="N438" s="12">
        <v>-9.5275978070212593E-3</v>
      </c>
      <c r="O438" s="12">
        <v>-5.751083355223576E-3</v>
      </c>
      <c r="P438">
        <f t="shared" si="18"/>
        <v>9.356392344660746E-3</v>
      </c>
      <c r="Q438">
        <f t="shared" si="19"/>
        <v>-5.8758778952595495E-3</v>
      </c>
      <c r="R438">
        <f t="shared" si="20"/>
        <v>-3.5468188566744698E-3</v>
      </c>
    </row>
    <row r="439" spans="1:18" ht="13">
      <c r="A439" s="8" t="s">
        <v>105</v>
      </c>
      <c r="B439" s="9">
        <v>2019</v>
      </c>
      <c r="C439" s="4">
        <v>-3.9455062315142464</v>
      </c>
      <c r="D439" s="10">
        <v>7.6796537558169203E-2</v>
      </c>
      <c r="E439" s="11">
        <v>2.3E-3</v>
      </c>
      <c r="F439" s="11">
        <v>0.1782</v>
      </c>
      <c r="G439" s="12">
        <v>4.0298389295987759E-2</v>
      </c>
      <c r="H439" s="12">
        <v>-6.3865161818133839E-3</v>
      </c>
      <c r="I439" s="12">
        <v>-3.7536177063082245E-2</v>
      </c>
      <c r="J439" s="12">
        <v>9.2686295380771844E-5</v>
      </c>
      <c r="K439" s="12">
        <v>-1.4688987218170783E-5</v>
      </c>
      <c r="L439" s="12">
        <v>-8.6333207245089161E-5</v>
      </c>
      <c r="M439" s="12">
        <v>7.1811729725450189E-3</v>
      </c>
      <c r="N439" s="12">
        <v>-1.1380771835991449E-3</v>
      </c>
      <c r="O439" s="12">
        <v>-6.688946752641256E-3</v>
      </c>
      <c r="P439">
        <f t="shared" si="18"/>
        <v>3.0947767671030478E-3</v>
      </c>
      <c r="Q439">
        <f t="shared" si="19"/>
        <v>-4.9046232982248692E-4</v>
      </c>
      <c r="R439">
        <f t="shared" si="20"/>
        <v>-2.8826484316150851E-3</v>
      </c>
    </row>
    <row r="440" spans="1:18" ht="13">
      <c r="A440" s="8" t="s">
        <v>105</v>
      </c>
      <c r="B440" s="9">
        <v>2020</v>
      </c>
      <c r="C440" s="4">
        <v>-3.2925545565090126</v>
      </c>
      <c r="D440" s="10">
        <v>0.17909784695447983</v>
      </c>
      <c r="E440" s="11">
        <v>2E-3</v>
      </c>
      <c r="F440" s="11">
        <v>0.1782</v>
      </c>
      <c r="G440" s="12">
        <v>5.0422834658162378E-2</v>
      </c>
      <c r="H440" s="12">
        <v>-0.13321275009123074</v>
      </c>
      <c r="I440" s="12">
        <v>9.3666206546400746E-2</v>
      </c>
      <c r="J440" s="12">
        <v>1.0084566931632476E-4</v>
      </c>
      <c r="K440" s="12">
        <v>-2.6642550018246146E-4</v>
      </c>
      <c r="L440" s="12">
        <v>1.8733241309280149E-4</v>
      </c>
      <c r="M440" s="12">
        <v>8.9853491360845361E-3</v>
      </c>
      <c r="N440" s="12">
        <v>-2.3738512066257315E-2</v>
      </c>
      <c r="O440" s="12">
        <v>1.6691318006568614E-2</v>
      </c>
      <c r="P440">
        <f t="shared" si="18"/>
        <v>9.0306211246186079E-3</v>
      </c>
      <c r="Q440">
        <f t="shared" si="19"/>
        <v>-2.3858116728224611E-2</v>
      </c>
      <c r="R440">
        <f t="shared" si="20"/>
        <v>1.6775415924853977E-2</v>
      </c>
    </row>
    <row r="441" spans="1:18" ht="13">
      <c r="A441" s="8" t="s">
        <v>105</v>
      </c>
      <c r="B441" s="9">
        <v>2021</v>
      </c>
      <c r="C441" s="4">
        <v>-3.600643998666337</v>
      </c>
      <c r="D441" s="10">
        <v>0.14697672934909167</v>
      </c>
      <c r="E441" s="11">
        <v>1.8E-3</v>
      </c>
      <c r="F441" s="11">
        <v>0.1782</v>
      </c>
      <c r="G441" s="12">
        <v>-5.0720130149767935E-3</v>
      </c>
      <c r="H441" s="12">
        <v>3.7601480134615686E-2</v>
      </c>
      <c r="I441" s="12">
        <v>-3.389316873215624E-2</v>
      </c>
      <c r="J441" s="12">
        <v>-9.1296234269582288E-6</v>
      </c>
      <c r="K441" s="12">
        <v>6.7682664242308232E-5</v>
      </c>
      <c r="L441" s="12">
        <v>-6.100770371788123E-5</v>
      </c>
      <c r="M441" s="12">
        <v>-9.0383271926886455E-4</v>
      </c>
      <c r="N441" s="12">
        <v>6.7005837599885152E-3</v>
      </c>
      <c r="O441" s="12">
        <v>-6.0397626680702421E-3</v>
      </c>
      <c r="P441">
        <f t="shared" si="18"/>
        <v>-7.4546788415731462E-4</v>
      </c>
      <c r="Q441">
        <f t="shared" si="19"/>
        <v>5.5265425688706569E-3</v>
      </c>
      <c r="R441">
        <f t="shared" si="20"/>
        <v>-4.9815070875292239E-3</v>
      </c>
    </row>
    <row r="442" spans="1:18" ht="13">
      <c r="A442" s="8" t="s">
        <v>106</v>
      </c>
      <c r="B442" s="9">
        <v>2017</v>
      </c>
      <c r="C442" s="4">
        <v>-0.36553286050518868</v>
      </c>
      <c r="D442" s="10">
        <v>0.73608410841422844</v>
      </c>
      <c r="E442" s="11">
        <v>0.14000000000000001</v>
      </c>
      <c r="F442" s="11">
        <v>0.39319999999999999</v>
      </c>
      <c r="G442" s="12">
        <v>-0.21958555470501762</v>
      </c>
      <c r="H442" s="12">
        <v>-0.13226617169876506</v>
      </c>
      <c r="I442" s="12">
        <v>0.37082624865362857</v>
      </c>
      <c r="J442" s="12">
        <v>-3.0741977658702468E-2</v>
      </c>
      <c r="K442" s="12">
        <v>-1.8517264037827112E-2</v>
      </c>
      <c r="L442" s="12">
        <v>5.1915674811508002E-2</v>
      </c>
      <c r="M442" s="12">
        <v>-8.6341040110012923E-2</v>
      </c>
      <c r="N442" s="12">
        <v>-5.2007058711954421E-2</v>
      </c>
      <c r="O442" s="12">
        <v>0.14580888097060674</v>
      </c>
      <c r="P442">
        <f t="shared" si="18"/>
        <v>-0.16163343725568668</v>
      </c>
      <c r="Q442">
        <f t="shared" si="19"/>
        <v>-9.7359027068248741E-2</v>
      </c>
      <c r="R442">
        <f t="shared" si="20"/>
        <v>0.27295930861679918</v>
      </c>
    </row>
    <row r="443" spans="1:18" ht="13">
      <c r="A443" s="8" t="s">
        <v>106</v>
      </c>
      <c r="B443" s="9">
        <v>2018</v>
      </c>
      <c r="C443" s="4">
        <v>-0.26768649135928629</v>
      </c>
      <c r="D443" s="10">
        <v>0.75081449358311136</v>
      </c>
      <c r="E443" s="11">
        <v>0.1206</v>
      </c>
      <c r="F443" s="11">
        <v>0.39319999999999999</v>
      </c>
      <c r="G443" s="12">
        <v>3.2464173289013146E-2</v>
      </c>
      <c r="H443" s="12">
        <v>-4.6805864353798403E-2</v>
      </c>
      <c r="I443" s="12">
        <v>4.3069099874523967E-2</v>
      </c>
      <c r="J443" s="12">
        <v>3.9151792986549857E-3</v>
      </c>
      <c r="K443" s="12">
        <v>-5.6447872410680874E-3</v>
      </c>
      <c r="L443" s="12">
        <v>5.1941334448675908E-3</v>
      </c>
      <c r="M443" s="12">
        <v>1.2764912937239969E-2</v>
      </c>
      <c r="N443" s="12">
        <v>-1.8404065863913532E-2</v>
      </c>
      <c r="O443" s="12">
        <v>1.6934770070662825E-2</v>
      </c>
      <c r="P443">
        <f t="shared" si="18"/>
        <v>2.4374571827584776E-2</v>
      </c>
      <c r="Q443">
        <f t="shared" si="19"/>
        <v>-3.514252134151695E-2</v>
      </c>
      <c r="R443">
        <f t="shared" si="20"/>
        <v>3.2336904411371159E-2</v>
      </c>
    </row>
    <row r="444" spans="1:18" ht="13">
      <c r="A444" s="8" t="s">
        <v>106</v>
      </c>
      <c r="B444" s="9">
        <v>2019</v>
      </c>
      <c r="C444" s="4">
        <v>-0.36982155405082479</v>
      </c>
      <c r="D444" s="10">
        <v>0.71476534738389907</v>
      </c>
      <c r="E444" s="11">
        <v>0.1028</v>
      </c>
      <c r="F444" s="11">
        <v>0.43189999999999995</v>
      </c>
      <c r="G444" s="12">
        <v>4.7328758730547725E-2</v>
      </c>
      <c r="H444" s="12">
        <v>-9.1900502389413057E-4</v>
      </c>
      <c r="I444" s="12">
        <v>-5.3253277784585225E-2</v>
      </c>
      <c r="J444" s="12">
        <v>4.8653963975003062E-3</v>
      </c>
      <c r="K444" s="12">
        <v>-9.4473716456316625E-5</v>
      </c>
      <c r="L444" s="12">
        <v>-5.4744369562553614E-3</v>
      </c>
      <c r="M444" s="12">
        <v>2.0441290895723559E-2</v>
      </c>
      <c r="N444" s="12">
        <v>-3.9691826981987495E-4</v>
      </c>
      <c r="O444" s="12">
        <v>-2.3000090675162357E-2</v>
      </c>
      <c r="P444">
        <f t="shared" si="18"/>
        <v>3.3828956675288693E-2</v>
      </c>
      <c r="Q444">
        <f t="shared" si="19"/>
        <v>-6.5687294515123676E-4</v>
      </c>
      <c r="R444">
        <f t="shared" si="20"/>
        <v>-3.8063597595030335E-2</v>
      </c>
    </row>
    <row r="445" spans="1:18" ht="13">
      <c r="A445" s="8" t="s">
        <v>106</v>
      </c>
      <c r="B445" s="9">
        <v>2020</v>
      </c>
      <c r="C445" s="4">
        <v>-1.5389053802977186</v>
      </c>
      <c r="D445" s="10">
        <v>0.56563369767196547</v>
      </c>
      <c r="E445" s="11">
        <v>9.1700000000000004E-2</v>
      </c>
      <c r="F445" s="11">
        <v>0.4546</v>
      </c>
      <c r="G445" s="12">
        <v>0.34261625972719234</v>
      </c>
      <c r="H445" s="12">
        <v>4.2503468925728483E-2</v>
      </c>
      <c r="I445" s="12">
        <v>-0.40797812345318374</v>
      </c>
      <c r="J445" s="12">
        <v>3.1417911016983539E-2</v>
      </c>
      <c r="K445" s="12">
        <v>3.8975681004893019E-3</v>
      </c>
      <c r="L445" s="12">
        <v>-3.7411593920656953E-2</v>
      </c>
      <c r="M445" s="12">
        <v>0.15575335167198165</v>
      </c>
      <c r="N445" s="12">
        <v>1.9322076973636169E-2</v>
      </c>
      <c r="O445" s="12">
        <v>-0.18546685492181733</v>
      </c>
      <c r="P445">
        <f t="shared" si="18"/>
        <v>0.19379530187203031</v>
      </c>
      <c r="Q445">
        <f t="shared" si="19"/>
        <v>2.4041394292345284E-2</v>
      </c>
      <c r="R445">
        <f t="shared" si="20"/>
        <v>-0.23076617453809395</v>
      </c>
    </row>
    <row r="446" spans="1:18" ht="13">
      <c r="A446" s="8" t="s">
        <v>106</v>
      </c>
      <c r="B446" s="9">
        <v>2021</v>
      </c>
      <c r="C446" s="4">
        <v>-2.3384870765040944</v>
      </c>
      <c r="D446" s="10">
        <v>0.44409733640249921</v>
      </c>
      <c r="E446" s="11">
        <v>0.15179999999999999</v>
      </c>
      <c r="F446" s="11">
        <v>0.37280000000000008</v>
      </c>
      <c r="G446" s="12">
        <v>0.26299306305883086</v>
      </c>
      <c r="H446" s="12">
        <v>-3.3134463913812813E-2</v>
      </c>
      <c r="I446" s="12">
        <v>-0.2250904307793489</v>
      </c>
      <c r="J446" s="12">
        <v>3.9922346972330519E-2</v>
      </c>
      <c r="K446" s="12">
        <v>-5.0298116221167847E-3</v>
      </c>
      <c r="L446" s="12">
        <v>-3.4168727392305163E-2</v>
      </c>
      <c r="M446" s="12">
        <v>9.8043813908332167E-2</v>
      </c>
      <c r="N446" s="12">
        <v>-1.2352528147069419E-2</v>
      </c>
      <c r="O446" s="12">
        <v>-8.3913712594541293E-2</v>
      </c>
      <c r="P446">
        <f t="shared" si="18"/>
        <v>0.1167945187967613</v>
      </c>
      <c r="Q446">
        <f t="shared" si="19"/>
        <v>-1.4714927167248999E-2</v>
      </c>
      <c r="R446">
        <f t="shared" si="20"/>
        <v>-9.9962060758799973E-2</v>
      </c>
    </row>
    <row r="447" spans="1:18" ht="13">
      <c r="A447" s="8" t="s">
        <v>107</v>
      </c>
      <c r="B447" s="9">
        <v>2017</v>
      </c>
      <c r="C447" s="4">
        <v>0.1145687880979676</v>
      </c>
      <c r="D447" s="10">
        <v>0.82376868246559243</v>
      </c>
      <c r="E447" s="11">
        <v>0.22020000000000001</v>
      </c>
      <c r="F447" s="11">
        <v>0.1862</v>
      </c>
      <c r="G447" s="12">
        <v>-7.822811431575849E-2</v>
      </c>
      <c r="H447" s="12">
        <v>-2.5497163251281218E-2</v>
      </c>
      <c r="I447" s="12">
        <v>9.8163935644165562E-2</v>
      </c>
      <c r="J447" s="12">
        <v>-1.722583077233002E-2</v>
      </c>
      <c r="K447" s="12">
        <v>-5.6144753479321239E-3</v>
      </c>
      <c r="L447" s="12">
        <v>2.1615698628845256E-2</v>
      </c>
      <c r="M447" s="12">
        <v>-1.4566074885594232E-2</v>
      </c>
      <c r="N447" s="12">
        <v>-4.7475717973885631E-3</v>
      </c>
      <c r="O447" s="12">
        <v>1.8278124816943627E-2</v>
      </c>
      <c r="P447">
        <f t="shared" si="18"/>
        <v>-6.4441870661660128E-2</v>
      </c>
      <c r="Q447">
        <f t="shared" si="19"/>
        <v>-2.1003764578118051E-2</v>
      </c>
      <c r="R447">
        <f t="shared" si="20"/>
        <v>8.0864375931231469E-2</v>
      </c>
    </row>
    <row r="448" spans="1:18" ht="13">
      <c r="A448" s="8" t="s">
        <v>107</v>
      </c>
      <c r="B448" s="9">
        <v>2018</v>
      </c>
      <c r="C448" s="4">
        <v>0.17233934148938701</v>
      </c>
      <c r="D448" s="10">
        <v>0.81618062325084118</v>
      </c>
      <c r="E448" s="11">
        <v>0.18390000000000001</v>
      </c>
      <c r="F448" s="11">
        <v>0.20379999999999995</v>
      </c>
      <c r="G448" s="12">
        <v>-1.1474481934530359E-2</v>
      </c>
      <c r="H448" s="12">
        <v>2.0476714568724252E-2</v>
      </c>
      <c r="I448" s="12">
        <v>-2.0347787805414925E-2</v>
      </c>
      <c r="J448" s="12">
        <v>-2.1101572277601333E-3</v>
      </c>
      <c r="K448" s="12">
        <v>3.7656678091883902E-3</v>
      </c>
      <c r="L448" s="12">
        <v>-3.7419581774158048E-3</v>
      </c>
      <c r="M448" s="12">
        <v>-2.3384994182572868E-3</v>
      </c>
      <c r="N448" s="12">
        <v>4.1731544291060017E-3</v>
      </c>
      <c r="O448" s="12">
        <v>-4.1468791547435609E-3</v>
      </c>
      <c r="P448">
        <f t="shared" si="18"/>
        <v>-9.365249816805506E-3</v>
      </c>
      <c r="Q448">
        <f t="shared" si="19"/>
        <v>1.671269765883094E-2</v>
      </c>
      <c r="R448">
        <f t="shared" si="20"/>
        <v>-1.660747013279942E-2</v>
      </c>
    </row>
    <row r="449" spans="1:18" ht="13">
      <c r="A449" s="8" t="s">
        <v>107</v>
      </c>
      <c r="B449" s="9">
        <v>2019</v>
      </c>
      <c r="C449" s="4">
        <v>-6.3755514352758585E-2</v>
      </c>
      <c r="D449" s="10">
        <v>0.76319006297357272</v>
      </c>
      <c r="E449" s="11">
        <v>0.2301</v>
      </c>
      <c r="F449" s="11">
        <v>0.19079999999999997</v>
      </c>
      <c r="G449" s="12">
        <v>-4.2235950554083718E-2</v>
      </c>
      <c r="H449" s="12">
        <v>-9.8455263645769175E-3</v>
      </c>
      <c r="I449" s="12">
        <v>6.7613762087875937E-2</v>
      </c>
      <c r="J449" s="12">
        <v>-9.7184922224946638E-3</v>
      </c>
      <c r="K449" s="12">
        <v>-2.2654556164891488E-3</v>
      </c>
      <c r="L449" s="12">
        <v>1.5557926656420253E-2</v>
      </c>
      <c r="M449" s="12">
        <v>-8.0586193657191715E-3</v>
      </c>
      <c r="N449" s="12">
        <v>-1.8785264303612756E-3</v>
      </c>
      <c r="O449" s="12">
        <v>1.2900705806366727E-2</v>
      </c>
      <c r="P449">
        <f t="shared" si="18"/>
        <v>-3.2234057763119855E-2</v>
      </c>
      <c r="Q449">
        <f t="shared" si="19"/>
        <v>-7.5140078861894279E-3</v>
      </c>
      <c r="R449">
        <f t="shared" si="20"/>
        <v>5.1602151345726203E-2</v>
      </c>
    </row>
    <row r="450" spans="1:18" ht="13">
      <c r="A450" s="8" t="s">
        <v>107</v>
      </c>
      <c r="B450" s="9">
        <v>2020</v>
      </c>
      <c r="C450" s="4">
        <v>-0.14955043128157522</v>
      </c>
      <c r="D450" s="10">
        <v>0.73328489446864598</v>
      </c>
      <c r="E450" s="11">
        <v>0.1603</v>
      </c>
      <c r="F450" s="11">
        <v>0.18469999999999998</v>
      </c>
      <c r="G450" s="12">
        <v>-1.8697616100564227E-2</v>
      </c>
      <c r="H450" s="12">
        <v>-6.0164927904322518E-3</v>
      </c>
      <c r="I450" s="12">
        <v>3.488884245044929E-3</v>
      </c>
      <c r="J450" s="12">
        <v>-2.9972278609204455E-3</v>
      </c>
      <c r="K450" s="12">
        <v>-9.6444379430628995E-4</v>
      </c>
      <c r="L450" s="12">
        <v>5.5926814448070217E-4</v>
      </c>
      <c r="M450" s="12">
        <v>-3.4534496937742125E-3</v>
      </c>
      <c r="N450" s="12">
        <v>-1.1112462183928368E-3</v>
      </c>
      <c r="O450" s="12">
        <v>6.443969200597983E-4</v>
      </c>
      <c r="P450">
        <f t="shared" si="18"/>
        <v>-1.3710679449117495E-2</v>
      </c>
      <c r="Q450">
        <f t="shared" si="19"/>
        <v>-4.4118032809034834E-3</v>
      </c>
      <c r="R450">
        <f t="shared" si="20"/>
        <v>2.5583461154410924E-3</v>
      </c>
    </row>
    <row r="451" spans="1:18" ht="13">
      <c r="A451" s="8" t="s">
        <v>107</v>
      </c>
      <c r="B451" s="9">
        <v>2021</v>
      </c>
      <c r="C451" s="4">
        <v>-2.6304114513591298E-2</v>
      </c>
      <c r="D451" s="10">
        <v>0.75528605952238759</v>
      </c>
      <c r="E451" s="11">
        <v>0.15</v>
      </c>
      <c r="F451" s="11">
        <v>0.17803000000000002</v>
      </c>
      <c r="G451" s="12">
        <v>3.3994867469966737E-2</v>
      </c>
      <c r="H451" s="12">
        <v>-3.2002905296737213E-3</v>
      </c>
      <c r="I451" s="12">
        <v>-1.2149642086263666E-3</v>
      </c>
      <c r="J451" s="12">
        <v>5.0992301204950104E-3</v>
      </c>
      <c r="K451" s="12">
        <v>-4.8004357945105819E-4</v>
      </c>
      <c r="L451" s="12">
        <v>-1.8224463129395499E-4</v>
      </c>
      <c r="M451" s="12">
        <v>6.052106255678179E-3</v>
      </c>
      <c r="N451" s="12">
        <v>-5.6974772299781267E-4</v>
      </c>
      <c r="O451" s="12">
        <v>-2.1630007806175208E-4</v>
      </c>
      <c r="P451">
        <f t="shared" ref="P451:P514" si="21">G451*D451</f>
        <v>2.5675849495376976E-2</v>
      </c>
      <c r="Q451">
        <f t="shared" ref="Q451:Q514" si="22">H451*D451</f>
        <v>-2.4171348234840796E-3</v>
      </c>
      <c r="R451">
        <f t="shared" ref="R451:R514" si="23">I451*D451</f>
        <v>-9.176455295941445E-4</v>
      </c>
    </row>
    <row r="452" spans="1:18" ht="13">
      <c r="A452" s="8" t="s">
        <v>108</v>
      </c>
      <c r="B452" s="9">
        <v>2017</v>
      </c>
      <c r="C452" s="4">
        <v>-1.5739072016219364</v>
      </c>
      <c r="D452" s="10">
        <v>0.52322515348044374</v>
      </c>
      <c r="E452" s="11">
        <v>0.1842</v>
      </c>
      <c r="F452" s="11">
        <v>0.11919999999999999</v>
      </c>
      <c r="G452" s="12">
        <v>8.9831005047209381E-2</v>
      </c>
      <c r="H452" s="12">
        <v>-6.2737212182551835E-2</v>
      </c>
      <c r="I452" s="12">
        <v>1.6699737651649331E-2</v>
      </c>
      <c r="J452" s="12">
        <v>1.6546871129695967E-2</v>
      </c>
      <c r="K452" s="12">
        <v>-1.1556194484026049E-2</v>
      </c>
      <c r="L452" s="12">
        <v>3.076091675433807E-3</v>
      </c>
      <c r="M452" s="12">
        <v>1.0707855801627357E-2</v>
      </c>
      <c r="N452" s="12">
        <v>-7.4782756921601776E-3</v>
      </c>
      <c r="O452" s="12">
        <v>1.9906087280765999E-3</v>
      </c>
      <c r="P452">
        <f t="shared" si="21"/>
        <v>4.7001841403128644E-2</v>
      </c>
      <c r="Q452">
        <f t="shared" si="22"/>
        <v>-3.2825687473150851E-2</v>
      </c>
      <c r="R452">
        <f t="shared" si="23"/>
        <v>8.7377227958673667E-3</v>
      </c>
    </row>
    <row r="453" spans="1:18" ht="13">
      <c r="A453" s="8" t="s">
        <v>108</v>
      </c>
      <c r="B453" s="9">
        <v>2018</v>
      </c>
      <c r="C453" s="4">
        <v>-1.6936433512632025</v>
      </c>
      <c r="D453" s="10">
        <v>0.51002471848393294</v>
      </c>
      <c r="E453" s="11">
        <v>0.18360000000000001</v>
      </c>
      <c r="F453" s="11">
        <v>0.12159999999999999</v>
      </c>
      <c r="G453" s="12">
        <v>-0.12118160456529037</v>
      </c>
      <c r="H453" s="12">
        <v>7.0047911135524429E-2</v>
      </c>
      <c r="I453" s="12">
        <v>4.5372150508102171E-2</v>
      </c>
      <c r="J453" s="12">
        <v>-2.2248942598187313E-2</v>
      </c>
      <c r="K453" s="12">
        <v>1.2860796484482287E-2</v>
      </c>
      <c r="L453" s="12">
        <v>8.3303268332875595E-3</v>
      </c>
      <c r="M453" s="12">
        <v>-1.4735683115139307E-2</v>
      </c>
      <c r="N453" s="12">
        <v>8.5178259940797696E-3</v>
      </c>
      <c r="O453" s="12">
        <v>5.5172535017852234E-3</v>
      </c>
      <c r="P453">
        <f t="shared" si="21"/>
        <v>-6.1805613753843504E-2</v>
      </c>
      <c r="Q453">
        <f t="shared" si="22"/>
        <v>3.5726166157283398E-2</v>
      </c>
      <c r="R453">
        <f t="shared" si="23"/>
        <v>2.3140918289905443E-2</v>
      </c>
    </row>
    <row r="454" spans="1:18" ht="13">
      <c r="A454" s="8" t="s">
        <v>108</v>
      </c>
      <c r="B454" s="9">
        <v>2019</v>
      </c>
      <c r="C454" s="4">
        <v>-1.5527650811245044</v>
      </c>
      <c r="D454" s="10">
        <v>0.53007514218557805</v>
      </c>
      <c r="E454" s="11">
        <v>0.15790000000000001</v>
      </c>
      <c r="F454" s="11">
        <v>0.12620000000000001</v>
      </c>
      <c r="G454" s="12">
        <v>3.3194902834780562E-2</v>
      </c>
      <c r="H454" s="12">
        <v>-0.1694616636829008</v>
      </c>
      <c r="I454" s="12">
        <v>0.12408000552098175</v>
      </c>
      <c r="J454" s="12">
        <v>5.2414751576118513E-3</v>
      </c>
      <c r="K454" s="12">
        <v>-2.6757996695530039E-2</v>
      </c>
      <c r="L454" s="12">
        <v>1.9592232871763021E-2</v>
      </c>
      <c r="M454" s="12">
        <v>4.189196737749307E-3</v>
      </c>
      <c r="N454" s="12">
        <v>-2.1386061956782082E-2</v>
      </c>
      <c r="O454" s="12">
        <v>1.5658896696747897E-2</v>
      </c>
      <c r="P454">
        <f t="shared" si="21"/>
        <v>1.7595792839982756E-2</v>
      </c>
      <c r="Q454">
        <f t="shared" si="22"/>
        <v>-8.9827415471718255E-2</v>
      </c>
      <c r="R454">
        <f t="shared" si="23"/>
        <v>6.5771726568921718E-2</v>
      </c>
    </row>
    <row r="455" spans="1:18" ht="13">
      <c r="A455" s="8" t="s">
        <v>108</v>
      </c>
      <c r="B455" s="9">
        <v>2020</v>
      </c>
      <c r="C455" s="4">
        <v>-0.87086351095170955</v>
      </c>
      <c r="D455" s="10">
        <v>0.65725269185062474</v>
      </c>
      <c r="E455" s="11">
        <v>6.0999999999999999E-2</v>
      </c>
      <c r="F455" s="11">
        <v>0.15222000000000002</v>
      </c>
      <c r="G455" s="12">
        <v>8.3216296349646487E-2</v>
      </c>
      <c r="H455" s="12">
        <v>-0.11841141800809055</v>
      </c>
      <c r="I455" s="12">
        <v>2.7998847635852926E-2</v>
      </c>
      <c r="J455" s="12">
        <v>5.0761940773284353E-3</v>
      </c>
      <c r="K455" s="12">
        <v>-7.2230964984935234E-3</v>
      </c>
      <c r="L455" s="12">
        <v>1.7079297057870284E-3</v>
      </c>
      <c r="M455" s="12">
        <v>1.2667184630343191E-2</v>
      </c>
      <c r="N455" s="12">
        <v>-1.8024586049191545E-2</v>
      </c>
      <c r="O455" s="12">
        <v>4.2619845871295333E-3</v>
      </c>
      <c r="P455">
        <f t="shared" si="21"/>
        <v>5.469413478164447E-2</v>
      </c>
      <c r="Q455">
        <f t="shared" si="22"/>
        <v>-7.7826223231667047E-2</v>
      </c>
      <c r="R455">
        <f t="shared" si="23"/>
        <v>1.8402317977379835E-2</v>
      </c>
    </row>
    <row r="456" spans="1:18" ht="13">
      <c r="A456" s="8" t="s">
        <v>108</v>
      </c>
      <c r="B456" s="9">
        <v>2021</v>
      </c>
      <c r="C456" s="4">
        <v>-1.2177084357041348</v>
      </c>
      <c r="D456" s="10">
        <v>0.60708839041748741</v>
      </c>
      <c r="E456" s="11">
        <v>2.0499999999999997E-2</v>
      </c>
      <c r="F456" s="11">
        <v>0.16899999999999998</v>
      </c>
      <c r="G456" s="12">
        <v>-8.1855923407680414E-2</v>
      </c>
      <c r="H456" s="12">
        <v>-1.2391180021605133E-2</v>
      </c>
      <c r="I456" s="12">
        <v>0.1026588083285675</v>
      </c>
      <c r="J456" s="12">
        <v>-1.6780464298574483E-3</v>
      </c>
      <c r="K456" s="12">
        <v>-2.5401919044290517E-4</v>
      </c>
      <c r="L456" s="12">
        <v>2.1045055707356332E-3</v>
      </c>
      <c r="M456" s="12">
        <v>-1.3833651055897988E-2</v>
      </c>
      <c r="N456" s="12">
        <v>-2.0941094236512671E-3</v>
      </c>
      <c r="O456" s="12">
        <v>1.7349338607527905E-2</v>
      </c>
      <c r="P456">
        <f t="shared" si="21"/>
        <v>-4.9693780787705831E-2</v>
      </c>
      <c r="Q456">
        <f t="shared" si="22"/>
        <v>-7.5225415346895867E-3</v>
      </c>
      <c r="R456">
        <f t="shared" si="23"/>
        <v>6.2322970710367395E-2</v>
      </c>
    </row>
    <row r="457" spans="1:18" ht="13">
      <c r="A457" s="8" t="s">
        <v>109</v>
      </c>
      <c r="B457" s="9">
        <v>2017</v>
      </c>
      <c r="C457" s="4">
        <v>-0.17118463001031611</v>
      </c>
      <c r="D457" s="10">
        <v>0.75234507753549995</v>
      </c>
      <c r="E457" s="11">
        <v>0.17</v>
      </c>
      <c r="F457" s="11">
        <v>0.44369999999999998</v>
      </c>
      <c r="G457" s="12">
        <v>0.22116332957043552</v>
      </c>
      <c r="H457" s="12">
        <v>-0.11990018418394628</v>
      </c>
      <c r="I457" s="12">
        <v>-9.1721228685164274E-2</v>
      </c>
      <c r="J457" s="12">
        <v>3.7597766026974039E-2</v>
      </c>
      <c r="K457" s="12">
        <v>-2.038303131127087E-2</v>
      </c>
      <c r="L457" s="12">
        <v>-1.5592608876477928E-2</v>
      </c>
      <c r="M457" s="12">
        <v>9.8130169330402237E-2</v>
      </c>
      <c r="N457" s="12">
        <v>-5.3199711722416963E-2</v>
      </c>
      <c r="O457" s="12">
        <v>-4.0696709167607384E-2</v>
      </c>
      <c r="P457">
        <f t="shared" si="21"/>
        <v>0.16639114233367863</v>
      </c>
      <c r="Q457">
        <f t="shared" si="22"/>
        <v>-9.0206313366391788E-2</v>
      </c>
      <c r="R457">
        <f t="shared" si="23"/>
        <v>-6.9006014906791244E-2</v>
      </c>
    </row>
    <row r="458" spans="1:18" ht="13">
      <c r="A458" s="8" t="s">
        <v>109</v>
      </c>
      <c r="B458" s="9">
        <v>2018</v>
      </c>
      <c r="C458" s="4">
        <v>-0.31010397823681651</v>
      </c>
      <c r="D458" s="10">
        <v>0.75730207151348738</v>
      </c>
      <c r="E458" s="11">
        <v>0.1163</v>
      </c>
      <c r="F458" s="11">
        <v>0.45229999999999992</v>
      </c>
      <c r="G458" s="12">
        <v>3.5689996373994504E-2</v>
      </c>
      <c r="H458" s="12">
        <v>-0.13008339812638345</v>
      </c>
      <c r="I458" s="12">
        <v>6.5928356625758341E-2</v>
      </c>
      <c r="J458" s="12">
        <v>4.150746578295561E-3</v>
      </c>
      <c r="K458" s="12">
        <v>-1.5128699202098396E-2</v>
      </c>
      <c r="L458" s="12">
        <v>7.6674678755756951E-3</v>
      </c>
      <c r="M458" s="12">
        <v>1.614258535995771E-2</v>
      </c>
      <c r="N458" s="12">
        <v>-5.8836720972563226E-2</v>
      </c>
      <c r="O458" s="12">
        <v>2.9819395701830492E-2</v>
      </c>
      <c r="P458">
        <f t="shared" si="21"/>
        <v>2.7028108186334891E-2</v>
      </c>
      <c r="Q458">
        <f t="shared" si="22"/>
        <v>-9.8512426870623893E-2</v>
      </c>
      <c r="R458">
        <f t="shared" si="23"/>
        <v>4.9927681044166741E-2</v>
      </c>
    </row>
    <row r="459" spans="1:18" ht="13">
      <c r="A459" s="8" t="s">
        <v>109</v>
      </c>
      <c r="B459" s="9">
        <v>2019</v>
      </c>
      <c r="C459" s="4">
        <v>-0.31507333688716843</v>
      </c>
      <c r="D459" s="10">
        <v>0.76342894149276819</v>
      </c>
      <c r="E459" s="11">
        <v>0.18</v>
      </c>
      <c r="F459" s="11">
        <v>0.45119999999999988</v>
      </c>
      <c r="G459" s="12">
        <v>5.4677809252923627E-2</v>
      </c>
      <c r="H459" s="12">
        <v>-0.18856481027410299</v>
      </c>
      <c r="I459" s="12">
        <v>0.13613849961633656</v>
      </c>
      <c r="J459" s="12">
        <v>9.8420056655262531E-3</v>
      </c>
      <c r="K459" s="12">
        <v>-3.394166584933854E-2</v>
      </c>
      <c r="L459" s="12">
        <v>2.450492993094058E-2</v>
      </c>
      <c r="M459" s="12">
        <v>2.4670627534919134E-2</v>
      </c>
      <c r="N459" s="12">
        <v>-8.5080442395675249E-2</v>
      </c>
      <c r="O459" s="12">
        <v>6.1425691026891042E-2</v>
      </c>
      <c r="P459">
        <f t="shared" si="21"/>
        <v>4.1742622041102968E-2</v>
      </c>
      <c r="Q459">
        <f t="shared" si="22"/>
        <v>-0.14395583351034311</v>
      </c>
      <c r="R459">
        <f t="shared" si="23"/>
        <v>0.10393207065851345</v>
      </c>
    </row>
    <row r="460" spans="1:18" ht="13">
      <c r="A460" s="8" t="s">
        <v>109</v>
      </c>
      <c r="B460" s="9">
        <v>2020</v>
      </c>
      <c r="C460" s="4">
        <v>-0.64424145957871715</v>
      </c>
      <c r="D460" s="10">
        <v>0.71341448916140981</v>
      </c>
      <c r="E460" s="11">
        <v>7.7399999999999997E-2</v>
      </c>
      <c r="F460" s="11">
        <v>0.44969999999999993</v>
      </c>
      <c r="G460" s="12">
        <v>0.10273621713927507</v>
      </c>
      <c r="H460" s="12">
        <v>-0.14809077251749991</v>
      </c>
      <c r="I460" s="12">
        <v>4.9606409845337984E-2</v>
      </c>
      <c r="J460" s="12">
        <v>7.9517832065798891E-3</v>
      </c>
      <c r="K460" s="12">
        <v>-1.1462225792854493E-2</v>
      </c>
      <c r="L460" s="12">
        <v>3.8395361220291599E-3</v>
      </c>
      <c r="M460" s="12">
        <v>4.6200476847531993E-2</v>
      </c>
      <c r="N460" s="12">
        <v>-6.6596420401119696E-2</v>
      </c>
      <c r="O460" s="12">
        <v>2.230800250744849E-2</v>
      </c>
      <c r="P460">
        <f t="shared" si="21"/>
        <v>7.3293505868791603E-2</v>
      </c>
      <c r="Q460">
        <f t="shared" si="22"/>
        <v>-0.10565010282509076</v>
      </c>
      <c r="R460">
        <f t="shared" si="23"/>
        <v>3.5389931538943327E-2</v>
      </c>
    </row>
    <row r="461" spans="1:18" ht="13">
      <c r="A461" s="8" t="s">
        <v>109</v>
      </c>
      <c r="B461" s="9">
        <v>2021</v>
      </c>
      <c r="C461" s="4">
        <v>-0.91773286848152513</v>
      </c>
      <c r="D461" s="10">
        <v>0.66080505728205063</v>
      </c>
      <c r="E461" s="11">
        <v>0.10399999999999998</v>
      </c>
      <c r="F461" s="11">
        <v>0.41981999999999997</v>
      </c>
      <c r="G461" s="12">
        <v>6.6508972698681182E-2</v>
      </c>
      <c r="H461" s="12">
        <v>-0.13050528771912601</v>
      </c>
      <c r="I461" s="12">
        <v>5.3175463170970209E-2</v>
      </c>
      <c r="J461" s="12">
        <v>6.9169331606628416E-3</v>
      </c>
      <c r="K461" s="12">
        <v>-1.3572549922789102E-2</v>
      </c>
      <c r="L461" s="12">
        <v>5.5302481697809009E-3</v>
      </c>
      <c r="M461" s="12">
        <v>2.7921796918360331E-2</v>
      </c>
      <c r="N461" s="12">
        <v>-5.4788729890243477E-2</v>
      </c>
      <c r="O461" s="12">
        <v>2.2324122948436713E-2</v>
      </c>
      <c r="P461">
        <f t="shared" si="21"/>
        <v>4.3949465513922363E-2</v>
      </c>
      <c r="Q461">
        <f t="shared" si="22"/>
        <v>-8.6238554126847555E-2</v>
      </c>
      <c r="R461">
        <f t="shared" si="23"/>
        <v>3.5138614986692546E-2</v>
      </c>
    </row>
    <row r="462" spans="1:18" ht="13">
      <c r="A462" s="8" t="s">
        <v>110</v>
      </c>
      <c r="B462" s="9">
        <v>2017</v>
      </c>
      <c r="C462" s="4">
        <v>-4.2795533557196919</v>
      </c>
      <c r="D462" s="10">
        <v>4.6784716301979737E-2</v>
      </c>
      <c r="E462" s="11">
        <v>7.1300000000000002E-2</v>
      </c>
      <c r="F462" s="11">
        <v>5.3899999999999997E-2</v>
      </c>
      <c r="G462" s="12">
        <v>-0.12726153263237663</v>
      </c>
      <c r="H462" s="12">
        <v>-3.750177607274794E-2</v>
      </c>
      <c r="I462" s="12">
        <v>0</v>
      </c>
      <c r="J462" s="12">
        <v>-9.0737472766884535E-3</v>
      </c>
      <c r="K462" s="12">
        <v>-2.673876633986928E-3</v>
      </c>
      <c r="L462" s="12">
        <v>0</v>
      </c>
      <c r="M462" s="12">
        <v>-6.8593966088850997E-3</v>
      </c>
      <c r="N462" s="12">
        <v>-2.0213457303211138E-3</v>
      </c>
      <c r="O462" s="12">
        <v>0</v>
      </c>
      <c r="P462">
        <f t="shared" si="21"/>
        <v>-5.9538947003608773E-3</v>
      </c>
      <c r="Q462">
        <f t="shared" si="22"/>
        <v>-1.7545099543838842E-3</v>
      </c>
      <c r="R462">
        <f t="shared" si="23"/>
        <v>0</v>
      </c>
    </row>
    <row r="463" spans="1:18" ht="13">
      <c r="A463" s="8" t="s">
        <v>110</v>
      </c>
      <c r="B463" s="9">
        <v>2018</v>
      </c>
      <c r="C463" s="4">
        <v>-4.2229388771163645</v>
      </c>
      <c r="D463" s="10">
        <v>7.0004335870197734E-2</v>
      </c>
      <c r="E463" s="11">
        <v>7.1300000000000002E-2</v>
      </c>
      <c r="F463" s="11">
        <v>5.9299999999999999E-2</v>
      </c>
      <c r="G463" s="12">
        <v>0.18397211350851772</v>
      </c>
      <c r="H463" s="12">
        <v>-0.17520053399664542</v>
      </c>
      <c r="I463" s="12">
        <v>-2.6414577652012185E-2</v>
      </c>
      <c r="J463" s="12">
        <v>1.3117211693157315E-2</v>
      </c>
      <c r="K463" s="12">
        <v>-1.2491798073960819E-2</v>
      </c>
      <c r="L463" s="12">
        <v>-1.883359386588469E-3</v>
      </c>
      <c r="M463" s="12">
        <v>1.0909546331055101E-2</v>
      </c>
      <c r="N463" s="12">
        <v>-1.0389391666001073E-2</v>
      </c>
      <c r="O463" s="12">
        <v>-1.5663844547643226E-3</v>
      </c>
      <c r="P463">
        <f t="shared" si="21"/>
        <v>1.2878845624800416E-2</v>
      </c>
      <c r="Q463">
        <f t="shared" si="22"/>
        <v>-1.2264797026539162E-2</v>
      </c>
      <c r="R463">
        <f t="shared" si="23"/>
        <v>-1.84913496582088E-3</v>
      </c>
    </row>
    <row r="464" spans="1:18" ht="13">
      <c r="A464" s="8" t="s">
        <v>110</v>
      </c>
      <c r="B464" s="9">
        <v>2019</v>
      </c>
      <c r="C464" s="4">
        <v>-4.3463525644809078</v>
      </c>
      <c r="D464" s="10">
        <v>5.3934702788528334E-2</v>
      </c>
      <c r="E464" s="11">
        <v>4.1300000000000003E-2</v>
      </c>
      <c r="F464" s="11">
        <v>5.9299999999999999E-2</v>
      </c>
      <c r="G464" s="12">
        <v>-2.6338857464192386E-2</v>
      </c>
      <c r="H464" s="12">
        <v>3.5595360171126772E-2</v>
      </c>
      <c r="I464" s="12">
        <v>0</v>
      </c>
      <c r="J464" s="12">
        <v>-1.0877948132711457E-3</v>
      </c>
      <c r="K464" s="12">
        <v>1.4700883750675359E-3</v>
      </c>
      <c r="L464" s="12">
        <v>0</v>
      </c>
      <c r="M464" s="12">
        <v>-1.5618942476266085E-3</v>
      </c>
      <c r="N464" s="12">
        <v>2.1108048581478175E-3</v>
      </c>
      <c r="O464" s="12">
        <v>0</v>
      </c>
      <c r="P464">
        <f t="shared" si="21"/>
        <v>-1.4205784491206274E-3</v>
      </c>
      <c r="Q464">
        <f t="shared" si="22"/>
        <v>1.9198251714803414E-3</v>
      </c>
      <c r="R464">
        <f t="shared" si="23"/>
        <v>0</v>
      </c>
    </row>
    <row r="465" spans="1:18" ht="13">
      <c r="A465" s="8" t="s">
        <v>110</v>
      </c>
      <c r="B465" s="9">
        <v>2020</v>
      </c>
      <c r="C465" s="4">
        <v>-4.3707125401929154</v>
      </c>
      <c r="D465" s="10">
        <v>5.1831168633730801E-2</v>
      </c>
      <c r="E465" s="11">
        <v>3.5299999999999998E-2</v>
      </c>
      <c r="F465" s="11">
        <v>5.3899999999999997E-2</v>
      </c>
      <c r="G465" s="12">
        <v>0.20464139297532596</v>
      </c>
      <c r="H465" s="12">
        <v>-0.20440321689732585</v>
      </c>
      <c r="I465" s="12">
        <v>6.2204496967055694E-3</v>
      </c>
      <c r="J465" s="12">
        <v>7.2238411720290064E-3</v>
      </c>
      <c r="K465" s="12">
        <v>-7.215433556475602E-3</v>
      </c>
      <c r="L465" s="12">
        <v>2.1958187429370658E-4</v>
      </c>
      <c r="M465" s="12">
        <v>1.1030171081370069E-2</v>
      </c>
      <c r="N465" s="12">
        <v>-1.1017333390765863E-2</v>
      </c>
      <c r="O465" s="12">
        <v>3.3528223865243018E-4</v>
      </c>
      <c r="P465">
        <f t="shared" si="21"/>
        <v>1.0606802548745693E-2</v>
      </c>
      <c r="Q465">
        <f t="shared" si="22"/>
        <v>-1.059445760428235E-2</v>
      </c>
      <c r="R465">
        <f t="shared" si="23"/>
        <v>3.2241317720758597E-4</v>
      </c>
    </row>
    <row r="466" spans="1:18" ht="13">
      <c r="A466" s="8" t="s">
        <v>110</v>
      </c>
      <c r="B466" s="9">
        <v>2021</v>
      </c>
      <c r="C466" s="4">
        <v>-4.1405869991223785</v>
      </c>
      <c r="D466" s="10">
        <v>7.5777326587359264E-2</v>
      </c>
      <c r="E466" s="11">
        <v>1.7600000000000001E-2</v>
      </c>
      <c r="F466" s="11">
        <v>0</v>
      </c>
      <c r="G466" s="12">
        <v>-1.9147719013612299E-2</v>
      </c>
      <c r="H466" s="12">
        <v>-2.1110084731059773E-2</v>
      </c>
      <c r="I466" s="12">
        <v>2.5611568814093395E-2</v>
      </c>
      <c r="J466" s="12">
        <v>-3.3699985463957649E-4</v>
      </c>
      <c r="K466" s="12">
        <v>-3.7153749126665205E-4</v>
      </c>
      <c r="L466" s="12">
        <v>4.5076361112804375E-4</v>
      </c>
      <c r="M466" s="12">
        <v>0</v>
      </c>
      <c r="N466" s="12">
        <v>0</v>
      </c>
      <c r="O466" s="12">
        <v>0</v>
      </c>
      <c r="P466">
        <f t="shared" si="21"/>
        <v>-1.4509629570974877E-3</v>
      </c>
      <c r="Q466">
        <f t="shared" si="22"/>
        <v>-1.5996657849523426E-3</v>
      </c>
      <c r="R466">
        <f t="shared" si="23"/>
        <v>1.9407762144401808E-3</v>
      </c>
    </row>
    <row r="467" spans="1:18" ht="13">
      <c r="A467" s="8" t="s">
        <v>111</v>
      </c>
      <c r="B467" s="9">
        <v>2017</v>
      </c>
      <c r="C467" s="4">
        <v>-0.47920065160773273</v>
      </c>
      <c r="D467" s="10">
        <v>0.71613381521638408</v>
      </c>
      <c r="E467" s="11">
        <v>3.1899999999999998E-2</v>
      </c>
      <c r="F467" s="11">
        <v>3.8699999999999998E-2</v>
      </c>
      <c r="G467" s="12">
        <v>-0.1484848484848485</v>
      </c>
      <c r="H467" s="12">
        <v>-0.20683903252710592</v>
      </c>
      <c r="I467" s="12">
        <v>0.34492632749513485</v>
      </c>
      <c r="J467" s="12">
        <v>-4.7366666666666668E-3</v>
      </c>
      <c r="K467" s="12">
        <v>-6.5981651376146788E-3</v>
      </c>
      <c r="L467" s="12">
        <v>1.1003149847094801E-2</v>
      </c>
      <c r="M467" s="12">
        <v>-5.7463636363636363E-3</v>
      </c>
      <c r="N467" s="12">
        <v>-8.0046705587989986E-3</v>
      </c>
      <c r="O467" s="12">
        <v>1.3348648874061718E-2</v>
      </c>
      <c r="P467">
        <f t="shared" si="21"/>
        <v>-0.10633502104728128</v>
      </c>
      <c r="Q467">
        <f t="shared" si="22"/>
        <v>-0.14812442549930213</v>
      </c>
      <c r="R467">
        <f t="shared" si="23"/>
        <v>0.24701340687766687</v>
      </c>
    </row>
    <row r="468" spans="1:18" ht="13">
      <c r="A468" s="8" t="s">
        <v>111</v>
      </c>
      <c r="B468" s="9">
        <v>2018</v>
      </c>
      <c r="C468" s="4">
        <v>-0.20377163662703585</v>
      </c>
      <c r="D468" s="10">
        <v>0.7350037698795393</v>
      </c>
      <c r="E468" s="11">
        <v>6.1999999999999998E-3</v>
      </c>
      <c r="F468" s="11">
        <v>3.8699999999999998E-2</v>
      </c>
      <c r="G468" s="12">
        <v>3.5401799021584759E-2</v>
      </c>
      <c r="H468" s="12">
        <v>-0.31426767898160651</v>
      </c>
      <c r="I468" s="12">
        <v>0.28967579035962904</v>
      </c>
      <c r="J468" s="12">
        <v>2.194911539338255E-4</v>
      </c>
      <c r="K468" s="12">
        <v>-1.9484596096859604E-3</v>
      </c>
      <c r="L468" s="12">
        <v>1.7959899002297E-3</v>
      </c>
      <c r="M468" s="12">
        <v>1.3700496221353302E-3</v>
      </c>
      <c r="N468" s="12">
        <v>-1.2162159176588172E-2</v>
      </c>
      <c r="O468" s="12">
        <v>1.1210453086917644E-2</v>
      </c>
      <c r="P468">
        <f t="shared" si="21"/>
        <v>2.6020455741382585E-2</v>
      </c>
      <c r="Q468">
        <f t="shared" si="22"/>
        <v>-0.23098792880277363</v>
      </c>
      <c r="R468">
        <f t="shared" si="23"/>
        <v>0.21291279795716245</v>
      </c>
    </row>
    <row r="469" spans="1:18" ht="13">
      <c r="A469" s="8" t="s">
        <v>111</v>
      </c>
      <c r="B469" s="9">
        <v>2019</v>
      </c>
      <c r="C469" s="4">
        <v>-0.57134330356611618</v>
      </c>
      <c r="D469" s="10">
        <v>0.67928636329868397</v>
      </c>
      <c r="E469" s="11">
        <v>1.8E-3</v>
      </c>
      <c r="F469" s="11">
        <v>3.0000000000000001E-3</v>
      </c>
      <c r="G469" s="12">
        <v>-5.354561091713287E-3</v>
      </c>
      <c r="H469" s="12">
        <v>-1.2372064849049378E-2</v>
      </c>
      <c r="I469" s="12">
        <v>-3.5778982919121551E-2</v>
      </c>
      <c r="J469" s="12">
        <v>-9.6382099650839172E-6</v>
      </c>
      <c r="K469" s="12">
        <v>-2.2269716728288881E-5</v>
      </c>
      <c r="L469" s="12">
        <v>-6.4402169254418787E-5</v>
      </c>
      <c r="M469" s="12">
        <v>-1.6063683275139863E-5</v>
      </c>
      <c r="N469" s="12">
        <v>-3.7116194547148135E-5</v>
      </c>
      <c r="O469" s="12">
        <v>-1.0733694875736465E-4</v>
      </c>
      <c r="P469">
        <f t="shared" si="21"/>
        <v>-3.6372803310505499E-3</v>
      </c>
      <c r="Q469">
        <f t="shared" si="22"/>
        <v>-8.4041749378062341E-3</v>
      </c>
      <c r="R469">
        <f t="shared" si="23"/>
        <v>-2.4304175189655809E-2</v>
      </c>
    </row>
    <row r="470" spans="1:18" ht="13">
      <c r="A470" s="8" t="s">
        <v>111</v>
      </c>
      <c r="B470" s="9">
        <v>2020</v>
      </c>
      <c r="C470" s="4">
        <v>-0.89506508831619724</v>
      </c>
      <c r="D470" s="10">
        <v>0.62543941037335182</v>
      </c>
      <c r="E470" s="11">
        <v>1.29E-2</v>
      </c>
      <c r="F470" s="11">
        <v>2.8E-3</v>
      </c>
      <c r="G470" s="12">
        <v>-0.11896423297570664</v>
      </c>
      <c r="H470" s="12">
        <v>0.19258915620140349</v>
      </c>
      <c r="I470" s="12">
        <v>-6.5215686786979074E-2</v>
      </c>
      <c r="J470" s="12">
        <v>-1.5346386053866157E-3</v>
      </c>
      <c r="K470" s="12">
        <v>2.4844001149981051E-3</v>
      </c>
      <c r="L470" s="12">
        <v>-8.4128235955203002E-4</v>
      </c>
      <c r="M470" s="12">
        <v>-3.330998523319786E-4</v>
      </c>
      <c r="N470" s="12">
        <v>5.3924963736392975E-4</v>
      </c>
      <c r="O470" s="12">
        <v>-1.826039230035414E-4</v>
      </c>
      <c r="P470">
        <f t="shared" si="21"/>
        <v>-7.4404919727844021E-2</v>
      </c>
      <c r="Q470">
        <f t="shared" si="22"/>
        <v>0.12045284829890715</v>
      </c>
      <c r="R470">
        <f t="shared" si="23"/>
        <v>-4.0788460691141386E-2</v>
      </c>
    </row>
    <row r="471" spans="1:18" ht="13">
      <c r="A471" s="8" t="s">
        <v>111</v>
      </c>
      <c r="B471" s="9">
        <v>2021</v>
      </c>
      <c r="C471" s="4">
        <v>-0.47846771788066994</v>
      </c>
      <c r="D471" s="10">
        <v>0.70804278334524751</v>
      </c>
      <c r="E471" s="11">
        <v>7.6E-3</v>
      </c>
      <c r="F471" s="11">
        <v>0</v>
      </c>
      <c r="G471" s="12">
        <v>-3.8737001119488537E-2</v>
      </c>
      <c r="H471" s="12">
        <v>-1.6990149400017085E-2</v>
      </c>
      <c r="I471" s="12">
        <v>7.3126430270250828E-2</v>
      </c>
      <c r="J471" s="12">
        <v>-2.9440120850811286E-4</v>
      </c>
      <c r="K471" s="12">
        <v>-1.2912513544012985E-4</v>
      </c>
      <c r="L471" s="12">
        <v>5.5576087005390629E-4</v>
      </c>
      <c r="M471" s="12">
        <v>0</v>
      </c>
      <c r="N471" s="12">
        <v>0</v>
      </c>
      <c r="O471" s="12">
        <v>0</v>
      </c>
      <c r="P471">
        <f t="shared" si="21"/>
        <v>-2.7427454091090632E-2</v>
      </c>
      <c r="Q471">
        <f t="shared" si="22"/>
        <v>-1.2029752670639684E-2</v>
      </c>
      <c r="R471">
        <f t="shared" si="23"/>
        <v>5.1776641224650553E-2</v>
      </c>
    </row>
    <row r="472" spans="1:18" ht="13">
      <c r="A472" s="8" t="s">
        <v>112</v>
      </c>
      <c r="B472" s="9">
        <v>2017</v>
      </c>
      <c r="C472" s="4">
        <v>-1.0592362568085778</v>
      </c>
      <c r="D472" s="10">
        <v>0.62966631760676994</v>
      </c>
      <c r="E472" s="11">
        <v>4.5999999999999999E-3</v>
      </c>
      <c r="F472" s="11">
        <v>8.0000000000000002E-3</v>
      </c>
      <c r="G472" s="12">
        <v>2.5094576363927961E-2</v>
      </c>
      <c r="H472" s="12">
        <v>4.5472127095538637E-3</v>
      </c>
      <c r="I472" s="12">
        <v>-3.88588571590298E-2</v>
      </c>
      <c r="J472" s="12">
        <v>1.1543505127406862E-4</v>
      </c>
      <c r="K472" s="12">
        <v>2.0917178463947772E-5</v>
      </c>
      <c r="L472" s="12">
        <v>-1.7875074293153707E-4</v>
      </c>
      <c r="M472" s="12">
        <v>2.007566109114237E-4</v>
      </c>
      <c r="N472" s="12">
        <v>3.6377701676430908E-5</v>
      </c>
      <c r="O472" s="12">
        <v>-3.1087085727223842E-4</v>
      </c>
      <c r="P472">
        <f t="shared" si="21"/>
        <v>1.5801209490976405E-2</v>
      </c>
      <c r="Q472">
        <f t="shared" si="22"/>
        <v>2.8632266821994839E-3</v>
      </c>
      <c r="R472">
        <f t="shared" si="23"/>
        <v>-2.4468113493733765E-2</v>
      </c>
    </row>
    <row r="473" spans="1:18" ht="13">
      <c r="A473" s="8" t="s">
        <v>112</v>
      </c>
      <c r="B473" s="9">
        <v>2018</v>
      </c>
      <c r="C473" s="4">
        <v>-1.7997378675617879</v>
      </c>
      <c r="D473" s="10">
        <v>0.52715143729646285</v>
      </c>
      <c r="E473" s="11">
        <v>6.3E-3</v>
      </c>
      <c r="F473" s="11">
        <v>4.5999999999999999E-2</v>
      </c>
      <c r="G473" s="12">
        <v>2.192849013443314E-2</v>
      </c>
      <c r="H473" s="12">
        <v>1.363487824391783E-2</v>
      </c>
      <c r="I473" s="12">
        <v>-3.1506710388425008E-2</v>
      </c>
      <c r="J473" s="12">
        <v>1.381494878469288E-4</v>
      </c>
      <c r="K473" s="12">
        <v>8.5899732936682333E-5</v>
      </c>
      <c r="L473" s="12">
        <v>-1.9849227544707754E-4</v>
      </c>
      <c r="M473" s="12">
        <v>1.0087105461839244E-3</v>
      </c>
      <c r="N473" s="12">
        <v>6.2720439922022016E-4</v>
      </c>
      <c r="O473" s="12">
        <v>-1.4493086778675503E-3</v>
      </c>
      <c r="P473">
        <f t="shared" si="21"/>
        <v>1.1559635092107735E-2</v>
      </c>
      <c r="Q473">
        <f t="shared" si="22"/>
        <v>7.1876456636435554E-3</v>
      </c>
      <c r="R473">
        <f t="shared" si="23"/>
        <v>-1.6608807665741639E-2</v>
      </c>
    </row>
    <row r="474" spans="1:18" ht="13">
      <c r="A474" s="8" t="s">
        <v>112</v>
      </c>
      <c r="B474" s="9">
        <v>2019</v>
      </c>
      <c r="C474" s="4">
        <v>-0.77052922860603867</v>
      </c>
      <c r="D474" s="10">
        <v>0.62964011576695611</v>
      </c>
      <c r="E474" s="11">
        <v>2.1600000000000001E-2</v>
      </c>
      <c r="F474" s="11">
        <v>2.7000000000000001E-3</v>
      </c>
      <c r="G474" s="12">
        <v>0.26152426492177344</v>
      </c>
      <c r="H474" s="12">
        <v>1.4502327922486473E-2</v>
      </c>
      <c r="I474" s="12">
        <v>-0.27845937670399734</v>
      </c>
      <c r="J474" s="12">
        <v>5.6489241223103065E-3</v>
      </c>
      <c r="K474" s="12">
        <v>3.1325028312570783E-4</v>
      </c>
      <c r="L474" s="12">
        <v>-6.0147225368063426E-3</v>
      </c>
      <c r="M474" s="12">
        <v>7.0611551528878831E-4</v>
      </c>
      <c r="N474" s="12">
        <v>3.9156285390713478E-5</v>
      </c>
      <c r="O474" s="12">
        <v>-7.5184031710079282E-4</v>
      </c>
      <c r="P474">
        <f t="shared" si="21"/>
        <v>0.16466616844121354</v>
      </c>
      <c r="Q474">
        <f t="shared" si="22"/>
        <v>9.1312474320047431E-3</v>
      </c>
      <c r="R474">
        <f t="shared" si="23"/>
        <v>-0.17532919418429932</v>
      </c>
    </row>
    <row r="475" spans="1:18" ht="13">
      <c r="A475" s="8" t="s">
        <v>112</v>
      </c>
      <c r="B475" s="9">
        <v>2020</v>
      </c>
      <c r="C475" s="4">
        <v>-1.3689842223684627</v>
      </c>
      <c r="D475" s="10">
        <v>0.57477687320126758</v>
      </c>
      <c r="E475" s="11">
        <v>9.1999999999999998E-3</v>
      </c>
      <c r="F475" s="11">
        <v>2.7000000000000001E-3</v>
      </c>
      <c r="G475" s="12">
        <v>1.7155847209935161E-2</v>
      </c>
      <c r="H475" s="12">
        <v>7.6148669078041195E-4</v>
      </c>
      <c r="I475" s="12">
        <v>-2.7783065879797085E-2</v>
      </c>
      <c r="J475" s="12">
        <v>1.5783379433140349E-4</v>
      </c>
      <c r="K475" s="12">
        <v>7.0056775551797901E-6</v>
      </c>
      <c r="L475" s="12">
        <v>-2.5560420609413317E-4</v>
      </c>
      <c r="M475" s="12">
        <v>4.6320787466824939E-5</v>
      </c>
      <c r="N475" s="12">
        <v>2.0560140651071124E-6</v>
      </c>
      <c r="O475" s="12">
        <v>-7.5014277875452137E-5</v>
      </c>
      <c r="P475">
        <f t="shared" si="21"/>
        <v>9.860784216445222E-3</v>
      </c>
      <c r="Q475">
        <f t="shared" si="22"/>
        <v>4.3768493911114571E-4</v>
      </c>
      <c r="R475">
        <f t="shared" si="23"/>
        <v>-1.5969063734334592E-2</v>
      </c>
    </row>
    <row r="476" spans="1:18" ht="13">
      <c r="A476" s="8" t="s">
        <v>112</v>
      </c>
      <c r="B476" s="9">
        <v>2021</v>
      </c>
      <c r="C476" s="4">
        <v>-1.3005404243341259</v>
      </c>
      <c r="D476" s="10">
        <v>0.61619372225745084</v>
      </c>
      <c r="E476" s="11">
        <v>1.8499999999999999E-2</v>
      </c>
      <c r="F476" s="11">
        <v>1E-4</v>
      </c>
      <c r="G476" s="12">
        <v>1.3942612555485099E-2</v>
      </c>
      <c r="H476" s="12">
        <v>1.4822447685478759E-3</v>
      </c>
      <c r="I476" s="12">
        <v>-9.9476854787571359E-3</v>
      </c>
      <c r="J476" s="12">
        <v>2.5793833227647433E-4</v>
      </c>
      <c r="K476" s="12">
        <v>2.7421528218135702E-5</v>
      </c>
      <c r="L476" s="12">
        <v>-1.8403218135700701E-4</v>
      </c>
      <c r="M476" s="12">
        <v>1.39426125554851E-6</v>
      </c>
      <c r="N476" s="12">
        <v>1.4822447685478761E-7</v>
      </c>
      <c r="O476" s="12">
        <v>-9.9476854787571362E-7</v>
      </c>
      <c r="P476">
        <f t="shared" si="21"/>
        <v>8.5913503285578313E-3</v>
      </c>
      <c r="Q476">
        <f t="shared" si="22"/>
        <v>9.1334992122814936E-4</v>
      </c>
      <c r="R476">
        <f t="shared" si="23"/>
        <v>-6.1297013430017516E-3</v>
      </c>
    </row>
    <row r="477" spans="1:18" ht="13">
      <c r="A477" s="8" t="s">
        <v>113</v>
      </c>
      <c r="B477" s="9">
        <v>2017</v>
      </c>
      <c r="C477" s="4">
        <v>-0.46927444626783438</v>
      </c>
      <c r="D477" s="10">
        <v>0.68549924447481547</v>
      </c>
      <c r="E477" s="11">
        <v>1.2999999999999999E-2</v>
      </c>
      <c r="F477" s="11">
        <v>6.7000000000000002E-4</v>
      </c>
      <c r="G477" s="12">
        <v>3.8286138048917388E-2</v>
      </c>
      <c r="H477" s="12">
        <v>3.1989475308049208E-2</v>
      </c>
      <c r="I477" s="12">
        <v>-7.8273524278719725E-2</v>
      </c>
      <c r="J477" s="12">
        <v>4.9771979463592605E-4</v>
      </c>
      <c r="K477" s="12">
        <v>4.1586317900463966E-4</v>
      </c>
      <c r="L477" s="12">
        <v>-1.0175558156233565E-3</v>
      </c>
      <c r="M477" s="12">
        <v>2.5651712492774651E-5</v>
      </c>
      <c r="N477" s="12">
        <v>2.1432948456392971E-5</v>
      </c>
      <c r="O477" s="12">
        <v>-5.2443261266742215E-5</v>
      </c>
      <c r="P477">
        <f t="shared" si="21"/>
        <v>2.6245118706391356E-2</v>
      </c>
      <c r="Q477">
        <f t="shared" si="22"/>
        <v>2.1928761154813497E-2</v>
      </c>
      <c r="R477">
        <f t="shared" si="23"/>
        <v>-5.3656441755443499E-2</v>
      </c>
    </row>
    <row r="478" spans="1:18" ht="13">
      <c r="A478" s="8" t="s">
        <v>113</v>
      </c>
      <c r="B478" s="9">
        <v>2018</v>
      </c>
      <c r="C478" s="4">
        <v>-0.49836237931790511</v>
      </c>
      <c r="D478" s="10">
        <v>0.6503328524100479</v>
      </c>
      <c r="E478" s="11">
        <v>8.2000000000000007E-3</v>
      </c>
      <c r="F478" s="11">
        <v>5.8E-4</v>
      </c>
      <c r="G478" s="12">
        <v>-5.4475124911771595E-2</v>
      </c>
      <c r="H478" s="12">
        <v>-4.1137118816437425E-2</v>
      </c>
      <c r="I478" s="12">
        <v>9.6240773887994555E-2</v>
      </c>
      <c r="J478" s="12">
        <v>-4.4669602427652714E-4</v>
      </c>
      <c r="K478" s="12">
        <v>-3.3732437429478691E-4</v>
      </c>
      <c r="L478" s="12">
        <v>7.891743458815554E-4</v>
      </c>
      <c r="M478" s="12">
        <v>-3.1595572448827529E-5</v>
      </c>
      <c r="N478" s="12">
        <v>-2.3859528913533708E-5</v>
      </c>
      <c r="O478" s="12">
        <v>5.5819648855036841E-5</v>
      </c>
      <c r="P478">
        <f t="shared" si="21"/>
        <v>-3.5426963369266082E-2</v>
      </c>
      <c r="Q478">
        <f t="shared" si="22"/>
        <v>-2.6752819819824806E-2</v>
      </c>
      <c r="R478">
        <f t="shared" si="23"/>
        <v>6.2588537000729957E-2</v>
      </c>
    </row>
    <row r="479" spans="1:18" ht="13">
      <c r="A479" s="8" t="s">
        <v>113</v>
      </c>
      <c r="B479" s="9">
        <v>2019</v>
      </c>
      <c r="C479" s="4">
        <v>-0.51370915284189722</v>
      </c>
      <c r="D479" s="10">
        <v>0.58171198286633996</v>
      </c>
      <c r="E479" s="11">
        <v>3.0999999999999999E-3</v>
      </c>
      <c r="F479" s="11">
        <v>1E-3</v>
      </c>
      <c r="G479" s="12">
        <v>-7.8674031345560155E-2</v>
      </c>
      <c r="H479" s="12">
        <v>0.19776216050435363</v>
      </c>
      <c r="I479" s="12">
        <v>-0.11741118851020746</v>
      </c>
      <c r="J479" s="12">
        <v>-2.4388949717123648E-4</v>
      </c>
      <c r="K479" s="12">
        <v>6.1306269756349627E-4</v>
      </c>
      <c r="L479" s="12">
        <v>-3.6397468438164314E-4</v>
      </c>
      <c r="M479" s="12">
        <v>-7.8674031345560153E-5</v>
      </c>
      <c r="N479" s="12">
        <v>1.9776216050435363E-4</v>
      </c>
      <c r="O479" s="12">
        <v>-1.1741118851020746E-4</v>
      </c>
      <c r="P479">
        <f t="shared" si="21"/>
        <v>-4.576562677411438E-2</v>
      </c>
      <c r="Q479">
        <f t="shared" si="22"/>
        <v>0.11504061852291894</v>
      </c>
      <c r="R479">
        <f t="shared" si="23"/>
        <v>-6.8299495278966407E-2</v>
      </c>
    </row>
    <row r="480" spans="1:18" ht="13">
      <c r="A480" s="8" t="s">
        <v>113</v>
      </c>
      <c r="B480" s="9">
        <v>2020</v>
      </c>
      <c r="C480" s="4">
        <v>-0.61161012896775091</v>
      </c>
      <c r="D480" s="10">
        <v>0.6481529898617221</v>
      </c>
      <c r="E480" s="11">
        <v>1E-3</v>
      </c>
      <c r="F480" s="11">
        <v>4.58E-2</v>
      </c>
      <c r="G480" s="12">
        <v>-1.0559439510625715E-3</v>
      </c>
      <c r="H480" s="12">
        <v>-0.1049502895637472</v>
      </c>
      <c r="I480" s="12">
        <v>0.10256924742611129</v>
      </c>
      <c r="J480" s="12">
        <v>-1.0559439510625716E-6</v>
      </c>
      <c r="K480" s="12">
        <v>-1.0495028956374721E-4</v>
      </c>
      <c r="L480" s="12">
        <v>1.0256924742611128E-4</v>
      </c>
      <c r="M480" s="12">
        <v>-4.8362232958665774E-5</v>
      </c>
      <c r="N480" s="12">
        <v>-4.8067232620196219E-3</v>
      </c>
      <c r="O480" s="12">
        <v>4.697671532115897E-3</v>
      </c>
      <c r="P480">
        <f t="shared" si="21"/>
        <v>-6.8441322900760567E-4</v>
      </c>
      <c r="Q480">
        <f t="shared" si="22"/>
        <v>-6.802384396759624E-2</v>
      </c>
      <c r="R480">
        <f t="shared" si="23"/>
        <v>6.6480564387100774E-2</v>
      </c>
    </row>
    <row r="481" spans="1:18" ht="13">
      <c r="A481" s="8" t="s">
        <v>113</v>
      </c>
      <c r="B481" s="9">
        <v>2021</v>
      </c>
      <c r="C481" s="4">
        <v>-0.68165873145408096</v>
      </c>
      <c r="D481" s="10">
        <v>0.57216176014211273</v>
      </c>
      <c r="E481" s="11">
        <v>1.7399999999999999E-2</v>
      </c>
      <c r="F481" s="11">
        <v>4.58E-2</v>
      </c>
      <c r="G481" s="12">
        <v>-0.11315291020578509</v>
      </c>
      <c r="H481" s="12">
        <v>0.19999643291562777</v>
      </c>
      <c r="I481" s="12">
        <v>-8.661308905939552E-2</v>
      </c>
      <c r="J481" s="12">
        <v>-1.9688606375806604E-3</v>
      </c>
      <c r="K481" s="12">
        <v>3.4799379327319232E-3</v>
      </c>
      <c r="L481" s="12">
        <v>-1.507067749633482E-3</v>
      </c>
      <c r="M481" s="12">
        <v>-5.1824032874249575E-3</v>
      </c>
      <c r="N481" s="12">
        <v>9.1598366275357519E-3</v>
      </c>
      <c r="O481" s="12">
        <v>-3.9668794789203153E-3</v>
      </c>
      <c r="P481">
        <f t="shared" si="21"/>
        <v>-6.4741768268544428E-2</v>
      </c>
      <c r="Q481">
        <f t="shared" si="22"/>
        <v>0.11443031107914955</v>
      </c>
      <c r="R481">
        <f t="shared" si="23"/>
        <v>-4.9556697487569308E-2</v>
      </c>
    </row>
    <row r="482" spans="1:18" ht="13">
      <c r="A482" s="8" t="s">
        <v>114</v>
      </c>
      <c r="B482" s="9">
        <v>2017</v>
      </c>
      <c r="C482" s="4">
        <v>-3.2530396626314646</v>
      </c>
      <c r="D482" s="10">
        <v>0.2464736451373423</v>
      </c>
      <c r="E482" s="11">
        <v>2.0000000000000001E-4</v>
      </c>
      <c r="F482" s="11">
        <v>4.0000000000000002E-4</v>
      </c>
      <c r="G482" s="12">
        <v>0.21995005736653847</v>
      </c>
      <c r="H482" s="12">
        <v>-1.7142471485455897E-2</v>
      </c>
      <c r="I482" s="12">
        <v>-5.8851319430384026E-2</v>
      </c>
      <c r="J482" s="12">
        <v>4.3990011473307693E-5</v>
      </c>
      <c r="K482" s="12">
        <v>-3.4284942970911795E-6</v>
      </c>
      <c r="L482" s="12">
        <v>-1.1770263886076806E-5</v>
      </c>
      <c r="M482" s="12">
        <v>8.7980022946615387E-5</v>
      </c>
      <c r="N482" s="12">
        <v>-6.8569885941823591E-6</v>
      </c>
      <c r="O482" s="12">
        <v>-2.3540527772153612E-5</v>
      </c>
      <c r="P482">
        <f t="shared" si="21"/>
        <v>5.4211892387298281E-2</v>
      </c>
      <c r="Q482">
        <f t="shared" si="22"/>
        <v>-4.2251674336832657E-3</v>
      </c>
      <c r="R482">
        <f t="shared" si="23"/>
        <v>-1.450529922114885E-2</v>
      </c>
    </row>
    <row r="483" spans="1:18" ht="13">
      <c r="A483" s="8" t="s">
        <v>114</v>
      </c>
      <c r="B483" s="9">
        <v>2018</v>
      </c>
      <c r="C483" s="4">
        <v>-3.8157977643820966</v>
      </c>
      <c r="D483" s="10">
        <v>0.19081557184159215</v>
      </c>
      <c r="E483" s="11">
        <v>2.0000000000000001E-4</v>
      </c>
      <c r="F483" s="11">
        <v>4.0000000000000002E-4</v>
      </c>
      <c r="G483" s="12">
        <v>0.25899280575539574</v>
      </c>
      <c r="H483" s="12">
        <v>3.9669199220063204E-3</v>
      </c>
      <c r="I483" s="12">
        <v>-0.13393397431587442</v>
      </c>
      <c r="J483" s="12">
        <v>5.179856115107915E-5</v>
      </c>
      <c r="K483" s="12">
        <v>7.933839844012641E-7</v>
      </c>
      <c r="L483" s="12">
        <v>-2.6786794863174884E-5</v>
      </c>
      <c r="M483" s="12">
        <v>1.035971223021583E-4</v>
      </c>
      <c r="N483" s="12">
        <v>1.5867679688025282E-6</v>
      </c>
      <c r="O483" s="12">
        <v>-5.3573589726349768E-5</v>
      </c>
      <c r="P483">
        <f t="shared" si="21"/>
        <v>4.9419860333074238E-2</v>
      </c>
      <c r="Q483">
        <f t="shared" si="22"/>
        <v>7.5695009336744013E-4</v>
      </c>
      <c r="R483">
        <f t="shared" si="23"/>
        <v>-2.5556687898100693E-2</v>
      </c>
    </row>
    <row r="484" spans="1:18" ht="13">
      <c r="A484" s="8" t="s">
        <v>114</v>
      </c>
      <c r="B484" s="9">
        <v>2019</v>
      </c>
      <c r="C484" s="4">
        <v>-3.5456154795725903</v>
      </c>
      <c r="D484" s="10">
        <v>0.20291859741337576</v>
      </c>
      <c r="E484" s="11">
        <v>2.0000000000000001E-4</v>
      </c>
      <c r="F484" s="11">
        <v>4.0000000000000002E-4</v>
      </c>
      <c r="G484" s="12">
        <v>0.18721903312815547</v>
      </c>
      <c r="H484" s="12">
        <v>-0.29421121792655092</v>
      </c>
      <c r="I484" s="12">
        <v>-0.11287087627083478</v>
      </c>
      <c r="J484" s="12">
        <v>3.7443806625631097E-5</v>
      </c>
      <c r="K484" s="12">
        <v>-5.8842243585310183E-5</v>
      </c>
      <c r="L484" s="12">
        <v>-2.2574175254166957E-5</v>
      </c>
      <c r="M484" s="12">
        <v>7.4887613251262193E-5</v>
      </c>
      <c r="N484" s="12">
        <v>-1.1768448717062037E-4</v>
      </c>
      <c r="O484" s="12">
        <v>-4.5148350508333914E-5</v>
      </c>
      <c r="P484">
        <f t="shared" si="21"/>
        <v>3.7990223611453634E-2</v>
      </c>
      <c r="Q484">
        <f t="shared" si="22"/>
        <v>-5.9700927684936747E-2</v>
      </c>
      <c r="R484">
        <f t="shared" si="23"/>
        <v>-2.2903599901696471E-2</v>
      </c>
    </row>
    <row r="485" spans="1:18" ht="13">
      <c r="A485" s="8" t="s">
        <v>114</v>
      </c>
      <c r="B485" s="9">
        <v>2020</v>
      </c>
      <c r="C485" s="4">
        <v>-2.3352202584221371</v>
      </c>
      <c r="D485" s="10">
        <v>0.12449528936742935</v>
      </c>
      <c r="E485" s="11">
        <v>2.0000000000000001E-4</v>
      </c>
      <c r="F485" s="11">
        <v>0.04</v>
      </c>
      <c r="G485" s="12">
        <v>-0.31168685509196947</v>
      </c>
      <c r="H485" s="12">
        <v>0.39614176760879322</v>
      </c>
      <c r="I485" s="12">
        <v>-0.12561686855091969</v>
      </c>
      <c r="J485" s="12">
        <v>-6.2337371018393901E-5</v>
      </c>
      <c r="K485" s="12">
        <v>7.9228353521758641E-5</v>
      </c>
      <c r="L485" s="12">
        <v>-2.512337371018394E-5</v>
      </c>
      <c r="M485" s="12">
        <v>-1.246747420367878E-2</v>
      </c>
      <c r="N485" s="12">
        <v>1.5845670704351729E-2</v>
      </c>
      <c r="O485" s="12">
        <v>-5.0246747420367877E-3</v>
      </c>
      <c r="P485">
        <f t="shared" si="21"/>
        <v>-3.8803545216698758E-2</v>
      </c>
      <c r="Q485">
        <f t="shared" si="22"/>
        <v>4.9317783988981664E-2</v>
      </c>
      <c r="R485">
        <f t="shared" si="23"/>
        <v>-1.5638708399677081E-2</v>
      </c>
    </row>
    <row r="486" spans="1:18" ht="13">
      <c r="A486" s="8" t="s">
        <v>114</v>
      </c>
      <c r="B486" s="9">
        <v>2021</v>
      </c>
      <c r="C486" s="4">
        <v>-1.6262963654379254</v>
      </c>
      <c r="D486" s="10">
        <v>0.25042768785366498</v>
      </c>
      <c r="E486" s="11">
        <v>8.0000000000000004E-4</v>
      </c>
      <c r="F486" s="11">
        <v>3.9453000000000002E-2</v>
      </c>
      <c r="G486" s="12">
        <v>-0.10632978023424136</v>
      </c>
      <c r="H486" s="12">
        <v>0.10764574286090275</v>
      </c>
      <c r="I486" s="12">
        <v>0</v>
      </c>
      <c r="J486" s="12">
        <v>-8.5063824187393093E-5</v>
      </c>
      <c r="K486" s="12">
        <v>8.611659428872221E-5</v>
      </c>
      <c r="L486" s="12">
        <v>0</v>
      </c>
      <c r="M486" s="12">
        <v>-4.195028819581525E-3</v>
      </c>
      <c r="N486" s="12">
        <v>4.2469474930911964E-3</v>
      </c>
      <c r="O486" s="12">
        <v>0</v>
      </c>
      <c r="P486">
        <f t="shared" si="21"/>
        <v>-2.6627921014049392E-2</v>
      </c>
      <c r="Q486">
        <f t="shared" si="22"/>
        <v>2.6957474491946042E-2</v>
      </c>
      <c r="R486">
        <f t="shared" si="23"/>
        <v>0</v>
      </c>
    </row>
    <row r="487" spans="1:18" ht="13">
      <c r="A487" s="8" t="s">
        <v>115</v>
      </c>
      <c r="B487" s="9">
        <v>2017</v>
      </c>
      <c r="C487" s="4">
        <v>-2.770166579460247</v>
      </c>
      <c r="D487" s="10">
        <v>0.38898061151012647</v>
      </c>
      <c r="E487" s="11">
        <v>0.40179999999999999</v>
      </c>
      <c r="F487" s="11">
        <v>0.35420000000000001</v>
      </c>
      <c r="G487" s="12">
        <v>0.11426010775113357</v>
      </c>
      <c r="H487" s="12">
        <v>-0.33808059193341355</v>
      </c>
      <c r="I487" s="12">
        <v>0.21828016124572774</v>
      </c>
      <c r="J487" s="12">
        <v>4.5909711294405471E-2</v>
      </c>
      <c r="K487" s="12">
        <v>-0.13584078183884557</v>
      </c>
      <c r="L487" s="12">
        <v>8.77049687885334E-2</v>
      </c>
      <c r="M487" s="12">
        <v>4.0470930165451516E-2</v>
      </c>
      <c r="N487" s="12">
        <v>-0.11974814566281508</v>
      </c>
      <c r="O487" s="12">
        <v>7.7314833113236767E-2</v>
      </c>
      <c r="P487">
        <f t="shared" si="21"/>
        <v>4.4444966584248881E-2</v>
      </c>
      <c r="Q487">
        <f t="shared" si="22"/>
        <v>-0.13150679538996474</v>
      </c>
      <c r="R487">
        <f t="shared" si="23"/>
        <v>8.4906750601892192E-2</v>
      </c>
    </row>
    <row r="488" spans="1:18" ht="13">
      <c r="A488" s="8" t="s">
        <v>115</v>
      </c>
      <c r="B488" s="9">
        <v>2018</v>
      </c>
      <c r="C488" s="4">
        <v>-2.0593801009752721</v>
      </c>
      <c r="D488" s="10">
        <v>0.4806777443107853</v>
      </c>
      <c r="E488" s="11">
        <v>0.4</v>
      </c>
      <c r="F488" s="11">
        <v>0.35359999999999997</v>
      </c>
      <c r="G488" s="12">
        <v>9.7699385385451171E-2</v>
      </c>
      <c r="H488" s="12">
        <v>-0.26249475697751856</v>
      </c>
      <c r="I488" s="12">
        <v>0.14244542622432965</v>
      </c>
      <c r="J488" s="12">
        <v>3.9079754154180468E-2</v>
      </c>
      <c r="K488" s="12">
        <v>-0.10499790279100743</v>
      </c>
      <c r="L488" s="12">
        <v>5.6978170489731861E-2</v>
      </c>
      <c r="M488" s="12">
        <v>3.4546502672295532E-2</v>
      </c>
      <c r="N488" s="12">
        <v>-9.2818146067250556E-2</v>
      </c>
      <c r="O488" s="12">
        <v>5.0368702712922958E-2</v>
      </c>
      <c r="P488">
        <f t="shared" si="21"/>
        <v>4.6961920187628771E-2</v>
      </c>
      <c r="Q488">
        <f t="shared" si="22"/>
        <v>-0.12617538767736139</v>
      </c>
      <c r="R488">
        <f t="shared" si="23"/>
        <v>6.8470346164899165E-2</v>
      </c>
    </row>
    <row r="489" spans="1:18" ht="13">
      <c r="A489" s="8" t="s">
        <v>115</v>
      </c>
      <c r="B489" s="9">
        <v>2019</v>
      </c>
      <c r="C489" s="4">
        <v>-1.6158885916063652</v>
      </c>
      <c r="D489" s="10">
        <v>0.53047254839867497</v>
      </c>
      <c r="E489" s="11">
        <v>0.38</v>
      </c>
      <c r="F489" s="11">
        <v>0.35500000000000009</v>
      </c>
      <c r="G489" s="12">
        <v>7.5805373819356092E-2</v>
      </c>
      <c r="H489" s="12">
        <v>-0.17748992567306862</v>
      </c>
      <c r="I489" s="12">
        <v>0.12161940291834925</v>
      </c>
      <c r="J489" s="12">
        <v>2.8806042051355316E-2</v>
      </c>
      <c r="K489" s="12">
        <v>-6.7446171755766074E-2</v>
      </c>
      <c r="L489" s="12">
        <v>4.6215373108972717E-2</v>
      </c>
      <c r="M489" s="12">
        <v>2.6910907705871418E-2</v>
      </c>
      <c r="N489" s="12">
        <v>-6.300892361393938E-2</v>
      </c>
      <c r="O489" s="12">
        <v>4.3174888036013992E-2</v>
      </c>
      <c r="P489">
        <f t="shared" si="21"/>
        <v>4.0212669832268025E-2</v>
      </c>
      <c r="Q489">
        <f t="shared" si="22"/>
        <v>-9.4153533186884117E-2</v>
      </c>
      <c r="R489">
        <f t="shared" si="23"/>
        <v>6.451575460082197E-2</v>
      </c>
    </row>
    <row r="490" spans="1:18" ht="13">
      <c r="A490" s="8" t="s">
        <v>115</v>
      </c>
      <c r="B490" s="9">
        <v>2020</v>
      </c>
      <c r="C490" s="4">
        <v>-1.6332330045509302</v>
      </c>
      <c r="D490" s="10">
        <v>0.5496986079460926</v>
      </c>
      <c r="E490" s="11">
        <v>0.3</v>
      </c>
      <c r="F490" s="11">
        <v>0.35470000000000007</v>
      </c>
      <c r="G490" s="12">
        <v>8.8108311193939567E-2</v>
      </c>
      <c r="H490" s="12">
        <v>-0.14063720545050726</v>
      </c>
      <c r="I490" s="12">
        <v>0.12207075841240568</v>
      </c>
      <c r="J490" s="12">
        <v>2.6432493358181871E-2</v>
      </c>
      <c r="K490" s="12">
        <v>-4.2191161635152179E-2</v>
      </c>
      <c r="L490" s="12">
        <v>3.6621227523721704E-2</v>
      </c>
      <c r="M490" s="12">
        <v>3.1252017980490369E-2</v>
      </c>
      <c r="N490" s="12">
        <v>-4.9884016773294931E-2</v>
      </c>
      <c r="O490" s="12">
        <v>4.3298498008880304E-2</v>
      </c>
      <c r="P490">
        <f t="shared" si="21"/>
        <v>4.843301601178971E-2</v>
      </c>
      <c r="Q490">
        <f t="shared" si="22"/>
        <v>-7.7308076061572473E-2</v>
      </c>
      <c r="R490">
        <f t="shared" si="23"/>
        <v>6.7102125970223178E-2</v>
      </c>
    </row>
    <row r="491" spans="1:18" ht="13">
      <c r="A491" s="8" t="s">
        <v>115</v>
      </c>
      <c r="B491" s="9">
        <v>2021</v>
      </c>
      <c r="C491" s="4">
        <v>-2.3798538108521146</v>
      </c>
      <c r="D491" s="10">
        <v>0.49067300611176995</v>
      </c>
      <c r="E491" s="11">
        <v>0.26</v>
      </c>
      <c r="F491" s="11">
        <v>0.34589999999999999</v>
      </c>
      <c r="G491" s="12">
        <v>0.14991835002071965</v>
      </c>
      <c r="H491" s="12">
        <v>-0.11035595306503575</v>
      </c>
      <c r="I491" s="12">
        <v>9.7629317285434693E-3</v>
      </c>
      <c r="J491" s="12">
        <v>3.897877100538711E-2</v>
      </c>
      <c r="K491" s="12">
        <v>-2.8692547796909294E-2</v>
      </c>
      <c r="L491" s="12">
        <v>2.5383622494213019E-3</v>
      </c>
      <c r="M491" s="12">
        <v>5.1856757272166924E-2</v>
      </c>
      <c r="N491" s="12">
        <v>-3.8172124165195866E-2</v>
      </c>
      <c r="O491" s="12">
        <v>3.376998084903186E-3</v>
      </c>
      <c r="P491">
        <f t="shared" si="21"/>
        <v>7.3560887475983036E-2</v>
      </c>
      <c r="Q491">
        <f t="shared" si="22"/>
        <v>-5.414868723275048E-2</v>
      </c>
      <c r="R491">
        <f t="shared" si="23"/>
        <v>4.7904070597084023E-3</v>
      </c>
    </row>
    <row r="492" spans="1:18" ht="13">
      <c r="A492" s="21" t="s">
        <v>116</v>
      </c>
      <c r="B492" s="9">
        <v>2017</v>
      </c>
      <c r="C492" s="4">
        <v>-2.4825162770062805</v>
      </c>
      <c r="D492" s="10">
        <v>0.32858672273917627</v>
      </c>
      <c r="E492" s="11">
        <v>8.5999999999999993E-2</v>
      </c>
      <c r="F492" s="11">
        <v>9.0399999999999994E-2</v>
      </c>
      <c r="G492" s="12">
        <v>-3.4704481420104689E-2</v>
      </c>
      <c r="H492" s="12">
        <v>2.5089990608282021E-2</v>
      </c>
      <c r="I492" s="12">
        <v>5.6959327129884572E-3</v>
      </c>
      <c r="J492" s="12">
        <v>-2.9845854021290029E-3</v>
      </c>
      <c r="K492" s="12">
        <v>2.1577391923122535E-3</v>
      </c>
      <c r="L492" s="12">
        <v>4.898502133170073E-4</v>
      </c>
      <c r="M492" s="12">
        <v>-3.1372851203774637E-3</v>
      </c>
      <c r="N492" s="12">
        <v>2.2681351509886948E-3</v>
      </c>
      <c r="O492" s="12">
        <v>5.149123172541565E-4</v>
      </c>
      <c r="P492">
        <f t="shared" si="21"/>
        <v>-1.1403431814194833E-2</v>
      </c>
      <c r="Q492">
        <f t="shared" si="22"/>
        <v>8.2442377875321018E-3</v>
      </c>
      <c r="R492">
        <f t="shared" si="23"/>
        <v>1.8716078631037423E-3</v>
      </c>
    </row>
    <row r="493" spans="1:18" ht="13">
      <c r="A493" s="22" t="s">
        <v>116</v>
      </c>
      <c r="B493" s="9">
        <v>2018</v>
      </c>
      <c r="C493" s="4">
        <v>-2.3414817334788331</v>
      </c>
      <c r="D493" s="10">
        <v>0.35010872894798295</v>
      </c>
      <c r="E493" s="11">
        <v>5.0999999999999997E-2</v>
      </c>
      <c r="F493" s="11">
        <v>3.7000000000000002E-3</v>
      </c>
      <c r="G493" s="12">
        <v>2.6090398187547579E-2</v>
      </c>
      <c r="H493" s="12">
        <v>2.1026995714532676E-2</v>
      </c>
      <c r="I493" s="12">
        <v>-4.8362393431982995E-2</v>
      </c>
      <c r="J493" s="12">
        <v>1.3306103075649265E-3</v>
      </c>
      <c r="K493" s="12">
        <v>1.0723767814411664E-3</v>
      </c>
      <c r="L493" s="12">
        <v>-2.4664820650311327E-3</v>
      </c>
      <c r="M493" s="12">
        <v>9.6534473293926045E-5</v>
      </c>
      <c r="N493" s="12">
        <v>7.779988414377091E-5</v>
      </c>
      <c r="O493" s="12">
        <v>-1.7894085569833708E-4</v>
      </c>
      <c r="P493">
        <f t="shared" si="21"/>
        <v>9.1344761471890412E-3</v>
      </c>
      <c r="Q493">
        <f t="shared" si="22"/>
        <v>7.3617347432097194E-3</v>
      </c>
      <c r="R493">
        <f t="shared" si="23"/>
        <v>-1.6932096093353846E-2</v>
      </c>
    </row>
    <row r="494" spans="1:18" ht="13">
      <c r="A494" s="22" t="s">
        <v>116</v>
      </c>
      <c r="B494" s="9">
        <v>2019</v>
      </c>
      <c r="C494" s="4">
        <v>-2.3099715332477837</v>
      </c>
      <c r="D494" s="10">
        <v>0.35547253788301958</v>
      </c>
      <c r="E494" s="11">
        <v>3.7999999999999999E-2</v>
      </c>
      <c r="F494" s="11">
        <v>5.7999999999999996E-3</v>
      </c>
      <c r="G494" s="12">
        <v>2.0943094662489964E-3</v>
      </c>
      <c r="H494" s="12">
        <v>6.4944447175288935E-4</v>
      </c>
      <c r="I494" s="12">
        <v>-3.1161418231812951E-3</v>
      </c>
      <c r="J494" s="12">
        <v>7.958375971746186E-5</v>
      </c>
      <c r="K494" s="12">
        <v>2.4678889926609794E-5</v>
      </c>
      <c r="L494" s="12">
        <v>-1.1841338928088921E-4</v>
      </c>
      <c r="M494" s="12">
        <v>1.2146994904244178E-5</v>
      </c>
      <c r="N494" s="12">
        <v>3.766777936166758E-6</v>
      </c>
      <c r="O494" s="12">
        <v>-1.807362257445151E-5</v>
      </c>
      <c r="P494">
        <f t="shared" si="21"/>
        <v>7.4446950107996289E-4</v>
      </c>
      <c r="Q494">
        <f t="shared" si="22"/>
        <v>2.308596745880966E-4</v>
      </c>
      <c r="R494">
        <f t="shared" si="23"/>
        <v>-1.1077028422896745E-3</v>
      </c>
    </row>
    <row r="495" spans="1:18" ht="13">
      <c r="A495" s="22" t="s">
        <v>116</v>
      </c>
      <c r="B495" s="9">
        <v>2020</v>
      </c>
      <c r="C495" s="4">
        <v>-2.1577590922035124</v>
      </c>
      <c r="D495" s="10">
        <v>0.37785537819683274</v>
      </c>
      <c r="E495" s="11">
        <v>1.61E-2</v>
      </c>
      <c r="F495" s="11">
        <v>0</v>
      </c>
      <c r="G495" s="12">
        <v>2.4432654536898617E-2</v>
      </c>
      <c r="H495" s="12">
        <v>-2.3457069975237367E-2</v>
      </c>
      <c r="I495" s="12">
        <v>-1.6886221015813077E-3</v>
      </c>
      <c r="J495" s="12">
        <v>3.9336573804406771E-4</v>
      </c>
      <c r="K495" s="12">
        <v>-3.7765882660132158E-4</v>
      </c>
      <c r="L495" s="12">
        <v>-2.7186815835459055E-5</v>
      </c>
      <c r="M495" s="12">
        <v>0</v>
      </c>
      <c r="N495" s="12">
        <v>0</v>
      </c>
      <c r="O495" s="12">
        <v>0</v>
      </c>
      <c r="P495">
        <f t="shared" si="21"/>
        <v>9.2320099203923884E-3</v>
      </c>
      <c r="Q495">
        <f t="shared" si="22"/>
        <v>-8.8633800468828853E-3</v>
      </c>
      <c r="R495">
        <f t="shared" si="23"/>
        <v>-6.3805494282453555E-4</v>
      </c>
    </row>
    <row r="496" spans="1:18" ht="13">
      <c r="A496" s="22" t="s">
        <v>116</v>
      </c>
      <c r="B496" s="9">
        <v>2021</v>
      </c>
      <c r="C496" s="4">
        <v>-1.2584357948640696</v>
      </c>
      <c r="D496" s="10">
        <v>0.5346095164778375</v>
      </c>
      <c r="E496" s="11">
        <v>6.1000000000000004E-3</v>
      </c>
      <c r="F496" s="11">
        <v>0</v>
      </c>
      <c r="G496" s="12">
        <v>0.24367278275330043</v>
      </c>
      <c r="H496" s="12">
        <v>-0.21036221542935013</v>
      </c>
      <c r="I496" s="12">
        <v>-3.3233370180673474E-2</v>
      </c>
      <c r="J496" s="12">
        <v>1.4864039747951327E-3</v>
      </c>
      <c r="K496" s="12">
        <v>-1.283209514119036E-3</v>
      </c>
      <c r="L496" s="12">
        <v>-2.0272355810210821E-4</v>
      </c>
      <c r="M496" s="12">
        <v>0</v>
      </c>
      <c r="N496" s="12">
        <v>0</v>
      </c>
      <c r="O496" s="12">
        <v>0</v>
      </c>
      <c r="P496">
        <f t="shared" si="21"/>
        <v>0.13026978856655108</v>
      </c>
      <c r="Q496">
        <f t="shared" si="22"/>
        <v>-0.11246164227589156</v>
      </c>
      <c r="R496">
        <f t="shared" si="23"/>
        <v>-1.7766875963218829E-2</v>
      </c>
    </row>
    <row r="497" spans="1:18" ht="13">
      <c r="A497" s="21" t="s">
        <v>117</v>
      </c>
      <c r="B497" s="9">
        <v>2017</v>
      </c>
      <c r="C497" s="4">
        <v>-0.13295276910382617</v>
      </c>
      <c r="D497" s="10">
        <v>0.77185832639582808</v>
      </c>
      <c r="E497" s="11">
        <v>0.25619999999999998</v>
      </c>
      <c r="F497" s="11">
        <v>5.7000000000000002E-3</v>
      </c>
      <c r="G497" s="12">
        <v>-0.2042990547986174</v>
      </c>
      <c r="H497" s="12">
        <v>-0.15537481401471456</v>
      </c>
      <c r="I497" s="12">
        <v>0.37132763317210116</v>
      </c>
      <c r="J497" s="12">
        <v>-5.2341417839405775E-2</v>
      </c>
      <c r="K497" s="12">
        <v>-3.9807027350569867E-2</v>
      </c>
      <c r="L497" s="12">
        <v>9.5134139618692312E-2</v>
      </c>
      <c r="M497" s="12">
        <v>-1.1645046123521193E-3</v>
      </c>
      <c r="N497" s="12">
        <v>-8.8563643988387301E-4</v>
      </c>
      <c r="O497" s="12">
        <v>2.1165675090809768E-3</v>
      </c>
      <c r="P497">
        <f t="shared" si="21"/>
        <v>-0.15768992652111039</v>
      </c>
      <c r="Q497">
        <f t="shared" si="22"/>
        <v>-0.11992734390946064</v>
      </c>
      <c r="R497">
        <f t="shared" si="23"/>
        <v>0.28661232548474197</v>
      </c>
    </row>
    <row r="498" spans="1:18" ht="13">
      <c r="A498" s="22" t="s">
        <v>117</v>
      </c>
      <c r="B498" s="9">
        <v>2018</v>
      </c>
      <c r="C498" s="4">
        <v>-0.1547004546284973</v>
      </c>
      <c r="D498" s="10">
        <v>0.73872413113329172</v>
      </c>
      <c r="E498" s="11">
        <v>0.1726</v>
      </c>
      <c r="F498" s="11">
        <v>3.8E-3</v>
      </c>
      <c r="G498" s="12">
        <v>0.3599424629313957</v>
      </c>
      <c r="H498" s="12">
        <v>-9.945714895052328E-2</v>
      </c>
      <c r="I498" s="12">
        <v>-0.26434632757508886</v>
      </c>
      <c r="J498" s="12">
        <v>6.2126069101958899E-2</v>
      </c>
      <c r="K498" s="12">
        <v>-1.7166303908860318E-2</v>
      </c>
      <c r="L498" s="12">
        <v>-4.5626176139460337E-2</v>
      </c>
      <c r="M498" s="12">
        <v>1.3677813591393036E-3</v>
      </c>
      <c r="N498" s="12">
        <v>-3.7793716601198845E-4</v>
      </c>
      <c r="O498" s="12">
        <v>-1.0045160447853376E-3</v>
      </c>
      <c r="P498">
        <f t="shared" si="21"/>
        <v>0.26589818318697234</v>
      </c>
      <c r="Q498">
        <f t="shared" si="22"/>
        <v>-7.3471395943469686E-2</v>
      </c>
      <c r="R498">
        <f t="shared" si="23"/>
        <v>-0.19527901115618404</v>
      </c>
    </row>
    <row r="499" spans="1:18" ht="13">
      <c r="A499" s="22" t="s">
        <v>117</v>
      </c>
      <c r="B499" s="9">
        <v>2019</v>
      </c>
      <c r="C499" s="4">
        <v>-0.6583330765356733</v>
      </c>
      <c r="D499" s="10">
        <v>0.66260829531662002</v>
      </c>
      <c r="E499" s="11">
        <v>0.16589999999999999</v>
      </c>
      <c r="F499" s="11">
        <v>7.6E-3</v>
      </c>
      <c r="G499" s="12">
        <v>0.2045787469133219</v>
      </c>
      <c r="H499" s="12">
        <v>-3.90478980693688E-2</v>
      </c>
      <c r="I499" s="12">
        <v>-0.16554759014893786</v>
      </c>
      <c r="J499" s="12">
        <v>3.3939614112920104E-2</v>
      </c>
      <c r="K499" s="12">
        <v>-6.4780462897082837E-3</v>
      </c>
      <c r="L499" s="12">
        <v>-2.7464345205708788E-2</v>
      </c>
      <c r="M499" s="12">
        <v>1.5547984765412464E-3</v>
      </c>
      <c r="N499" s="12">
        <v>-2.9676402532720288E-4</v>
      </c>
      <c r="O499" s="12">
        <v>-1.2581616851319278E-3</v>
      </c>
      <c r="P499">
        <f t="shared" si="21"/>
        <v>0.13555557475024646</v>
      </c>
      <c r="Q499">
        <f t="shared" si="22"/>
        <v>-2.5873461175441599E-2</v>
      </c>
      <c r="R499">
        <f t="shared" si="23"/>
        <v>-0.10969320650236219</v>
      </c>
    </row>
    <row r="500" spans="1:18" ht="13">
      <c r="A500" s="22" t="s">
        <v>117</v>
      </c>
      <c r="B500" s="9">
        <v>2020</v>
      </c>
      <c r="C500" s="4">
        <v>-1.3318892916852028</v>
      </c>
      <c r="D500" s="10">
        <v>0.59168662727568233</v>
      </c>
      <c r="E500" s="11">
        <v>0.1169</v>
      </c>
      <c r="F500" s="11">
        <v>7.0000000000000001E-3</v>
      </c>
      <c r="G500" s="12">
        <v>0.13372609049475415</v>
      </c>
      <c r="H500" s="12">
        <v>-1.6996871621201049E-2</v>
      </c>
      <c r="I500" s="12">
        <v>-0.11333341786334264</v>
      </c>
      <c r="J500" s="12">
        <v>1.5632579978836759E-2</v>
      </c>
      <c r="K500" s="12">
        <v>-1.9869342925184028E-3</v>
      </c>
      <c r="L500" s="12">
        <v>-1.3248676548224755E-2</v>
      </c>
      <c r="M500" s="12">
        <v>9.3608263346327909E-4</v>
      </c>
      <c r="N500" s="12">
        <v>-1.1897810134840735E-4</v>
      </c>
      <c r="O500" s="12">
        <v>-7.9333392504339845E-4</v>
      </c>
      <c r="P500">
        <f t="shared" si="21"/>
        <v>7.9123939463603757E-2</v>
      </c>
      <c r="Q500">
        <f t="shared" si="22"/>
        <v>-1.0056821643786207E-2</v>
      </c>
      <c r="R500">
        <f t="shared" si="23"/>
        <v>-6.7057867773186772E-2</v>
      </c>
    </row>
    <row r="501" spans="1:18" ht="13">
      <c r="A501" s="22" t="s">
        <v>117</v>
      </c>
      <c r="B501" s="9">
        <v>2021</v>
      </c>
      <c r="C501" s="4">
        <v>-2.2709973472490819</v>
      </c>
      <c r="D501" s="10">
        <v>0.50772143696260208</v>
      </c>
      <c r="E501" s="11">
        <v>8.2100000000000006E-2</v>
      </c>
      <c r="F501" s="11">
        <v>3.7000000000000002E-3</v>
      </c>
      <c r="G501" s="12">
        <v>9.1864909956541577E-2</v>
      </c>
      <c r="H501" s="12">
        <v>-8.7884927172463597E-3</v>
      </c>
      <c r="I501" s="12">
        <v>-6.1065503356407085E-2</v>
      </c>
      <c r="J501" s="12">
        <v>7.5421091074320641E-3</v>
      </c>
      <c r="K501" s="12">
        <v>-7.2153525208592617E-4</v>
      </c>
      <c r="L501" s="12">
        <v>-5.013477825561022E-3</v>
      </c>
      <c r="M501" s="12">
        <v>3.3990016683920382E-4</v>
      </c>
      <c r="N501" s="12">
        <v>-3.2517423053811533E-5</v>
      </c>
      <c r="O501" s="12">
        <v>-2.2594236241870621E-4</v>
      </c>
      <c r="P501">
        <f t="shared" si="21"/>
        <v>4.6641784089575339E-2</v>
      </c>
      <c r="Q501">
        <f t="shared" si="22"/>
        <v>-4.4621061511356851E-3</v>
      </c>
      <c r="R501">
        <f t="shared" si="23"/>
        <v>-3.1004265112959607E-2</v>
      </c>
    </row>
    <row r="502" spans="1:18" ht="13">
      <c r="A502" s="21" t="s">
        <v>118</v>
      </c>
      <c r="B502" s="9">
        <v>2017</v>
      </c>
      <c r="C502" s="4">
        <v>-0.30645885272261542</v>
      </c>
      <c r="D502" s="10">
        <v>0.7381111256747257</v>
      </c>
      <c r="E502" s="11">
        <v>0.1661</v>
      </c>
      <c r="F502" s="11">
        <v>6.6E-3</v>
      </c>
      <c r="G502" s="12">
        <v>9.6731527709924575E-2</v>
      </c>
      <c r="H502" s="12">
        <v>-0.23646676119776461</v>
      </c>
      <c r="I502" s="12">
        <v>0.13880581008781859</v>
      </c>
      <c r="J502" s="12">
        <v>1.6067106752618472E-2</v>
      </c>
      <c r="K502" s="12">
        <v>-3.9277129034948698E-2</v>
      </c>
      <c r="L502" s="12">
        <v>2.3055645055586667E-2</v>
      </c>
      <c r="M502" s="12">
        <v>6.3842808288550219E-4</v>
      </c>
      <c r="N502" s="12">
        <v>-1.5606806239052463E-3</v>
      </c>
      <c r="O502" s="12">
        <v>9.1611834657960264E-4</v>
      </c>
      <c r="P502">
        <f t="shared" si="21"/>
        <v>7.1398616806208348E-2</v>
      </c>
      <c r="Q502">
        <f t="shared" si="22"/>
        <v>-0.17453874729233859</v>
      </c>
      <c r="R502">
        <f t="shared" si="23"/>
        <v>0.10245411273411198</v>
      </c>
    </row>
    <row r="503" spans="1:18" ht="13">
      <c r="A503" s="22" t="s">
        <v>118</v>
      </c>
      <c r="B503" s="9">
        <v>2018</v>
      </c>
      <c r="C503" s="4">
        <v>-0.26424745105220793</v>
      </c>
      <c r="D503" s="10">
        <v>0.74100929235167967</v>
      </c>
      <c r="E503" s="11">
        <v>0.1704</v>
      </c>
      <c r="F503" s="11">
        <v>3.0999999999999999E-3</v>
      </c>
      <c r="G503" s="12">
        <v>0.10745389563974267</v>
      </c>
      <c r="H503" s="12">
        <v>-8.563831308077198E-2</v>
      </c>
      <c r="I503" s="12">
        <v>-1.705218012866333E-2</v>
      </c>
      <c r="J503" s="12">
        <v>1.831014381701215E-2</v>
      </c>
      <c r="K503" s="12">
        <v>-1.4592768548963546E-2</v>
      </c>
      <c r="L503" s="12">
        <v>-2.9056914939242316E-3</v>
      </c>
      <c r="M503" s="12">
        <v>3.3310707648320228E-4</v>
      </c>
      <c r="N503" s="12">
        <v>-2.6547877055039311E-4</v>
      </c>
      <c r="O503" s="12">
        <v>-5.2861758398856323E-5</v>
      </c>
      <c r="P503">
        <f t="shared" si="21"/>
        <v>7.9624335168436949E-2</v>
      </c>
      <c r="Q503">
        <f t="shared" si="22"/>
        <v>-6.3458785774174437E-2</v>
      </c>
      <c r="R503">
        <f t="shared" si="23"/>
        <v>-1.2635823930194188E-2</v>
      </c>
    </row>
    <row r="504" spans="1:18" ht="13">
      <c r="A504" s="22" t="s">
        <v>118</v>
      </c>
      <c r="B504" s="9">
        <v>2019</v>
      </c>
      <c r="C504" s="4">
        <v>-0.27496487641534845</v>
      </c>
      <c r="D504" s="10">
        <v>0.73847398527769548</v>
      </c>
      <c r="E504" s="11">
        <v>0.1721</v>
      </c>
      <c r="F504" s="11">
        <v>3.0999999999999999E-3</v>
      </c>
      <c r="G504" s="12">
        <v>9.6589484719341825E-2</v>
      </c>
      <c r="H504" s="12">
        <v>-4.8861642243442194E-2</v>
      </c>
      <c r="I504" s="12">
        <v>-4.7505640511406363E-2</v>
      </c>
      <c r="J504" s="12">
        <v>1.6623050320198729E-2</v>
      </c>
      <c r="K504" s="12">
        <v>-8.4090886300964025E-3</v>
      </c>
      <c r="L504" s="12">
        <v>-8.1757207320130344E-3</v>
      </c>
      <c r="M504" s="12">
        <v>2.9942740262995965E-4</v>
      </c>
      <c r="N504" s="12">
        <v>-1.514710909546708E-4</v>
      </c>
      <c r="O504" s="12">
        <v>-1.4726748558535973E-4</v>
      </c>
      <c r="P504">
        <f t="shared" si="21"/>
        <v>7.1328821716611424E-2</v>
      </c>
      <c r="Q504">
        <f t="shared" si="22"/>
        <v>-3.6083051674727751E-2</v>
      </c>
      <c r="R504">
        <f t="shared" si="23"/>
        <v>-3.50816796716278E-2</v>
      </c>
    </row>
    <row r="505" spans="1:18" ht="13">
      <c r="A505" s="22" t="s">
        <v>118</v>
      </c>
      <c r="B505" s="9">
        <v>2020</v>
      </c>
      <c r="C505" s="4">
        <v>-0.32901437156601249</v>
      </c>
      <c r="D505" s="10">
        <v>0.72650582794155771</v>
      </c>
      <c r="E505" s="11">
        <v>0.15240000000000001</v>
      </c>
      <c r="F505" s="11">
        <v>5.0000000000000001E-4</v>
      </c>
      <c r="G505" s="12">
        <v>8.046358214895169E-2</v>
      </c>
      <c r="H505" s="12">
        <v>-8.9484379428240637E-3</v>
      </c>
      <c r="I505" s="12">
        <v>-9.0075314009370522E-2</v>
      </c>
      <c r="J505" s="12">
        <v>1.2262649919500239E-2</v>
      </c>
      <c r="K505" s="12">
        <v>-1.3637419424863875E-3</v>
      </c>
      <c r="L505" s="12">
        <v>-1.3727477855028068E-2</v>
      </c>
      <c r="M505" s="12">
        <v>4.0231791074475845E-5</v>
      </c>
      <c r="N505" s="12">
        <v>-4.4742189714120322E-6</v>
      </c>
      <c r="O505" s="12">
        <v>-4.5037657004685264E-5</v>
      </c>
      <c r="P505">
        <f t="shared" si="21"/>
        <v>5.8457261368267691E-2</v>
      </c>
      <c r="Q505">
        <f t="shared" si="22"/>
        <v>-6.5010923164350457E-3</v>
      </c>
      <c r="R505">
        <f t="shared" si="23"/>
        <v>-6.5440240581473519E-2</v>
      </c>
    </row>
    <row r="506" spans="1:18" ht="13">
      <c r="A506" s="22" t="s">
        <v>118</v>
      </c>
      <c r="B506" s="9">
        <v>2021</v>
      </c>
      <c r="C506" s="4">
        <v>-0.39934763378887933</v>
      </c>
      <c r="D506" s="10">
        <v>0.70284825582889909</v>
      </c>
      <c r="E506" s="11">
        <v>0.1384</v>
      </c>
      <c r="F506" s="11">
        <v>5.0000000000000001E-4</v>
      </c>
      <c r="G506" s="12">
        <v>5.5461299195393436E-2</v>
      </c>
      <c r="H506" s="12">
        <v>-6.4522762910979147E-3</v>
      </c>
      <c r="I506" s="12">
        <v>-8.1598159430348829E-2</v>
      </c>
      <c r="J506" s="12">
        <v>7.6758438086424515E-3</v>
      </c>
      <c r="K506" s="12">
        <v>-8.9299503868795133E-4</v>
      </c>
      <c r="L506" s="12">
        <v>-1.1293185265160278E-2</v>
      </c>
      <c r="M506" s="12">
        <v>2.773064959769672E-5</v>
      </c>
      <c r="N506" s="12">
        <v>-3.2261381455489575E-6</v>
      </c>
      <c r="O506" s="12">
        <v>-4.0799079715174417E-5</v>
      </c>
      <c r="P506">
        <f t="shared" si="21"/>
        <v>3.8980877405487002E-2</v>
      </c>
      <c r="Q506">
        <f t="shared" si="22"/>
        <v>-4.5349711373243277E-3</v>
      </c>
      <c r="R506">
        <f t="shared" si="23"/>
        <v>-5.7351124034469111E-2</v>
      </c>
    </row>
    <row r="507" spans="1:18" ht="13">
      <c r="A507" s="21" t="s">
        <v>119</v>
      </c>
      <c r="B507" s="9">
        <v>2017</v>
      </c>
      <c r="C507" s="4">
        <v>-0.22133648169787268</v>
      </c>
      <c r="D507" s="10">
        <v>0.73679744636146904</v>
      </c>
      <c r="E507" s="11">
        <v>4.7600000000000003E-2</v>
      </c>
      <c r="F507" s="11">
        <v>2.8E-3</v>
      </c>
      <c r="G507" s="12">
        <v>2.0741578784327985E-2</v>
      </c>
      <c r="H507" s="12">
        <v>-1.9758374075720231E-2</v>
      </c>
      <c r="I507" s="12">
        <v>1.097687448651124E-2</v>
      </c>
      <c r="J507" s="12">
        <v>9.8729915013401207E-4</v>
      </c>
      <c r="K507" s="12">
        <v>-9.40498606004283E-4</v>
      </c>
      <c r="L507" s="12">
        <v>5.2249922555793512E-4</v>
      </c>
      <c r="M507" s="12">
        <v>5.8076420596118356E-5</v>
      </c>
      <c r="N507" s="12">
        <v>-5.5323447412016648E-5</v>
      </c>
      <c r="O507" s="12">
        <v>3.0735248562231469E-5</v>
      </c>
      <c r="P507">
        <f t="shared" si="21"/>
        <v>1.5282342281798082E-2</v>
      </c>
      <c r="Q507">
        <f t="shared" si="22"/>
        <v>-1.4557919563245317E-2</v>
      </c>
      <c r="R507">
        <f t="shared" si="23"/>
        <v>8.0877330906918444E-3</v>
      </c>
    </row>
    <row r="508" spans="1:18" ht="13">
      <c r="A508" s="22" t="s">
        <v>119</v>
      </c>
      <c r="B508" s="9">
        <v>2018</v>
      </c>
      <c r="C508" s="4">
        <v>-2.2103145953765516E-2</v>
      </c>
      <c r="D508" s="10">
        <v>0.7738298415599425</v>
      </c>
      <c r="E508" s="11">
        <v>4.7100000000000003E-2</v>
      </c>
      <c r="F508" s="11">
        <v>2.5999999999999999E-3</v>
      </c>
      <c r="G508" s="12">
        <v>0.12661766089258597</v>
      </c>
      <c r="H508" s="12">
        <v>9.5950976307903179E-3</v>
      </c>
      <c r="I508" s="12">
        <v>-9.6381008694717316E-2</v>
      </c>
      <c r="J508" s="12">
        <v>5.9636918280407993E-3</v>
      </c>
      <c r="K508" s="12">
        <v>4.5192909841022398E-4</v>
      </c>
      <c r="L508" s="12">
        <v>-4.5395455095211855E-3</v>
      </c>
      <c r="M508" s="12">
        <v>3.292059183207235E-4</v>
      </c>
      <c r="N508" s="12">
        <v>2.4947253840054824E-5</v>
      </c>
      <c r="O508" s="12">
        <v>-2.5059062260626502E-4</v>
      </c>
      <c r="P508">
        <f t="shared" si="21"/>
        <v>9.7980524467200333E-2</v>
      </c>
      <c r="Q508">
        <f t="shared" si="22"/>
        <v>7.4249728793866513E-3</v>
      </c>
      <c r="R508">
        <f t="shared" si="23"/>
        <v>-7.458250068762054E-2</v>
      </c>
    </row>
    <row r="509" spans="1:18" ht="13">
      <c r="A509" s="22" t="s">
        <v>119</v>
      </c>
      <c r="B509" s="9">
        <v>2019</v>
      </c>
      <c r="C509" s="4">
        <v>-1.1749793146463288</v>
      </c>
      <c r="D509" s="10">
        <v>0.5834218090478287</v>
      </c>
      <c r="E509" s="11">
        <v>5.1999999999999998E-2</v>
      </c>
      <c r="F509" s="11">
        <v>3.1E-2</v>
      </c>
      <c r="G509" s="12">
        <v>-8.6179661806976199E-2</v>
      </c>
      <c r="H509" s="12">
        <v>9.5657352979257829E-2</v>
      </c>
      <c r="I509" s="12">
        <v>-7.6727865965766362E-2</v>
      </c>
      <c r="J509" s="12">
        <v>-4.4813424139627618E-3</v>
      </c>
      <c r="K509" s="12">
        <v>4.9741823549214071E-3</v>
      </c>
      <c r="L509" s="12">
        <v>-3.9898490302198502E-3</v>
      </c>
      <c r="M509" s="12">
        <v>-2.6715695160162622E-3</v>
      </c>
      <c r="N509" s="12">
        <v>2.9653779423569927E-3</v>
      </c>
      <c r="O509" s="12">
        <v>-2.3785638449387572E-3</v>
      </c>
      <c r="P509">
        <f t="shared" si="21"/>
        <v>-5.0279094194556125E-2</v>
      </c>
      <c r="Q509">
        <f t="shared" si="22"/>
        <v>5.5808585923885309E-2</v>
      </c>
      <c r="R509">
        <f t="shared" si="23"/>
        <v>-4.4764710366126739E-2</v>
      </c>
    </row>
    <row r="510" spans="1:18" ht="13">
      <c r="A510" s="22" t="s">
        <v>119</v>
      </c>
      <c r="B510" s="9">
        <v>2020</v>
      </c>
      <c r="C510" s="4">
        <v>-1.9069045765854626</v>
      </c>
      <c r="D510" s="10">
        <v>0.42554975418270513</v>
      </c>
      <c r="E510" s="11">
        <v>4.7500000000000001E-2</v>
      </c>
      <c r="F510" s="11">
        <v>1.1999999999999999E-3</v>
      </c>
      <c r="G510" s="12">
        <v>0.13399900910857881</v>
      </c>
      <c r="H510" s="12">
        <v>2.6296733869430999E-3</v>
      </c>
      <c r="I510" s="12">
        <v>-0.26948435534890808</v>
      </c>
      <c r="J510" s="12">
        <v>6.3649529326574939E-3</v>
      </c>
      <c r="K510" s="12">
        <v>1.2490948587979723E-4</v>
      </c>
      <c r="L510" s="12">
        <v>-1.2800506879073133E-2</v>
      </c>
      <c r="M510" s="12">
        <v>1.6079881093029457E-4</v>
      </c>
      <c r="N510" s="12">
        <v>3.1556080643317196E-6</v>
      </c>
      <c r="O510" s="12">
        <v>-3.2338122641868965E-4</v>
      </c>
      <c r="P510">
        <f t="shared" si="21"/>
        <v>5.7023245386881784E-2</v>
      </c>
      <c r="Q510">
        <f t="shared" si="22"/>
        <v>1.1190568633944378E-3</v>
      </c>
      <c r="R510">
        <f t="shared" si="23"/>
        <v>-0.1146790011748126</v>
      </c>
    </row>
    <row r="511" spans="1:18" ht="13">
      <c r="A511" s="22" t="s">
        <v>119</v>
      </c>
      <c r="B511" s="9">
        <v>2021</v>
      </c>
      <c r="C511" s="4">
        <v>-1.0562128655516365</v>
      </c>
      <c r="D511" s="10">
        <v>0.57168815436531972</v>
      </c>
      <c r="E511" s="11">
        <v>4.6800000000000001E-2</v>
      </c>
      <c r="F511" s="11">
        <v>6.9999999999999999E-4</v>
      </c>
      <c r="G511" s="12">
        <v>-0.10847682501225808</v>
      </c>
      <c r="H511" s="12">
        <v>-2.88425485275879E-5</v>
      </c>
      <c r="I511" s="12">
        <v>0.13656946727812871</v>
      </c>
      <c r="J511" s="12">
        <v>-5.0767154105736782E-3</v>
      </c>
      <c r="K511" s="12">
        <v>-1.3498312710911139E-6</v>
      </c>
      <c r="L511" s="12">
        <v>6.3914510686164244E-3</v>
      </c>
      <c r="M511" s="12">
        <v>-7.593377750858065E-5</v>
      </c>
      <c r="N511" s="12">
        <v>-2.0189783969311531E-8</v>
      </c>
      <c r="O511" s="12">
        <v>9.5598627094690102E-5</v>
      </c>
      <c r="P511">
        <f t="shared" si="21"/>
        <v>-6.2014915882667575E-2</v>
      </c>
      <c r="Q511">
        <f t="shared" si="22"/>
        <v>-1.6488943334928897E-5</v>
      </c>
      <c r="R511">
        <f t="shared" si="23"/>
        <v>7.8075146690888331E-2</v>
      </c>
    </row>
    <row r="512" spans="1:18" ht="13">
      <c r="A512" s="21" t="s">
        <v>120</v>
      </c>
      <c r="B512" s="9">
        <v>2017</v>
      </c>
      <c r="C512" s="4">
        <v>-1.9340083889174347</v>
      </c>
      <c r="D512" s="10">
        <v>0.4937668386684323</v>
      </c>
      <c r="E512" s="11">
        <v>0</v>
      </c>
      <c r="F512" s="11">
        <v>7.8600000000000003E-2</v>
      </c>
      <c r="G512" s="12">
        <v>-5.3609753870039724E-2</v>
      </c>
      <c r="H512" s="12">
        <v>-7.0475059743976129E-3</v>
      </c>
      <c r="I512" s="12">
        <v>-5.1615751099745796E-2</v>
      </c>
      <c r="J512" s="12">
        <v>0</v>
      </c>
      <c r="K512" s="12">
        <v>0</v>
      </c>
      <c r="L512" s="12">
        <v>0</v>
      </c>
      <c r="M512" s="12">
        <v>-4.2137266541851228E-3</v>
      </c>
      <c r="N512" s="12">
        <v>-5.5393396958765241E-4</v>
      </c>
      <c r="O512" s="12">
        <v>-4.0569980364400194E-3</v>
      </c>
      <c r="P512">
        <f t="shared" si="21"/>
        <v>-2.6470718690202268E-2</v>
      </c>
      <c r="Q512">
        <f t="shared" si="22"/>
        <v>-3.4798247454751988E-3</v>
      </c>
      <c r="R512">
        <f t="shared" si="23"/>
        <v>-2.5486146246018141E-2</v>
      </c>
    </row>
    <row r="513" spans="1:18" ht="13">
      <c r="A513" s="22" t="s">
        <v>120</v>
      </c>
      <c r="B513" s="9">
        <v>2018</v>
      </c>
      <c r="C513" s="4">
        <v>-2.0818189409793741</v>
      </c>
      <c r="D513" s="10">
        <v>0.47037194173384245</v>
      </c>
      <c r="E513" s="11">
        <v>0</v>
      </c>
      <c r="F513" s="11">
        <v>7.8600000000000003E-2</v>
      </c>
      <c r="G513" s="12">
        <v>2.4508556074105497E-2</v>
      </c>
      <c r="H513" s="12">
        <v>-6.7543487484089934E-2</v>
      </c>
      <c r="I513" s="12">
        <v>-1.6122189223589309E-2</v>
      </c>
      <c r="J513" s="12">
        <v>0</v>
      </c>
      <c r="K513" s="12">
        <v>0</v>
      </c>
      <c r="L513" s="12">
        <v>0</v>
      </c>
      <c r="M513" s="12">
        <v>1.9263725074246921E-3</v>
      </c>
      <c r="N513" s="12">
        <v>-5.3089181162494694E-3</v>
      </c>
      <c r="O513" s="12">
        <v>-1.2672040729741197E-3</v>
      </c>
      <c r="P513">
        <f t="shared" si="21"/>
        <v>1.1528137109669762E-2</v>
      </c>
      <c r="Q513">
        <f t="shared" si="22"/>
        <v>-3.1770561359366865E-2</v>
      </c>
      <c r="R513">
        <f t="shared" si="23"/>
        <v>-7.5834254501001329E-3</v>
      </c>
    </row>
    <row r="514" spans="1:18" ht="13">
      <c r="A514" s="22" t="s">
        <v>120</v>
      </c>
      <c r="B514" s="9">
        <v>2019</v>
      </c>
      <c r="C514" s="4">
        <v>-2.2905379247956863</v>
      </c>
      <c r="D514" s="10">
        <v>0.4311327329625429</v>
      </c>
      <c r="E514" s="11">
        <v>0</v>
      </c>
      <c r="F514" s="11">
        <v>6.13E-2</v>
      </c>
      <c r="G514" s="12">
        <v>1.311887614960985E-2</v>
      </c>
      <c r="H514" s="12">
        <v>-1.2654249285977835E-2</v>
      </c>
      <c r="I514" s="12">
        <v>-6.1180425543545108E-2</v>
      </c>
      <c r="J514" s="12">
        <v>0</v>
      </c>
      <c r="K514" s="12">
        <v>0</v>
      </c>
      <c r="L514" s="12">
        <v>0</v>
      </c>
      <c r="M514" s="12">
        <v>8.0418710797108383E-4</v>
      </c>
      <c r="N514" s="12">
        <v>-7.7570548123044125E-4</v>
      </c>
      <c r="O514" s="12">
        <v>-3.7503600858193151E-3</v>
      </c>
      <c r="P514">
        <f t="shared" si="21"/>
        <v>5.6559769277784167E-3</v>
      </c>
      <c r="Q514">
        <f t="shared" si="22"/>
        <v>-5.4556610782529307E-3</v>
      </c>
      <c r="R514">
        <f t="shared" si="23"/>
        <v>-2.6376884068399973E-2</v>
      </c>
    </row>
    <row r="515" spans="1:18" ht="13">
      <c r="A515" s="22" t="s">
        <v>120</v>
      </c>
      <c r="B515" s="9">
        <v>2020</v>
      </c>
      <c r="C515" s="4">
        <v>-2.4688159617499026</v>
      </c>
      <c r="D515" s="10">
        <v>0.39776035834266521</v>
      </c>
      <c r="E515" s="11">
        <v>4.3700000000000003E-2</v>
      </c>
      <c r="F515" s="11">
        <v>5.8299999999999998E-2</v>
      </c>
      <c r="G515" s="12">
        <v>5.5332323298860418E-2</v>
      </c>
      <c r="H515" s="12">
        <v>-3.8811672485343528E-2</v>
      </c>
      <c r="I515" s="12">
        <v>-1.5190040181806206E-2</v>
      </c>
      <c r="J515" s="12">
        <v>2.4180225281602006E-3</v>
      </c>
      <c r="K515" s="12">
        <v>-1.6960700876095124E-3</v>
      </c>
      <c r="L515" s="12">
        <v>-6.6380475594493126E-4</v>
      </c>
      <c r="M515" s="12">
        <v>3.2258744483235624E-3</v>
      </c>
      <c r="N515" s="12">
        <v>-2.2627205058955275E-3</v>
      </c>
      <c r="O515" s="12">
        <v>-8.8557934259930174E-4</v>
      </c>
      <c r="P515">
        <f t="shared" ref="P515:P578" si="24">G515*D515</f>
        <v>2.2009004743286924E-2</v>
      </c>
      <c r="Q515">
        <f t="shared" ref="Q515:Q578" si="25">H515*D515</f>
        <v>-1.5437744755648401E-2</v>
      </c>
      <c r="R515">
        <f t="shared" ref="R515:R578" si="26">I515*D515</f>
        <v>-6.0419958259547201E-3</v>
      </c>
    </row>
    <row r="516" spans="1:18" ht="13">
      <c r="A516" s="22" t="s">
        <v>120</v>
      </c>
      <c r="B516" s="9">
        <v>2021</v>
      </c>
      <c r="C516" s="4">
        <v>-2.4372200418936214</v>
      </c>
      <c r="D516" s="10">
        <v>0.3910616641620468</v>
      </c>
      <c r="E516" s="11">
        <v>0.06</v>
      </c>
      <c r="F516" s="11">
        <v>5.33E-2</v>
      </c>
      <c r="G516" s="12">
        <v>0.12156035712932679</v>
      </c>
      <c r="H516" s="12">
        <v>5.0513341836412545E-5</v>
      </c>
      <c r="I516" s="12">
        <v>-6.315430563097478E-2</v>
      </c>
      <c r="J516" s="12">
        <v>7.2936214277596074E-3</v>
      </c>
      <c r="K516" s="12">
        <v>3.0308005101847525E-6</v>
      </c>
      <c r="L516" s="12">
        <v>-3.7892583378584866E-3</v>
      </c>
      <c r="M516" s="12">
        <v>6.4791670349931179E-3</v>
      </c>
      <c r="N516" s="12">
        <v>2.6923611198807888E-6</v>
      </c>
      <c r="O516" s="12">
        <v>-3.3661244901309556E-3</v>
      </c>
      <c r="P516">
        <f t="shared" si="24"/>
        <v>4.7537595555127266E-2</v>
      </c>
      <c r="Q516">
        <f t="shared" si="25"/>
        <v>1.975383152093383E-5</v>
      </c>
      <c r="R516">
        <f t="shared" si="26"/>
        <v>-2.4697227859047519E-2</v>
      </c>
    </row>
    <row r="517" spans="1:18" ht="13">
      <c r="A517" s="21" t="s">
        <v>121</v>
      </c>
      <c r="B517" s="9">
        <v>2017</v>
      </c>
      <c r="C517" s="4">
        <v>-2.4781065927508119</v>
      </c>
      <c r="D517" s="10">
        <v>0.3925929496965509</v>
      </c>
      <c r="E517" s="11">
        <v>1.41E-2</v>
      </c>
      <c r="F517" s="11">
        <v>1.55E-2</v>
      </c>
      <c r="G517" s="12">
        <v>0.20540262578540552</v>
      </c>
      <c r="H517" s="12">
        <v>-0.39335893768714481</v>
      </c>
      <c r="I517" s="12">
        <v>0.33176386143652214</v>
      </c>
      <c r="J517" s="12">
        <v>2.8961770235742179E-3</v>
      </c>
      <c r="K517" s="12">
        <v>-5.546361021388742E-3</v>
      </c>
      <c r="L517" s="12">
        <v>4.6778704462549624E-3</v>
      </c>
      <c r="M517" s="12">
        <v>3.1837406996737855E-3</v>
      </c>
      <c r="N517" s="12">
        <v>-6.0970635341507443E-3</v>
      </c>
      <c r="O517" s="12">
        <v>5.1423398522660929E-3</v>
      </c>
      <c r="P517">
        <f t="shared" si="24"/>
        <v>8.0639622732509172E-2</v>
      </c>
      <c r="Q517">
        <f t="shared" si="25"/>
        <v>-0.15442994563609794</v>
      </c>
      <c r="R517">
        <f t="shared" si="26"/>
        <v>0.13024815296408201</v>
      </c>
    </row>
    <row r="518" spans="1:18" ht="13">
      <c r="A518" s="22" t="s">
        <v>121</v>
      </c>
      <c r="B518" s="9">
        <v>2018</v>
      </c>
      <c r="C518" s="4">
        <v>-1.8933390833107393</v>
      </c>
      <c r="D518" s="10">
        <v>0.4531122058309322</v>
      </c>
      <c r="E518" s="11">
        <v>1.6E-2</v>
      </c>
      <c r="F518" s="11">
        <v>1.42E-3</v>
      </c>
      <c r="G518" s="12">
        <v>2.7167346071623005E-2</v>
      </c>
      <c r="H518" s="12">
        <v>-6.7041999176747094E-2</v>
      </c>
      <c r="I518" s="12">
        <v>0.13211881398467687</v>
      </c>
      <c r="J518" s="12">
        <v>4.3467753714596807E-4</v>
      </c>
      <c r="K518" s="12">
        <v>-1.0726719868279534E-3</v>
      </c>
      <c r="L518" s="12">
        <v>2.1139010237548298E-3</v>
      </c>
      <c r="M518" s="12">
        <v>3.857763142170467E-5</v>
      </c>
      <c r="N518" s="12">
        <v>-9.519963883098088E-5</v>
      </c>
      <c r="O518" s="12">
        <v>1.8760871585824117E-4</v>
      </c>
      <c r="P518">
        <f t="shared" si="24"/>
        <v>1.230985610508541E-2</v>
      </c>
      <c r="Q518">
        <f t="shared" si="25"/>
        <v>-3.0377548130291417E-2</v>
      </c>
      <c r="R518">
        <f t="shared" si="26"/>
        <v>5.9864647236363547E-2</v>
      </c>
    </row>
    <row r="519" spans="1:18" ht="13">
      <c r="A519" s="22" t="s">
        <v>121</v>
      </c>
      <c r="B519" s="9">
        <v>2019</v>
      </c>
      <c r="C519" s="4">
        <v>-0.54285596734847685</v>
      </c>
      <c r="D519" s="10">
        <v>0.67845850345747238</v>
      </c>
      <c r="E519" s="11">
        <v>6.7599999999999993E-2</v>
      </c>
      <c r="F519" s="11">
        <v>3.8800000000000001E-2</v>
      </c>
      <c r="G519" s="12">
        <v>0.18495758925502812</v>
      </c>
      <c r="H519" s="12">
        <v>-0.24475192807357612</v>
      </c>
      <c r="I519" s="12">
        <v>7.7356648932513997E-2</v>
      </c>
      <c r="J519" s="12">
        <v>1.25031330336399E-2</v>
      </c>
      <c r="K519" s="12">
        <v>-1.6545230337773744E-2</v>
      </c>
      <c r="L519" s="12">
        <v>5.229309467837946E-3</v>
      </c>
      <c r="M519" s="12">
        <v>7.1763544630950912E-3</v>
      </c>
      <c r="N519" s="12">
        <v>-9.4963748092547536E-3</v>
      </c>
      <c r="O519" s="12">
        <v>3.0014379785815431E-3</v>
      </c>
      <c r="P519">
        <f t="shared" si="24"/>
        <v>0.12548604920906825</v>
      </c>
      <c r="Q519">
        <f t="shared" si="25"/>
        <v>-0.16605402683912937</v>
      </c>
      <c r="R519">
        <f t="shared" si="26"/>
        <v>5.2483276267238525E-2</v>
      </c>
    </row>
    <row r="520" spans="1:18" ht="13">
      <c r="A520" s="22" t="s">
        <v>121</v>
      </c>
      <c r="B520" s="9">
        <v>2020</v>
      </c>
      <c r="C520" s="4">
        <v>-0.53285923642757971</v>
      </c>
      <c r="D520" s="10">
        <v>0.67940618692489219</v>
      </c>
      <c r="E520" s="11">
        <v>5.3E-3</v>
      </c>
      <c r="F520" s="11">
        <v>2.5499999999999998E-2</v>
      </c>
      <c r="G520" s="12">
        <v>-0.17428395460726503</v>
      </c>
      <c r="H520" s="12">
        <v>-6.1469836759334352E-2</v>
      </c>
      <c r="I520" s="12">
        <v>0.13610503015409381</v>
      </c>
      <c r="J520" s="12">
        <v>-9.2370495941850473E-4</v>
      </c>
      <c r="K520" s="12">
        <v>-3.2579013482447207E-4</v>
      </c>
      <c r="L520" s="12">
        <v>7.2135665981669719E-4</v>
      </c>
      <c r="M520" s="12">
        <v>-4.4442408424852581E-3</v>
      </c>
      <c r="N520" s="12">
        <v>-1.5674808373630259E-3</v>
      </c>
      <c r="O520" s="12">
        <v>3.4706782689293918E-3</v>
      </c>
      <c r="P520">
        <f t="shared" si="24"/>
        <v>-0.11840959704191294</v>
      </c>
      <c r="Q520">
        <f t="shared" si="25"/>
        <v>-4.1762987403554927E-2</v>
      </c>
      <c r="R520">
        <f t="shared" si="26"/>
        <v>9.2470599558290345E-2</v>
      </c>
    </row>
    <row r="521" spans="1:18" ht="13">
      <c r="A521" s="22" t="s">
        <v>121</v>
      </c>
      <c r="B521" s="9">
        <v>2021</v>
      </c>
      <c r="C521" s="4">
        <v>-0.61108971728657024</v>
      </c>
      <c r="D521" s="10">
        <v>0.66452162187859243</v>
      </c>
      <c r="E521" s="11">
        <v>2.5490000000000001E-3</v>
      </c>
      <c r="F521" s="11">
        <v>5.3600000000000002E-5</v>
      </c>
      <c r="G521" s="12">
        <v>6.0943618023562351E-2</v>
      </c>
      <c r="H521" s="12">
        <v>-0.15975685650817248</v>
      </c>
      <c r="I521" s="12">
        <v>0.20546835158566204</v>
      </c>
      <c r="J521" s="12">
        <v>1.5534528234206044E-4</v>
      </c>
      <c r="K521" s="12">
        <v>-4.0722022723933165E-4</v>
      </c>
      <c r="L521" s="12">
        <v>5.237388281918526E-4</v>
      </c>
      <c r="M521" s="12">
        <v>3.2665779260629421E-6</v>
      </c>
      <c r="N521" s="12">
        <v>-8.5629675088380454E-6</v>
      </c>
      <c r="O521" s="12">
        <v>1.1013103644991486E-5</v>
      </c>
      <c r="P521">
        <f t="shared" si="24"/>
        <v>4.0498351892167071E-2</v>
      </c>
      <c r="Q521">
        <f t="shared" si="25"/>
        <v>-0.10616188539303634</v>
      </c>
      <c r="R521">
        <f t="shared" si="26"/>
        <v>0.136538162240425</v>
      </c>
    </row>
    <row r="522" spans="1:18" ht="13">
      <c r="A522" s="21" t="s">
        <v>122</v>
      </c>
      <c r="B522" s="9">
        <v>2017</v>
      </c>
      <c r="C522" s="4">
        <v>-1.080122026297186</v>
      </c>
      <c r="D522" s="10">
        <v>0.61286583346406598</v>
      </c>
      <c r="E522" s="11">
        <v>2.01E-2</v>
      </c>
      <c r="F522" s="11">
        <v>3.4799999999999998E-2</v>
      </c>
      <c r="G522" s="12">
        <v>5.7398595060049858E-2</v>
      </c>
      <c r="H522" s="12">
        <v>-4.5571650194355842E-2</v>
      </c>
      <c r="I522" s="12">
        <v>3.9089055064581921E-2</v>
      </c>
      <c r="J522" s="12">
        <v>1.1537117607070021E-3</v>
      </c>
      <c r="K522" s="12">
        <v>-9.1599016890655247E-4</v>
      </c>
      <c r="L522" s="12">
        <v>7.8569000679809661E-4</v>
      </c>
      <c r="M522" s="12">
        <v>1.9974711080897349E-3</v>
      </c>
      <c r="N522" s="12">
        <v>-1.5858934267635831E-3</v>
      </c>
      <c r="O522" s="12">
        <v>1.3602991162474508E-3</v>
      </c>
      <c r="P522">
        <f t="shared" si="24"/>
        <v>3.5177637801143878E-2</v>
      </c>
      <c r="Q522">
        <f t="shared" si="25"/>
        <v>-2.7929307378696758E-2</v>
      </c>
      <c r="R522">
        <f t="shared" si="26"/>
        <v>2.3956346311477767E-2</v>
      </c>
    </row>
    <row r="523" spans="1:18" ht="13">
      <c r="A523" s="22" t="s">
        <v>122</v>
      </c>
      <c r="B523" s="9">
        <v>2018</v>
      </c>
      <c r="C523" s="4">
        <v>-1.3375306321474578</v>
      </c>
      <c r="D523" s="10">
        <v>0.59737822338745628</v>
      </c>
      <c r="E523" s="11">
        <v>7.8200000000000006E-2</v>
      </c>
      <c r="F523" s="11">
        <v>1.8E-3</v>
      </c>
      <c r="G523" s="12">
        <v>1.4089593737958339E-2</v>
      </c>
      <c r="H523" s="12">
        <v>-8.7039961315572758E-3</v>
      </c>
      <c r="I523" s="12">
        <v>-2.0868435169584369E-2</v>
      </c>
      <c r="J523" s="12">
        <v>1.1018062303083422E-3</v>
      </c>
      <c r="K523" s="12">
        <v>-6.8065249748777907E-4</v>
      </c>
      <c r="L523" s="12">
        <v>-1.6319116302614977E-3</v>
      </c>
      <c r="M523" s="12">
        <v>2.536126872832501E-5</v>
      </c>
      <c r="N523" s="12">
        <v>-1.5667193036803096E-5</v>
      </c>
      <c r="O523" s="12">
        <v>-3.7563183305251863E-5</v>
      </c>
      <c r="P523">
        <f t="shared" si="24"/>
        <v>8.4168164754325828E-3</v>
      </c>
      <c r="Q523">
        <f t="shared" si="25"/>
        <v>-5.1995777454409775E-3</v>
      </c>
      <c r="R523">
        <f t="shared" si="26"/>
        <v>-1.2466348726482619E-2</v>
      </c>
    </row>
    <row r="524" spans="1:18" ht="13">
      <c r="A524" s="22" t="s">
        <v>122</v>
      </c>
      <c r="B524" s="9">
        <v>2019</v>
      </c>
      <c r="C524" s="4">
        <v>-0.99991481077487088</v>
      </c>
      <c r="D524" s="10">
        <v>0.6141505317225302</v>
      </c>
      <c r="E524" s="11">
        <v>1.4E-2</v>
      </c>
      <c r="F524" s="11">
        <v>1.81E-3</v>
      </c>
      <c r="G524" s="12">
        <v>-2.0863220067337731E-2</v>
      </c>
      <c r="H524" s="12">
        <v>-3.8184737047895732E-2</v>
      </c>
      <c r="I524" s="12">
        <v>8.8772107286647098E-2</v>
      </c>
      <c r="J524" s="12">
        <v>-2.9208508094272825E-4</v>
      </c>
      <c r="K524" s="12">
        <v>-5.3458631867054024E-4</v>
      </c>
      <c r="L524" s="12">
        <v>1.2428095020130595E-3</v>
      </c>
      <c r="M524" s="12">
        <v>-3.7762428321881295E-5</v>
      </c>
      <c r="N524" s="12">
        <v>-6.9114374056691277E-5</v>
      </c>
      <c r="O524" s="12">
        <v>1.6067751418883124E-4</v>
      </c>
      <c r="P524">
        <f t="shared" si="24"/>
        <v>-1.2813157697799629E-2</v>
      </c>
      <c r="Q524">
        <f t="shared" si="25"/>
        <v>-2.3451176561650161E-2</v>
      </c>
      <c r="R524">
        <f t="shared" si="26"/>
        <v>5.4519436892223813E-2</v>
      </c>
    </row>
    <row r="525" spans="1:18" ht="13">
      <c r="A525" s="22" t="s">
        <v>122</v>
      </c>
      <c r="B525" s="9">
        <v>2020</v>
      </c>
      <c r="C525" s="4">
        <v>-0.88347015349169278</v>
      </c>
      <c r="D525" s="10">
        <v>0.61124838597601128</v>
      </c>
      <c r="E525" s="11">
        <v>5.4999999999999997E-3</v>
      </c>
      <c r="F525" s="11">
        <v>1.81E-3</v>
      </c>
      <c r="G525" s="12">
        <v>-4.0784895328275627E-3</v>
      </c>
      <c r="H525" s="12">
        <v>-3.8955668141111073E-2</v>
      </c>
      <c r="I525" s="12">
        <v>3.7820017527393036E-2</v>
      </c>
      <c r="J525" s="12">
        <v>-2.2431692430551593E-5</v>
      </c>
      <c r="K525" s="12">
        <v>-2.1425617477611089E-4</v>
      </c>
      <c r="L525" s="12">
        <v>2.0801009640066169E-4</v>
      </c>
      <c r="M525" s="12">
        <v>-7.3820660544178887E-6</v>
      </c>
      <c r="N525" s="12">
        <v>-7.0509759335411035E-5</v>
      </c>
      <c r="O525" s="12">
        <v>6.8454231724581396E-5</v>
      </c>
      <c r="P525">
        <f t="shared" si="24"/>
        <v>-2.4929701441609039E-3</v>
      </c>
      <c r="Q525">
        <f t="shared" si="25"/>
        <v>-2.3811589275871268E-2</v>
      </c>
      <c r="R525">
        <f t="shared" si="26"/>
        <v>2.3117424671203451E-2</v>
      </c>
    </row>
    <row r="526" spans="1:18" ht="13">
      <c r="A526" s="22" t="s">
        <v>122</v>
      </c>
      <c r="B526" s="9">
        <v>2021</v>
      </c>
      <c r="C526" s="4">
        <v>-1.0620810548648345</v>
      </c>
      <c r="D526" s="10">
        <v>0.58397296216768646</v>
      </c>
      <c r="E526" s="11">
        <v>4.5999999999999999E-3</v>
      </c>
      <c r="F526" s="11">
        <v>4.5710000000000001E-2</v>
      </c>
      <c r="G526" s="12">
        <v>3.3709917843327782E-2</v>
      </c>
      <c r="H526" s="12">
        <v>-1.0736232866375602E-2</v>
      </c>
      <c r="I526" s="12">
        <v>-4.7117632574604246E-2</v>
      </c>
      <c r="J526" s="12">
        <v>1.5506562207930779E-4</v>
      </c>
      <c r="K526" s="12">
        <v>-4.9386671185327766E-5</v>
      </c>
      <c r="L526" s="12">
        <v>-2.1674110984317953E-4</v>
      </c>
      <c r="M526" s="12">
        <v>1.5408803446185129E-3</v>
      </c>
      <c r="N526" s="12">
        <v>-4.9075320432202872E-4</v>
      </c>
      <c r="O526" s="12">
        <v>-2.1537469849851601E-3</v>
      </c>
      <c r="P526">
        <f t="shared" si="24"/>
        <v>1.9685680577397474E-2</v>
      </c>
      <c r="Q526">
        <f t="shared" si="25"/>
        <v>-6.2696697094994308E-3</v>
      </c>
      <c r="R526">
        <f t="shared" si="26"/>
        <v>-2.7515423464920315E-2</v>
      </c>
    </row>
    <row r="527" spans="1:18" ht="13">
      <c r="A527" s="21" t="s">
        <v>123</v>
      </c>
      <c r="B527" s="9">
        <v>2017</v>
      </c>
      <c r="C527" s="4">
        <v>0.1113084186675207</v>
      </c>
      <c r="D527" s="10">
        <v>0.79312743131856145</v>
      </c>
      <c r="E527" s="11">
        <v>4.3999999999999997E-2</v>
      </c>
      <c r="F527" s="11">
        <v>3.0000000000000001E-6</v>
      </c>
      <c r="G527" s="12">
        <v>0.18395943616468341</v>
      </c>
      <c r="H527" s="12">
        <v>-1.4009879208416896E-3</v>
      </c>
      <c r="I527" s="12">
        <v>-0.18243754448198971</v>
      </c>
      <c r="J527" s="12">
        <v>8.0942151912460694E-3</v>
      </c>
      <c r="K527" s="12">
        <v>-6.1643468517034338E-5</v>
      </c>
      <c r="L527" s="12">
        <v>-8.0272519572075467E-3</v>
      </c>
      <c r="M527" s="12">
        <v>5.5187830849405022E-7</v>
      </c>
      <c r="N527" s="12">
        <v>-4.2029637625250693E-9</v>
      </c>
      <c r="O527" s="12">
        <v>-5.4731263344596911E-7</v>
      </c>
      <c r="P527">
        <f t="shared" si="24"/>
        <v>0.14590327507210624</v>
      </c>
      <c r="Q527">
        <f t="shared" si="25"/>
        <v>-1.1111619509655013E-3</v>
      </c>
      <c r="R527">
        <f t="shared" si="26"/>
        <v>-0.1446962210310663</v>
      </c>
    </row>
    <row r="528" spans="1:18" ht="13">
      <c r="A528" s="22" t="s">
        <v>123</v>
      </c>
      <c r="B528" s="9">
        <v>2018</v>
      </c>
      <c r="C528" s="4">
        <v>5.0164342678991621E-2</v>
      </c>
      <c r="D528" s="10">
        <v>0.78659654469047202</v>
      </c>
      <c r="E528" s="11">
        <v>2.1000000000000001E-2</v>
      </c>
      <c r="F528" s="11">
        <v>3.0000000000000001E-6</v>
      </c>
      <c r="G528" s="12">
        <v>5.7697033742105136E-2</v>
      </c>
      <c r="H528" s="12">
        <v>-4.2835024944090829E-3</v>
      </c>
      <c r="I528" s="12">
        <v>-3.7051190680985967E-2</v>
      </c>
      <c r="J528" s="12">
        <v>1.211637708584208E-3</v>
      </c>
      <c r="K528" s="12">
        <v>-8.9953552382590743E-5</v>
      </c>
      <c r="L528" s="12">
        <v>-7.7807500430070533E-4</v>
      </c>
      <c r="M528" s="12">
        <v>1.7309110122631542E-7</v>
      </c>
      <c r="N528" s="12">
        <v>-1.2850507483227249E-8</v>
      </c>
      <c r="O528" s="12">
        <v>-1.111535720429579E-7</v>
      </c>
      <c r="P528">
        <f t="shared" si="24"/>
        <v>4.5384287380429475E-2</v>
      </c>
      <c r="Q528">
        <f t="shared" si="25"/>
        <v>-3.3693882612752025E-3</v>
      </c>
      <c r="R528">
        <f t="shared" si="26"/>
        <v>-2.914433856633138E-2</v>
      </c>
    </row>
    <row r="529" spans="1:18" ht="13">
      <c r="A529" s="22" t="s">
        <v>123</v>
      </c>
      <c r="B529" s="9">
        <v>2019</v>
      </c>
      <c r="C529" s="4">
        <v>-0.1580440511743105</v>
      </c>
      <c r="D529" s="10">
        <v>0.75721877803143622</v>
      </c>
      <c r="E529" s="11">
        <v>1.4999999999999999E-2</v>
      </c>
      <c r="F529" s="11">
        <v>3.0000000000000001E-6</v>
      </c>
      <c r="G529" s="12">
        <v>0.14289159212595715</v>
      </c>
      <c r="H529" s="12">
        <v>-6.6328092186243347E-3</v>
      </c>
      <c r="I529" s="12">
        <v>-0.15614528581630854</v>
      </c>
      <c r="J529" s="12">
        <v>2.1433738818893572E-3</v>
      </c>
      <c r="K529" s="12">
        <v>-9.9492138279365011E-5</v>
      </c>
      <c r="L529" s="12">
        <v>-2.342179287244628E-3</v>
      </c>
      <c r="M529" s="12">
        <v>4.2867477637787146E-7</v>
      </c>
      <c r="N529" s="12">
        <v>-1.9898427655873004E-8</v>
      </c>
      <c r="O529" s="12">
        <v>-4.6843585744892565E-7</v>
      </c>
      <c r="P529">
        <f t="shared" si="24"/>
        <v>0.10820019678058367</v>
      </c>
      <c r="Q529">
        <f t="shared" si="25"/>
        <v>-5.0224876914423643E-3</v>
      </c>
      <c r="R529">
        <f t="shared" si="26"/>
        <v>-0.11823614252119451</v>
      </c>
    </row>
    <row r="530" spans="1:18" ht="13">
      <c r="A530" s="22" t="s">
        <v>123</v>
      </c>
      <c r="B530" s="9">
        <v>2020</v>
      </c>
      <c r="C530" s="4">
        <v>-0.63323599001620412</v>
      </c>
      <c r="D530" s="10">
        <v>0.68829948688299492</v>
      </c>
      <c r="E530" s="11">
        <v>1.2200000000000001E-2</v>
      </c>
      <c r="F530" s="11">
        <v>2.3E-6</v>
      </c>
      <c r="G530" s="12">
        <v>8.4372214593722142E-2</v>
      </c>
      <c r="H530" s="12">
        <v>-5.1040688010406876E-4</v>
      </c>
      <c r="I530" s="12">
        <v>-4.8619642986196428E-2</v>
      </c>
      <c r="J530" s="12">
        <v>1.0293410180434101E-3</v>
      </c>
      <c r="K530" s="12">
        <v>-6.2269639372696392E-6</v>
      </c>
      <c r="L530" s="12">
        <v>-5.9315964443159641E-4</v>
      </c>
      <c r="M530" s="12">
        <v>1.9405609356556093E-7</v>
      </c>
      <c r="N530" s="12">
        <v>-1.1739358242393581E-9</v>
      </c>
      <c r="O530" s="12">
        <v>-1.1182517886825178E-7</v>
      </c>
      <c r="P530">
        <f t="shared" si="24"/>
        <v>5.8073352012040884E-2</v>
      </c>
      <c r="Q530">
        <f t="shared" si="25"/>
        <v>-3.5131279367718083E-4</v>
      </c>
      <c r="R530">
        <f t="shared" si="26"/>
        <v>-3.3464875319833401E-2</v>
      </c>
    </row>
    <row r="531" spans="1:18" ht="13">
      <c r="A531" s="22" t="s">
        <v>123</v>
      </c>
      <c r="B531" s="9">
        <v>2021</v>
      </c>
      <c r="C531" s="4">
        <v>-1.8197422339692397</v>
      </c>
      <c r="D531" s="10">
        <v>0.5088908961394697</v>
      </c>
      <c r="E531" s="11">
        <v>7.7000000000000002E-3</v>
      </c>
      <c r="F531" s="11">
        <v>0</v>
      </c>
      <c r="G531" s="12">
        <v>-0.14155375882149912</v>
      </c>
      <c r="H531" s="12">
        <v>-5.2418614556483294E-3</v>
      </c>
      <c r="I531" s="12">
        <v>0.1256372408627261</v>
      </c>
      <c r="J531" s="12">
        <v>-1.0899639429255432E-3</v>
      </c>
      <c r="K531" s="12">
        <v>-4.0362333208492141E-5</v>
      </c>
      <c r="L531" s="12">
        <v>9.6740675464299097E-4</v>
      </c>
      <c r="M531" s="12">
        <v>0</v>
      </c>
      <c r="N531" s="12">
        <v>0</v>
      </c>
      <c r="O531" s="12">
        <v>0</v>
      </c>
      <c r="P531">
        <f t="shared" si="24"/>
        <v>-7.2035419178583054E-2</v>
      </c>
      <c r="Q531">
        <f t="shared" si="25"/>
        <v>-2.6675355736038233E-3</v>
      </c>
      <c r="R531">
        <f t="shared" si="26"/>
        <v>6.3935648091123079E-2</v>
      </c>
    </row>
    <row r="532" spans="1:18" ht="13">
      <c r="A532" s="21" t="s">
        <v>124</v>
      </c>
      <c r="B532" s="9">
        <v>2017</v>
      </c>
      <c r="C532" s="4">
        <v>-1.2687062060950147</v>
      </c>
      <c r="D532" s="10">
        <v>0.55181439821938572</v>
      </c>
      <c r="E532" s="11">
        <v>6.3399999999999998E-2</v>
      </c>
      <c r="F532" s="11">
        <v>1.0500000000000001E-2</v>
      </c>
      <c r="G532" s="12">
        <v>-9.499259023728274E-3</v>
      </c>
      <c r="H532" s="12">
        <v>4.5878071076942296E-3</v>
      </c>
      <c r="I532" s="12">
        <v>3.3244567593502124E-3</v>
      </c>
      <c r="J532" s="12">
        <v>-6.0225302210437255E-4</v>
      </c>
      <c r="K532" s="12">
        <v>2.9086697062781416E-4</v>
      </c>
      <c r="L532" s="12">
        <v>2.1077055854280347E-4</v>
      </c>
      <c r="M532" s="12">
        <v>-9.974221974914688E-5</v>
      </c>
      <c r="N532" s="12">
        <v>4.8171974630789415E-5</v>
      </c>
      <c r="O532" s="12">
        <v>3.490679597317723E-5</v>
      </c>
      <c r="P532">
        <f t="shared" si="24"/>
        <v>-5.241827901708687E-3</v>
      </c>
      <c r="Q532">
        <f t="shared" si="25"/>
        <v>2.5316180182789116E-3</v>
      </c>
      <c r="R532">
        <f t="shared" si="26"/>
        <v>1.8344831060672067E-3</v>
      </c>
    </row>
    <row r="533" spans="1:18" ht="13">
      <c r="A533" s="22" t="s">
        <v>124</v>
      </c>
      <c r="B533" s="9">
        <v>2018</v>
      </c>
      <c r="C533" s="4">
        <v>-1.30798421095693</v>
      </c>
      <c r="D533" s="10">
        <v>0.54573579693020757</v>
      </c>
      <c r="E533" s="11">
        <v>6.3200000000000006E-2</v>
      </c>
      <c r="F533" s="11">
        <v>1.0500000000000001E-2</v>
      </c>
      <c r="G533" s="12">
        <v>4.2964535849444319E-2</v>
      </c>
      <c r="H533" s="12">
        <v>2.7766837337534461E-2</v>
      </c>
      <c r="I533" s="12">
        <v>-6.141011809967406E-2</v>
      </c>
      <c r="J533" s="12">
        <v>2.7153586656848811E-3</v>
      </c>
      <c r="K533" s="12">
        <v>1.754864119732178E-3</v>
      </c>
      <c r="L533" s="12">
        <v>-3.8811194638994008E-3</v>
      </c>
      <c r="M533" s="12">
        <v>4.5112762641916535E-4</v>
      </c>
      <c r="N533" s="12">
        <v>2.9155179204411186E-4</v>
      </c>
      <c r="O533" s="12">
        <v>-6.4480624004657771E-4</v>
      </c>
      <c r="P533">
        <f t="shared" si="24"/>
        <v>2.3447285211532966E-2</v>
      </c>
      <c r="Q533">
        <f t="shared" si="25"/>
        <v>1.5153357102630813E-2</v>
      </c>
      <c r="R533">
        <f t="shared" si="26"/>
        <v>-3.3513699740703791E-2</v>
      </c>
    </row>
    <row r="534" spans="1:18" ht="13">
      <c r="A534" s="22" t="s">
        <v>124</v>
      </c>
      <c r="B534" s="9">
        <v>2019</v>
      </c>
      <c r="C534" s="4">
        <v>-1.230015642904384</v>
      </c>
      <c r="D534" s="10">
        <v>0.561191946412819</v>
      </c>
      <c r="E534" s="11">
        <v>4.7999999999999996E-3</v>
      </c>
      <c r="F534" s="11">
        <v>1.0500000000000001E-2</v>
      </c>
      <c r="G534" s="12">
        <v>5.164357932899699E-3</v>
      </c>
      <c r="H534" s="12">
        <v>-5.8695799687860485E-3</v>
      </c>
      <c r="I534" s="12">
        <v>-5.9059316201203974E-3</v>
      </c>
      <c r="J534" s="12">
        <v>2.4788918077918552E-5</v>
      </c>
      <c r="K534" s="12">
        <v>-2.8173983850173029E-5</v>
      </c>
      <c r="L534" s="12">
        <v>-2.8348471776577904E-5</v>
      </c>
      <c r="M534" s="12">
        <v>5.4225758295446844E-5</v>
      </c>
      <c r="N534" s="12">
        <v>-6.1630589672253508E-5</v>
      </c>
      <c r="O534" s="12">
        <v>-6.2012282011264183E-5</v>
      </c>
      <c r="P534">
        <f t="shared" si="24"/>
        <v>2.8981960803364645E-3</v>
      </c>
      <c r="Q534">
        <f t="shared" si="25"/>
        <v>-3.2939610073087358E-3</v>
      </c>
      <c r="R534">
        <f t="shared" si="26"/>
        <v>-3.3143612612763795E-3</v>
      </c>
    </row>
    <row r="535" spans="1:18" ht="13">
      <c r="A535" s="22" t="s">
        <v>124</v>
      </c>
      <c r="B535" s="9">
        <v>2020</v>
      </c>
      <c r="C535" s="4">
        <v>-1.2542541704151315</v>
      </c>
      <c r="D535" s="10">
        <v>0.55954299338877067</v>
      </c>
      <c r="E535" s="11">
        <v>4.5999999999999999E-3</v>
      </c>
      <c r="F535" s="11">
        <v>1.0500000000000001E-2</v>
      </c>
      <c r="G535" s="12">
        <v>2.0291510565048198E-2</v>
      </c>
      <c r="H535" s="12">
        <v>-1.4777242140524323E-2</v>
      </c>
      <c r="I535" s="12">
        <v>-7.3047624875628653E-3</v>
      </c>
      <c r="J535" s="12">
        <v>9.3340948599221713E-5</v>
      </c>
      <c r="K535" s="12">
        <v>-6.7975313846411884E-5</v>
      </c>
      <c r="L535" s="12">
        <v>-3.3601907442789177E-5</v>
      </c>
      <c r="M535" s="12">
        <v>2.1306086093300609E-4</v>
      </c>
      <c r="N535" s="12">
        <v>-1.5516104247550539E-4</v>
      </c>
      <c r="O535" s="12">
        <v>-7.6700006119410094E-5</v>
      </c>
      <c r="P535">
        <f t="shared" si="24"/>
        <v>1.1353972561946934E-2</v>
      </c>
      <c r="Q535">
        <f t="shared" si="25"/>
        <v>-8.2685023013396638E-3</v>
      </c>
      <c r="R535">
        <f t="shared" si="26"/>
        <v>-4.0873286682849286E-3</v>
      </c>
    </row>
    <row r="536" spans="1:18" ht="13">
      <c r="A536" s="22" t="s">
        <v>124</v>
      </c>
      <c r="B536" s="9">
        <v>2021</v>
      </c>
      <c r="C536" s="4">
        <v>-1.5231239824667155</v>
      </c>
      <c r="D536" s="10">
        <v>0.51371083415301755</v>
      </c>
      <c r="E536" s="11">
        <v>3.5999999999999999E-3</v>
      </c>
      <c r="F536" s="11">
        <v>1.01E-2</v>
      </c>
      <c r="G536" s="12">
        <v>4.107264007211657E-2</v>
      </c>
      <c r="H536" s="12">
        <v>-1.246076666111081E-2</v>
      </c>
      <c r="I536" s="12">
        <v>-2.3360416172704158E-2</v>
      </c>
      <c r="J536" s="12">
        <v>1.4786150425961966E-4</v>
      </c>
      <c r="K536" s="12">
        <v>-4.4858759979998918E-5</v>
      </c>
      <c r="L536" s="12">
        <v>-8.4097498221734964E-5</v>
      </c>
      <c r="M536" s="12">
        <v>4.1483366472837735E-4</v>
      </c>
      <c r="N536" s="12">
        <v>-1.2585374327721917E-4</v>
      </c>
      <c r="O536" s="12">
        <v>-2.3594020334431198E-4</v>
      </c>
      <c r="P536">
        <f t="shared" si="24"/>
        <v>2.1099460192313658E-2</v>
      </c>
      <c r="Q536">
        <f t="shared" si="25"/>
        <v>-6.4012308356653459E-3</v>
      </c>
      <c r="R536">
        <f t="shared" si="26"/>
        <v>-1.2000498878241495E-2</v>
      </c>
    </row>
    <row r="537" spans="1:18" ht="13">
      <c r="A537" s="21" t="s">
        <v>125</v>
      </c>
      <c r="B537" s="9">
        <v>2017</v>
      </c>
      <c r="C537" s="4">
        <v>-2.0577378070213825</v>
      </c>
      <c r="D537" s="10">
        <v>0.4272343639989683</v>
      </c>
      <c r="E537" s="11">
        <v>0.2535</v>
      </c>
      <c r="F537" s="11">
        <v>6.7000000000000002E-4</v>
      </c>
      <c r="G537" s="12">
        <v>3.8479648309195885E-3</v>
      </c>
      <c r="H537" s="12">
        <v>-3.9491703617986824E-2</v>
      </c>
      <c r="I537" s="12">
        <v>4.8918963964620518E-2</v>
      </c>
      <c r="J537" s="12">
        <v>9.7545908463811566E-4</v>
      </c>
      <c r="K537" s="12">
        <v>-1.001114686715966E-2</v>
      </c>
      <c r="L537" s="12">
        <v>1.2400957365031301E-2</v>
      </c>
      <c r="M537" s="12">
        <v>2.5781364367161244E-6</v>
      </c>
      <c r="N537" s="12">
        <v>-2.6459441424051173E-5</v>
      </c>
      <c r="O537" s="12">
        <v>3.2775705856295746E-5</v>
      </c>
      <c r="P537">
        <f t="shared" si="24"/>
        <v>1.643982807228328E-3</v>
      </c>
      <c r="Q537">
        <f t="shared" si="25"/>
        <v>-1.6872212878466356E-2</v>
      </c>
      <c r="R537">
        <f t="shared" si="26"/>
        <v>2.0899862456913096E-2</v>
      </c>
    </row>
    <row r="538" spans="1:18" ht="13">
      <c r="A538" s="22" t="s">
        <v>125</v>
      </c>
      <c r="B538" s="9">
        <v>2018</v>
      </c>
      <c r="C538" s="4">
        <v>-2.1463992261403848</v>
      </c>
      <c r="D538" s="10">
        <v>0.41824263308757742</v>
      </c>
      <c r="E538" s="11">
        <v>0.19739999999999999</v>
      </c>
      <c r="F538" s="11">
        <v>6.7000000000000002E-4</v>
      </c>
      <c r="G538" s="12">
        <v>7.6677747072247757E-3</v>
      </c>
      <c r="H538" s="12">
        <v>-9.155084084725186E-3</v>
      </c>
      <c r="I538" s="12">
        <v>-1.5100181966240739E-2</v>
      </c>
      <c r="J538" s="12">
        <v>1.5136187272061707E-3</v>
      </c>
      <c r="K538" s="12">
        <v>-1.8072135983247517E-3</v>
      </c>
      <c r="L538" s="12">
        <v>-2.9807759201359216E-3</v>
      </c>
      <c r="M538" s="12">
        <v>5.1374090538405996E-6</v>
      </c>
      <c r="N538" s="12">
        <v>-6.1339063367658744E-6</v>
      </c>
      <c r="O538" s="12">
        <v>-1.0117121917381296E-5</v>
      </c>
      <c r="P538">
        <f t="shared" si="24"/>
        <v>3.2069902834720183E-3</v>
      </c>
      <c r="Q538">
        <f t="shared" si="25"/>
        <v>-3.8290464737336357E-3</v>
      </c>
      <c r="R538">
        <f t="shared" si="26"/>
        <v>-6.3155398656620787E-3</v>
      </c>
    </row>
    <row r="539" spans="1:18" ht="13">
      <c r="A539" s="22" t="s">
        <v>125</v>
      </c>
      <c r="B539" s="9">
        <v>2019</v>
      </c>
      <c r="C539" s="4">
        <v>-2.4995148080620133</v>
      </c>
      <c r="D539" s="10">
        <v>0.36827503698353126</v>
      </c>
      <c r="E539" s="11">
        <v>0.24579999999999999</v>
      </c>
      <c r="F539" s="11">
        <v>6.7000000000000002E-4</v>
      </c>
      <c r="G539" s="12">
        <v>9.3662200244751553E-2</v>
      </c>
      <c r="H539" s="12">
        <v>-4.5432997890219604E-3</v>
      </c>
      <c r="I539" s="12">
        <v>-6.3077991284604923E-2</v>
      </c>
      <c r="J539" s="12">
        <v>2.3022168820159932E-2</v>
      </c>
      <c r="K539" s="12">
        <v>-1.1167430881415979E-3</v>
      </c>
      <c r="L539" s="12">
        <v>-1.550457025775589E-2</v>
      </c>
      <c r="M539" s="12">
        <v>6.2753674163983536E-5</v>
      </c>
      <c r="N539" s="12">
        <v>-3.0440108586447134E-6</v>
      </c>
      <c r="O539" s="12">
        <v>-4.2262254160685299E-5</v>
      </c>
      <c r="P539">
        <f t="shared" si="24"/>
        <v>3.4493450259094789E-2</v>
      </c>
      <c r="Q539">
        <f t="shared" si="25"/>
        <v>-1.6731838978293321E-3</v>
      </c>
      <c r="R539">
        <f t="shared" si="26"/>
        <v>-2.3230049573184742E-2</v>
      </c>
    </row>
    <row r="540" spans="1:18" ht="13">
      <c r="A540" s="22" t="s">
        <v>125</v>
      </c>
      <c r="B540" s="9">
        <v>2020</v>
      </c>
      <c r="C540" s="4">
        <v>-1.2256643171281021</v>
      </c>
      <c r="D540" s="10">
        <v>0.55212924642687167</v>
      </c>
      <c r="E540" s="11">
        <v>0.20100000000000001</v>
      </c>
      <c r="F540" s="11">
        <v>6.7000000000000002E-4</v>
      </c>
      <c r="G540" s="12">
        <v>-0.12247602359046626</v>
      </c>
      <c r="H540" s="12">
        <v>-2.0172472071666045E-2</v>
      </c>
      <c r="I540" s="12">
        <v>0.15937102179948776</v>
      </c>
      <c r="J540" s="12">
        <v>-2.4617680741683721E-2</v>
      </c>
      <c r="K540" s="12">
        <v>-4.054666886404875E-3</v>
      </c>
      <c r="L540" s="12">
        <v>3.2033575381697044E-2</v>
      </c>
      <c r="M540" s="12">
        <v>-8.2058935805612396E-5</v>
      </c>
      <c r="N540" s="12">
        <v>-1.351555628801625E-5</v>
      </c>
      <c r="O540" s="12">
        <v>1.067785846056568E-4</v>
      </c>
      <c r="P540">
        <f t="shared" si="24"/>
        <v>-6.7622594610363893E-2</v>
      </c>
      <c r="Q540">
        <f t="shared" si="25"/>
        <v>-1.1137811803496088E-2</v>
      </c>
      <c r="R540">
        <f t="shared" si="26"/>
        <v>8.7993402168431711E-2</v>
      </c>
    </row>
    <row r="541" spans="1:18" ht="13">
      <c r="A541" s="22" t="s">
        <v>125</v>
      </c>
      <c r="B541" s="9">
        <v>2021</v>
      </c>
      <c r="C541" s="4">
        <v>-1.7679499663839526</v>
      </c>
      <c r="D541" s="10">
        <v>0.47159291046458668</v>
      </c>
      <c r="E541" s="11">
        <v>0.15970000000000001</v>
      </c>
      <c r="F541" s="11">
        <v>5.9000000000000003E-4</v>
      </c>
      <c r="G541" s="12">
        <v>-4.0265024353041662E-2</v>
      </c>
      <c r="H541" s="12">
        <v>-0.10296569269748575</v>
      </c>
      <c r="I541" s="12">
        <v>0.19265990893994833</v>
      </c>
      <c r="J541" s="12">
        <v>-6.4303243891807539E-3</v>
      </c>
      <c r="K541" s="12">
        <v>-1.6443621123788475E-2</v>
      </c>
      <c r="L541" s="12">
        <v>3.076778745770975E-2</v>
      </c>
      <c r="M541" s="12">
        <v>-2.3756364368294581E-5</v>
      </c>
      <c r="N541" s="12">
        <v>-6.0749758691516591E-5</v>
      </c>
      <c r="O541" s="12">
        <v>1.1366934627456952E-4</v>
      </c>
      <c r="P541">
        <f t="shared" si="24"/>
        <v>-1.8988700024578378E-2</v>
      </c>
      <c r="Q541">
        <f t="shared" si="25"/>
        <v>-4.8557890697209539E-2</v>
      </c>
      <c r="R541">
        <f t="shared" si="26"/>
        <v>9.0857047186832476E-2</v>
      </c>
    </row>
    <row r="542" spans="1:18" ht="13">
      <c r="A542" s="21" t="s">
        <v>126</v>
      </c>
      <c r="B542" s="9">
        <v>2017</v>
      </c>
      <c r="C542" s="4">
        <v>-2.5106094848870013</v>
      </c>
      <c r="D542" s="10">
        <v>0.36285560205091894</v>
      </c>
      <c r="E542" s="11">
        <v>0.48170000000000002</v>
      </c>
      <c r="F542" s="11">
        <v>1.0030000000000001E-2</v>
      </c>
      <c r="G542" s="12">
        <v>6.1426710111129178E-2</v>
      </c>
      <c r="H542" s="12">
        <v>-8.4257694548104181E-3</v>
      </c>
      <c r="I542" s="12">
        <v>0.10467528832042418</v>
      </c>
      <c r="J542" s="12">
        <v>2.9589246260530926E-2</v>
      </c>
      <c r="K542" s="12">
        <v>-4.0586931463821785E-3</v>
      </c>
      <c r="L542" s="12">
        <v>5.0422086383948329E-2</v>
      </c>
      <c r="M542" s="12">
        <v>6.1610990241462566E-4</v>
      </c>
      <c r="N542" s="12">
        <v>-8.4510467631748498E-5</v>
      </c>
      <c r="O542" s="12">
        <v>1.0498931418538545E-3</v>
      </c>
      <c r="P542">
        <f t="shared" si="24"/>
        <v>2.2289025879381048E-2</v>
      </c>
      <c r="Q542">
        <f t="shared" si="25"/>
        <v>-3.0573376482674773E-3</v>
      </c>
      <c r="R542">
        <f t="shared" si="26"/>
        <v>3.7982014763361036E-2</v>
      </c>
    </row>
    <row r="543" spans="1:18" ht="13">
      <c r="A543" s="22" t="s">
        <v>126</v>
      </c>
      <c r="B543" s="9">
        <v>2018</v>
      </c>
      <c r="C543" s="4">
        <v>-2.8150759732969304</v>
      </c>
      <c r="D543" s="10">
        <v>0.32542391441441004</v>
      </c>
      <c r="E543" s="11">
        <v>0.46560000000000001</v>
      </c>
      <c r="F543" s="11">
        <v>1.3606999999999999E-2</v>
      </c>
      <c r="G543" s="12">
        <v>-7.0293090754789123E-2</v>
      </c>
      <c r="H543" s="12">
        <v>5.0792489946606782E-2</v>
      </c>
      <c r="I543" s="12">
        <v>-5.4401249915671759E-2</v>
      </c>
      <c r="J543" s="12">
        <v>-3.272846305542982E-2</v>
      </c>
      <c r="K543" s="12">
        <v>2.3648983319140119E-2</v>
      </c>
      <c r="L543" s="12">
        <v>-2.532922196073677E-2</v>
      </c>
      <c r="M543" s="12">
        <v>-9.5647808590041555E-4</v>
      </c>
      <c r="N543" s="12">
        <v>6.9113341070347841E-4</v>
      </c>
      <c r="O543" s="12">
        <v>-7.4023780760254564E-4</v>
      </c>
      <c r="P543">
        <f t="shared" si="24"/>
        <v>-2.2875052749710852E-2</v>
      </c>
      <c r="Q543">
        <f t="shared" si="25"/>
        <v>1.652909090127935E-2</v>
      </c>
      <c r="R543">
        <f t="shared" si="26"/>
        <v>-1.7703467696594498E-2</v>
      </c>
    </row>
    <row r="544" spans="1:18" ht="13">
      <c r="A544" s="22" t="s">
        <v>126</v>
      </c>
      <c r="B544" s="9">
        <v>2019</v>
      </c>
      <c r="C544" s="4">
        <v>-2.2227578809699073</v>
      </c>
      <c r="D544" s="10">
        <v>0.42100332922122513</v>
      </c>
      <c r="E544" s="11">
        <v>0.44529999999999997</v>
      </c>
      <c r="F544" s="11">
        <v>1.2807000000000001E-2</v>
      </c>
      <c r="G544" s="12">
        <v>-1.2353699726455411E-2</v>
      </c>
      <c r="H544" s="12">
        <v>-1.5169977631440781E-2</v>
      </c>
      <c r="I544" s="12">
        <v>-2.2388956081022381E-2</v>
      </c>
      <c r="J544" s="12">
        <v>-5.5011024881905938E-3</v>
      </c>
      <c r="K544" s="12">
        <v>-6.7551910392805795E-3</v>
      </c>
      <c r="L544" s="12">
        <v>-9.9698021428792655E-3</v>
      </c>
      <c r="M544" s="12">
        <v>-1.5821383239671445E-4</v>
      </c>
      <c r="N544" s="12">
        <v>-1.942819035258621E-4</v>
      </c>
      <c r="O544" s="12">
        <v>-2.8673536052965364E-4</v>
      </c>
      <c r="P544">
        <f t="shared" si="24"/>
        <v>-5.2009487130370664E-3</v>
      </c>
      <c r="Q544">
        <f t="shared" si="25"/>
        <v>-6.3866110870480844E-3</v>
      </c>
      <c r="R544">
        <f t="shared" si="26"/>
        <v>-9.4258250478982154E-3</v>
      </c>
    </row>
    <row r="545" spans="1:18" ht="13">
      <c r="A545" s="22" t="s">
        <v>126</v>
      </c>
      <c r="B545" s="9">
        <v>2020</v>
      </c>
      <c r="C545" s="4">
        <v>-2.3223351777780836</v>
      </c>
      <c r="D545" s="10">
        <v>0.41453819198003228</v>
      </c>
      <c r="E545" s="11">
        <v>0.38140000000000002</v>
      </c>
      <c r="F545" s="11">
        <v>5.4159999999999998E-3</v>
      </c>
      <c r="G545" s="12">
        <v>1.1669622167186842E-2</v>
      </c>
      <c r="H545" s="12">
        <v>8.4825615900712412E-4</v>
      </c>
      <c r="I545" s="12">
        <v>3.4901219780874335E-2</v>
      </c>
      <c r="J545" s="12">
        <v>4.4507938945650615E-3</v>
      </c>
      <c r="K545" s="12">
        <v>3.2352489904531714E-4</v>
      </c>
      <c r="L545" s="12">
        <v>1.3311325224425472E-2</v>
      </c>
      <c r="M545" s="12">
        <v>6.3202673657483931E-5</v>
      </c>
      <c r="N545" s="12">
        <v>4.5941553571825845E-6</v>
      </c>
      <c r="O545" s="12">
        <v>1.8902500633321539E-4</v>
      </c>
      <c r="P545">
        <f t="shared" si="24"/>
        <v>4.8375040742757395E-3</v>
      </c>
      <c r="Q545">
        <f t="shared" si="25"/>
        <v>3.5163457449074E-4</v>
      </c>
      <c r="R545">
        <f t="shared" si="26"/>
        <v>1.4467888545861386E-2</v>
      </c>
    </row>
    <row r="546" spans="1:18" ht="13">
      <c r="A546" s="22" t="s">
        <v>126</v>
      </c>
      <c r="B546" s="9">
        <v>2021</v>
      </c>
      <c r="C546" s="4">
        <v>-3.0545369227233268</v>
      </c>
      <c r="D546" s="10">
        <v>0.288845519630967</v>
      </c>
      <c r="E546" s="11">
        <v>0.32100000000000001</v>
      </c>
      <c r="F546" s="11">
        <v>1.073E-2</v>
      </c>
      <c r="G546" s="12">
        <v>-0.13983037285965755</v>
      </c>
      <c r="H546" s="12">
        <v>-7.407793942683003E-3</v>
      </c>
      <c r="I546" s="12">
        <v>0.11451153923758235</v>
      </c>
      <c r="J546" s="12">
        <v>-4.4885549687950076E-2</v>
      </c>
      <c r="K546" s="12">
        <v>-2.3779018556012439E-3</v>
      </c>
      <c r="L546" s="12">
        <v>3.6758204095263938E-2</v>
      </c>
      <c r="M546" s="12">
        <v>-1.5003799007841255E-3</v>
      </c>
      <c r="N546" s="12">
        <v>-7.9485629004988627E-5</v>
      </c>
      <c r="O546" s="12">
        <v>1.2287088160192587E-3</v>
      </c>
      <c r="P546">
        <f t="shared" si="24"/>
        <v>-4.0389376708839651E-2</v>
      </c>
      <c r="Q546">
        <f t="shared" si="25"/>
        <v>-2.1397080906934017E-3</v>
      </c>
      <c r="R546">
        <f t="shared" si="26"/>
        <v>3.3076145054821343E-2</v>
      </c>
    </row>
    <row r="547" spans="1:18" ht="13">
      <c r="A547" s="21" t="s">
        <v>127</v>
      </c>
      <c r="B547" s="9">
        <v>2017</v>
      </c>
      <c r="C547" s="4">
        <v>-0.66186923601794767</v>
      </c>
      <c r="D547" s="10">
        <v>0.65863456097089812</v>
      </c>
      <c r="E547" s="11">
        <v>0.18160000000000001</v>
      </c>
      <c r="F547" s="11">
        <v>1.0019999999999999E-2</v>
      </c>
      <c r="G547" s="12">
        <v>0.12117475937773435</v>
      </c>
      <c r="H547" s="12">
        <v>-0.11407824911080557</v>
      </c>
      <c r="I547" s="12">
        <v>-1.7329348530130339E-3</v>
      </c>
      <c r="J547" s="12">
        <v>2.2005336302996559E-2</v>
      </c>
      <c r="K547" s="12">
        <v>-2.0716610038522293E-2</v>
      </c>
      <c r="L547" s="12">
        <v>-3.1470096930716698E-4</v>
      </c>
      <c r="M547" s="12">
        <v>1.2141710889648982E-3</v>
      </c>
      <c r="N547" s="12">
        <v>-1.1430640560902716E-3</v>
      </c>
      <c r="O547" s="12">
        <v>-1.7364007227190599E-5</v>
      </c>
      <c r="P547">
        <f t="shared" si="24"/>
        <v>7.9809884443508283E-2</v>
      </c>
      <c r="Q547">
        <f t="shared" si="25"/>
        <v>-7.5135877519424174E-2</v>
      </c>
      <c r="R547">
        <f t="shared" si="26"/>
        <v>-1.1413707861054074E-3</v>
      </c>
    </row>
    <row r="548" spans="1:18" ht="13">
      <c r="A548" s="22" t="s">
        <v>127</v>
      </c>
      <c r="B548" s="9">
        <v>2018</v>
      </c>
      <c r="C548" s="4">
        <v>-0.61657714420166299</v>
      </c>
      <c r="D548" s="10">
        <v>0.66920721298042329</v>
      </c>
      <c r="E548" s="11">
        <v>0.21729999999999999</v>
      </c>
      <c r="F548" s="11">
        <v>4.7800000000000004E-3</v>
      </c>
      <c r="G548" s="12">
        <v>0.12377415576297805</v>
      </c>
      <c r="H548" s="12">
        <v>-7.682044763340494E-2</v>
      </c>
      <c r="I548" s="12">
        <v>-1.2590674391608318E-2</v>
      </c>
      <c r="J548" s="12">
        <v>2.689612404729513E-2</v>
      </c>
      <c r="K548" s="12">
        <v>-1.6693083270738894E-2</v>
      </c>
      <c r="L548" s="12">
        <v>-2.7359535452964874E-3</v>
      </c>
      <c r="M548" s="12">
        <v>5.9164046454703511E-4</v>
      </c>
      <c r="N548" s="12">
        <v>-3.6720173968767564E-4</v>
      </c>
      <c r="O548" s="12">
        <v>-6.0183423591887765E-5</v>
      </c>
      <c r="P548">
        <f t="shared" si="24"/>
        <v>8.2830557817147335E-2</v>
      </c>
      <c r="Q548">
        <f t="shared" si="25"/>
        <v>-5.1408797660659471E-2</v>
      </c>
      <c r="R548">
        <f t="shared" si="26"/>
        <v>-8.4257701191521889E-3</v>
      </c>
    </row>
    <row r="549" spans="1:18" ht="13">
      <c r="A549" s="22" t="s">
        <v>127</v>
      </c>
      <c r="B549" s="9">
        <v>2019</v>
      </c>
      <c r="C549" s="4">
        <v>-0.56149234139759951</v>
      </c>
      <c r="D549" s="10">
        <v>0.67684937566605674</v>
      </c>
      <c r="E549" s="11">
        <v>0.21729999999999999</v>
      </c>
      <c r="F549" s="11">
        <v>4.7800000000000004E-3</v>
      </c>
      <c r="G549" s="12">
        <v>2.1273601029497519E-2</v>
      </c>
      <c r="H549" s="12">
        <v>-0.13769026602054976</v>
      </c>
      <c r="I549" s="12">
        <v>9.9043894396075041E-2</v>
      </c>
      <c r="J549" s="12">
        <v>4.6227535037098103E-3</v>
      </c>
      <c r="K549" s="12">
        <v>-2.9920094806265462E-2</v>
      </c>
      <c r="L549" s="12">
        <v>2.1522238252267106E-2</v>
      </c>
      <c r="M549" s="12">
        <v>1.0168781292099815E-4</v>
      </c>
      <c r="N549" s="12">
        <v>-6.5815947157822792E-4</v>
      </c>
      <c r="O549" s="12">
        <v>4.7342981521323875E-4</v>
      </c>
      <c r="P549">
        <f t="shared" si="24"/>
        <v>1.4399023574984177E-2</v>
      </c>
      <c r="Q549">
        <f t="shared" si="25"/>
        <v>-9.3195570591302374E-2</v>
      </c>
      <c r="R549">
        <f t="shared" si="26"/>
        <v>6.7037798085518241E-2</v>
      </c>
    </row>
    <row r="550" spans="1:18" ht="13">
      <c r="A550" s="22" t="s">
        <v>127</v>
      </c>
      <c r="B550" s="9">
        <v>2020</v>
      </c>
      <c r="C550" s="4">
        <v>-0.56702938176303019</v>
      </c>
      <c r="D550" s="10">
        <v>0.67329675692462387</v>
      </c>
      <c r="E550" s="11">
        <v>0.11650000000000001</v>
      </c>
      <c r="F550" s="11">
        <v>4.7000000000000002E-3</v>
      </c>
      <c r="G550" s="12">
        <v>0.12097819710839333</v>
      </c>
      <c r="H550" s="12">
        <v>-2.2024716187772041E-2</v>
      </c>
      <c r="I550" s="12">
        <v>-3.9346751255773596E-2</v>
      </c>
      <c r="J550" s="12">
        <v>1.4093959963127824E-2</v>
      </c>
      <c r="K550" s="12">
        <v>-2.565879435875443E-3</v>
      </c>
      <c r="L550" s="12">
        <v>-4.5838965212976245E-3</v>
      </c>
      <c r="M550" s="12">
        <v>5.685975264094487E-4</v>
      </c>
      <c r="N550" s="12">
        <v>-1.0351616608252859E-4</v>
      </c>
      <c r="O550" s="12">
        <v>-1.849297309021359E-4</v>
      </c>
      <c r="P550">
        <f t="shared" si="24"/>
        <v>8.1454227771669135E-2</v>
      </c>
      <c r="Q550">
        <f t="shared" si="25"/>
        <v>-1.482916998141218E-2</v>
      </c>
      <c r="R550">
        <f t="shared" si="26"/>
        <v>-2.6492040016032233E-2</v>
      </c>
    </row>
    <row r="551" spans="1:18" ht="13">
      <c r="A551" s="22" t="s">
        <v>127</v>
      </c>
      <c r="B551" s="9">
        <v>2021</v>
      </c>
      <c r="C551" s="4">
        <v>-0.51368631868204195</v>
      </c>
      <c r="D551" s="10">
        <v>0.68279166453044227</v>
      </c>
      <c r="E551" s="11">
        <v>2.3599999999999999E-2</v>
      </c>
      <c r="F551" s="11">
        <v>8.0000000000000004E-4</v>
      </c>
      <c r="G551" s="12">
        <v>7.1884336271224342E-2</v>
      </c>
      <c r="H551" s="12">
        <v>-0.22299851318788361</v>
      </c>
      <c r="I551" s="12">
        <v>9.790587873392588E-2</v>
      </c>
      <c r="J551" s="12">
        <v>1.6964703360008945E-3</v>
      </c>
      <c r="K551" s="12">
        <v>-5.2627649112340531E-3</v>
      </c>
      <c r="L551" s="12">
        <v>2.3105787381206507E-3</v>
      </c>
      <c r="M551" s="12">
        <v>5.7507469016979473E-5</v>
      </c>
      <c r="N551" s="12">
        <v>-1.7839881055030688E-4</v>
      </c>
      <c r="O551" s="12">
        <v>7.8324702987140712E-5</v>
      </c>
      <c r="P551">
        <f t="shared" si="24"/>
        <v>4.9082025616295315E-2</v>
      </c>
      <c r="Q551">
        <f t="shared" si="25"/>
        <v>-0.15226152600736884</v>
      </c>
      <c r="R551">
        <f t="shared" si="26"/>
        <v>6.6849317908052874E-2</v>
      </c>
    </row>
    <row r="552" spans="1:18" ht="13">
      <c r="A552" s="21" t="s">
        <v>128</v>
      </c>
      <c r="B552" s="9">
        <v>2017</v>
      </c>
      <c r="C552" s="4">
        <v>-2.8639223414569637</v>
      </c>
      <c r="D552" s="10">
        <v>0.26120738954225614</v>
      </c>
      <c r="E552" s="11">
        <v>0.49459999999999998</v>
      </c>
      <c r="F552" s="11">
        <v>9.8500000000000004E-2</v>
      </c>
      <c r="G552" s="12">
        <v>-2.4093090330440835E-2</v>
      </c>
      <c r="H552" s="12">
        <v>-8.4649046470573613E-2</v>
      </c>
      <c r="I552" s="12">
        <v>0.11778015365871851</v>
      </c>
      <c r="J552" s="12">
        <v>-1.1916442477436036E-2</v>
      </c>
      <c r="K552" s="12">
        <v>-4.1867418384345705E-2</v>
      </c>
      <c r="L552" s="12">
        <v>5.8254063999602174E-2</v>
      </c>
      <c r="M552" s="12">
        <v>-2.3731693975484222E-3</v>
      </c>
      <c r="N552" s="12">
        <v>-8.3379310773515018E-3</v>
      </c>
      <c r="O552" s="12">
        <v>1.1601345135383774E-2</v>
      </c>
      <c r="P552">
        <f t="shared" si="24"/>
        <v>-6.2932932312202237E-3</v>
      </c>
      <c r="Q552">
        <f t="shared" si="25"/>
        <v>-2.2110956455819664E-2</v>
      </c>
      <c r="R552">
        <f t="shared" si="26"/>
        <v>3.0765046477079672E-2</v>
      </c>
    </row>
    <row r="553" spans="1:18" ht="13">
      <c r="A553" s="22" t="s">
        <v>128</v>
      </c>
      <c r="B553" s="9">
        <v>2018</v>
      </c>
      <c r="C553" s="4">
        <v>-2.3510776754912732</v>
      </c>
      <c r="D553" s="10">
        <v>0.34635097248992464</v>
      </c>
      <c r="E553" s="11">
        <v>0.49459999999999998</v>
      </c>
      <c r="F553" s="11">
        <v>9.8500000000000004E-2</v>
      </c>
      <c r="G553" s="12">
        <v>-6.5358331873138248E-2</v>
      </c>
      <c r="H553" s="12">
        <v>-4.6423252146486772E-2</v>
      </c>
      <c r="I553" s="12">
        <v>9.6679516383388828E-2</v>
      </c>
      <c r="J553" s="12">
        <v>-3.2326230944454179E-2</v>
      </c>
      <c r="K553" s="12">
        <v>-2.2960940511652358E-2</v>
      </c>
      <c r="L553" s="12">
        <v>4.7817688803224109E-2</v>
      </c>
      <c r="M553" s="12">
        <v>-6.4377956895041175E-3</v>
      </c>
      <c r="N553" s="12">
        <v>-4.5726903364289471E-3</v>
      </c>
      <c r="O553" s="12">
        <v>9.5229323637637999E-3</v>
      </c>
      <c r="P553">
        <f t="shared" si="24"/>
        <v>-2.263692180458067E-2</v>
      </c>
      <c r="Q553">
        <f t="shared" si="25"/>
        <v>-1.6078738527080676E-2</v>
      </c>
      <c r="R553">
        <f t="shared" si="26"/>
        <v>3.3485044519242321E-2</v>
      </c>
    </row>
    <row r="554" spans="1:18" ht="13">
      <c r="A554" s="22" t="s">
        <v>128</v>
      </c>
      <c r="B554" s="9">
        <v>2019</v>
      </c>
      <c r="C554" s="4">
        <v>-2.0646765647637864</v>
      </c>
      <c r="D554" s="10">
        <v>0.39666797294988893</v>
      </c>
      <c r="E554" s="11">
        <v>0.62749999999999995</v>
      </c>
      <c r="F554" s="11">
        <v>0.24779999999999999</v>
      </c>
      <c r="G554" s="12">
        <v>2.1181884866206452E-2</v>
      </c>
      <c r="H554" s="12">
        <v>-4.6694601030958911E-2</v>
      </c>
      <c r="I554" s="12">
        <v>2.324179302444759E-2</v>
      </c>
      <c r="J554" s="12">
        <v>1.3291632753544547E-2</v>
      </c>
      <c r="K554" s="12">
        <v>-2.9300862146926714E-2</v>
      </c>
      <c r="L554" s="12">
        <v>1.4584225122840862E-2</v>
      </c>
      <c r="M554" s="12">
        <v>5.2488710698459584E-3</v>
      </c>
      <c r="N554" s="12">
        <v>-1.1570922135471617E-2</v>
      </c>
      <c r="O554" s="12">
        <v>5.7593163114581123E-3</v>
      </c>
      <c r="P554">
        <f t="shared" si="24"/>
        <v>8.4021753331360426E-3</v>
      </c>
      <c r="Q554">
        <f t="shared" si="25"/>
        <v>-1.8522252738654266E-2</v>
      </c>
      <c r="R554">
        <f t="shared" si="26"/>
        <v>9.2192749267284938E-3</v>
      </c>
    </row>
    <row r="555" spans="1:18" ht="13">
      <c r="A555" s="22" t="s">
        <v>128</v>
      </c>
      <c r="B555" s="9">
        <v>2020</v>
      </c>
      <c r="C555" s="4">
        <v>-1.7007684393988229</v>
      </c>
      <c r="D555" s="10">
        <v>0.45722841969075989</v>
      </c>
      <c r="E555" s="11">
        <v>0.62709999999999999</v>
      </c>
      <c r="F555" s="11">
        <v>7.9000000000000008E-3</v>
      </c>
      <c r="G555" s="12">
        <v>4.57526983868487E-2</v>
      </c>
      <c r="H555" s="12">
        <v>-2.1921848564630097E-2</v>
      </c>
      <c r="I555" s="12">
        <v>-2.7594567941445231E-3</v>
      </c>
      <c r="J555" s="12">
        <v>2.8691517158392819E-2</v>
      </c>
      <c r="K555" s="12">
        <v>-1.3747191234879533E-2</v>
      </c>
      <c r="L555" s="12">
        <v>-1.7304553556080303E-3</v>
      </c>
      <c r="M555" s="12">
        <v>3.6144631725610476E-4</v>
      </c>
      <c r="N555" s="12">
        <v>-1.7318260366057779E-4</v>
      </c>
      <c r="O555" s="12">
        <v>-2.1799708673741735E-5</v>
      </c>
      <c r="P555">
        <f t="shared" si="24"/>
        <v>2.091943398000681E-2</v>
      </c>
      <c r="Q555">
        <f t="shared" si="25"/>
        <v>-1.0023292175905972E-2</v>
      </c>
      <c r="R555">
        <f t="shared" si="26"/>
        <v>-1.2617020691916309E-3</v>
      </c>
    </row>
    <row r="556" spans="1:18" ht="13">
      <c r="A556" s="22" t="s">
        <v>128</v>
      </c>
      <c r="B556" s="9">
        <v>2021</v>
      </c>
      <c r="C556" s="4">
        <v>-1.9592326051860629</v>
      </c>
      <c r="D556" s="10">
        <v>0.42516139835159728</v>
      </c>
      <c r="E556" s="11">
        <v>0.62709999999999999</v>
      </c>
      <c r="F556" s="11">
        <v>6.1000000000000004E-3</v>
      </c>
      <c r="G556" s="12">
        <v>7.4419989209101563E-3</v>
      </c>
      <c r="H556" s="12">
        <v>-6.9024539991441695E-3</v>
      </c>
      <c r="I556" s="12">
        <v>-1.6595657593629649E-2</v>
      </c>
      <c r="J556" s="12">
        <v>4.6668775233027586E-3</v>
      </c>
      <c r="K556" s="12">
        <v>-4.3285289028633083E-3</v>
      </c>
      <c r="L556" s="12">
        <v>-1.0407136876965152E-2</v>
      </c>
      <c r="M556" s="12">
        <v>4.5396193417551957E-5</v>
      </c>
      <c r="N556" s="12">
        <v>-4.2104969394779437E-5</v>
      </c>
      <c r="O556" s="12">
        <v>-1.0123351132114086E-4</v>
      </c>
      <c r="P556">
        <f t="shared" si="24"/>
        <v>3.16405066774524E-3</v>
      </c>
      <c r="Q556">
        <f t="shared" si="25"/>
        <v>-2.9346569943337099E-3</v>
      </c>
      <c r="R556">
        <f t="shared" si="26"/>
        <v>-7.0558329890718849E-3</v>
      </c>
    </row>
    <row r="557" spans="1:18" ht="13">
      <c r="A557" s="21" t="s">
        <v>129</v>
      </c>
      <c r="B557" s="9">
        <v>2017</v>
      </c>
      <c r="C557" s="4">
        <v>-4.3281286509897114</v>
      </c>
      <c r="D557" s="10">
        <v>6.3241848463523334E-2</v>
      </c>
      <c r="E557" s="11">
        <v>2.9999999999999997E-4</v>
      </c>
      <c r="F557" s="11">
        <v>0.1166</v>
      </c>
      <c r="G557" s="12">
        <v>0.12549847525216984</v>
      </c>
      <c r="H557" s="12">
        <v>0.51935256861365231</v>
      </c>
      <c r="I557" s="12">
        <v>-2.4349049964813511E-2</v>
      </c>
      <c r="J557" s="12">
        <v>3.7649542575650951E-5</v>
      </c>
      <c r="K557" s="12">
        <v>1.5580577058409568E-4</v>
      </c>
      <c r="L557" s="12">
        <v>-7.3047149894440525E-6</v>
      </c>
      <c r="M557" s="12">
        <v>1.4633122214403002E-2</v>
      </c>
      <c r="N557" s="12">
        <v>6.0556509500351859E-2</v>
      </c>
      <c r="O557" s="12">
        <v>-2.8390992258972552E-3</v>
      </c>
      <c r="P557">
        <f t="shared" si="24"/>
        <v>7.9367555543009578E-3</v>
      </c>
      <c r="Q557">
        <f t="shared" si="25"/>
        <v>3.2844816443406206E-2</v>
      </c>
      <c r="R557">
        <f t="shared" si="26"/>
        <v>-1.5398789281054943E-3</v>
      </c>
    </row>
    <row r="558" spans="1:18" ht="13">
      <c r="A558" s="22" t="s">
        <v>129</v>
      </c>
      <c r="B558" s="9">
        <v>2018</v>
      </c>
      <c r="C558" s="4">
        <v>-0.54877084640032159</v>
      </c>
      <c r="D558" s="10">
        <v>0.68469113435801521</v>
      </c>
      <c r="E558" s="11">
        <v>2.0000000000000001E-4</v>
      </c>
      <c r="F558" s="11">
        <v>0.1166</v>
      </c>
      <c r="G558" s="12">
        <v>2.3318333235930102E-2</v>
      </c>
      <c r="H558" s="12">
        <v>-8.3411255917246213E-2</v>
      </c>
      <c r="I558" s="12">
        <v>-2.6415755946467182E-2</v>
      </c>
      <c r="J558" s="12">
        <v>4.6636666471860209E-6</v>
      </c>
      <c r="K558" s="12">
        <v>-1.6682251183449244E-5</v>
      </c>
      <c r="L558" s="12">
        <v>-5.2831511892934363E-6</v>
      </c>
      <c r="M558" s="12">
        <v>2.7189176553094499E-3</v>
      </c>
      <c r="N558" s="12">
        <v>-9.725752439950908E-3</v>
      </c>
      <c r="O558" s="12">
        <v>-3.0800771433580733E-3</v>
      </c>
      <c r="P558">
        <f t="shared" si="24"/>
        <v>1.5965856034647188E-2</v>
      </c>
      <c r="Q558">
        <f t="shared" si="25"/>
        <v>-5.7110947432206016E-2</v>
      </c>
      <c r="R558">
        <f t="shared" si="26"/>
        <v>-1.80866339039111E-2</v>
      </c>
    </row>
    <row r="559" spans="1:18" ht="13">
      <c r="A559" s="22" t="s">
        <v>129</v>
      </c>
      <c r="B559" s="9">
        <v>2019</v>
      </c>
      <c r="C559" s="4">
        <v>-0.34391770041048031</v>
      </c>
      <c r="D559" s="10">
        <v>0.72333729631442756</v>
      </c>
      <c r="E559" s="11">
        <v>2.0000000000000001E-4</v>
      </c>
      <c r="F559" s="11">
        <v>0.13109999999999999</v>
      </c>
      <c r="G559" s="12">
        <v>-0.19716996526563627</v>
      </c>
      <c r="H559" s="12">
        <v>-4.4350420775345588E-2</v>
      </c>
      <c r="I559" s="12">
        <v>0.16304170454810357</v>
      </c>
      <c r="J559" s="12">
        <v>-3.9433993053127258E-5</v>
      </c>
      <c r="K559" s="12">
        <v>-8.8700841550691181E-6</v>
      </c>
      <c r="L559" s="12">
        <v>3.2608340909620713E-5</v>
      </c>
      <c r="M559" s="12">
        <v>-2.5848982446324914E-2</v>
      </c>
      <c r="N559" s="12">
        <v>-5.8143401636478066E-3</v>
      </c>
      <c r="O559" s="12">
        <v>2.1374767466256377E-2</v>
      </c>
      <c r="P559">
        <f t="shared" si="24"/>
        <v>-0.14262038958965492</v>
      </c>
      <c r="Q559">
        <f t="shared" si="25"/>
        <v>-3.2080313454045696E-2</v>
      </c>
      <c r="R559">
        <f t="shared" si="26"/>
        <v>0.11793414575432094</v>
      </c>
    </row>
    <row r="560" spans="1:18" ht="13">
      <c r="A560" s="22" t="s">
        <v>129</v>
      </c>
      <c r="B560" s="9">
        <v>2020</v>
      </c>
      <c r="C560" s="4">
        <v>0.1932875557711804</v>
      </c>
      <c r="D560" s="10">
        <v>0.80435109566996044</v>
      </c>
      <c r="E560" s="11">
        <v>2.0000000000000001E-4</v>
      </c>
      <c r="F560" s="11">
        <v>0.13109999999999999</v>
      </c>
      <c r="G560" s="12">
        <v>-6.2814901713065321E-2</v>
      </c>
      <c r="H560" s="12">
        <v>-7.3876881890237486E-2</v>
      </c>
      <c r="I560" s="12">
        <v>0.1644031343530509</v>
      </c>
      <c r="J560" s="12">
        <v>-1.2562980342613065E-5</v>
      </c>
      <c r="K560" s="12">
        <v>-1.4775376378047498E-5</v>
      </c>
      <c r="L560" s="12">
        <v>3.288062687061018E-5</v>
      </c>
      <c r="M560" s="12">
        <v>-8.235033614582863E-3</v>
      </c>
      <c r="N560" s="12">
        <v>-9.6852592158101335E-3</v>
      </c>
      <c r="O560" s="12">
        <v>2.1553250913684971E-2</v>
      </c>
      <c r="P560">
        <f t="shared" si="24"/>
        <v>-5.0525235017304965E-2</v>
      </c>
      <c r="Q560">
        <f t="shared" si="25"/>
        <v>-5.9422950893092782E-2</v>
      </c>
      <c r="R560">
        <f t="shared" si="26"/>
        <v>0.1322378412484522</v>
      </c>
    </row>
    <row r="561" spans="1:18" ht="13">
      <c r="A561" s="22" t="s">
        <v>129</v>
      </c>
      <c r="B561" s="9">
        <v>2021</v>
      </c>
      <c r="C561" s="4">
        <v>-3.1913298282158005</v>
      </c>
      <c r="D561" s="10">
        <v>0.29449164410419199</v>
      </c>
      <c r="E561" s="11">
        <v>3.8899999999999997E-2</v>
      </c>
      <c r="F561" s="11">
        <v>4.48E-2</v>
      </c>
      <c r="G561" s="12">
        <v>0.76610027074969667</v>
      </c>
      <c r="H561" s="12">
        <v>-0.85875268415647465</v>
      </c>
      <c r="I561" s="12">
        <v>5.0975632527308377E-2</v>
      </c>
      <c r="J561" s="12">
        <v>2.9801300532163198E-2</v>
      </c>
      <c r="K561" s="12">
        <v>-3.3405479413686864E-2</v>
      </c>
      <c r="L561" s="12">
        <v>1.9829521053122958E-3</v>
      </c>
      <c r="M561" s="12">
        <v>3.4321292129586407E-2</v>
      </c>
      <c r="N561" s="12">
        <v>-3.8472120250210066E-2</v>
      </c>
      <c r="O561" s="12">
        <v>2.2837083372234152E-3</v>
      </c>
      <c r="P561">
        <f t="shared" si="24"/>
        <v>0.22561012828174479</v>
      </c>
      <c r="Q561">
        <f t="shared" si="25"/>
        <v>-0.25289548983612814</v>
      </c>
      <c r="R561">
        <f t="shared" si="26"/>
        <v>1.5011897832218171E-2</v>
      </c>
    </row>
    <row r="562" spans="1:18" ht="13">
      <c r="A562" s="21" t="s">
        <v>130</v>
      </c>
      <c r="B562" s="9">
        <v>2017</v>
      </c>
      <c r="C562" s="4">
        <v>-2.5140744102156325</v>
      </c>
      <c r="D562" s="10">
        <v>0.46983984956624469</v>
      </c>
      <c r="E562" s="11">
        <v>4.2900000000000001E-2</v>
      </c>
      <c r="F562" s="11">
        <v>1.5200000000000001E-3</v>
      </c>
      <c r="G562" s="12">
        <v>0.28707541959972876</v>
      </c>
      <c r="H562" s="12">
        <v>-8.2221274632478872E-2</v>
      </c>
      <c r="I562" s="12">
        <v>-3.9258177039279148E-2</v>
      </c>
      <c r="J562" s="12">
        <v>1.2315535500828364E-2</v>
      </c>
      <c r="K562" s="12">
        <v>-3.5272926817333438E-3</v>
      </c>
      <c r="L562" s="12">
        <v>-1.6841757949850754E-3</v>
      </c>
      <c r="M562" s="12">
        <v>4.3635463779158774E-4</v>
      </c>
      <c r="N562" s="12">
        <v>-1.249763374413679E-4</v>
      </c>
      <c r="O562" s="12">
        <v>-5.967242909970431E-5</v>
      </c>
      <c r="P562">
        <f t="shared" si="24"/>
        <v>0.13487947195890312</v>
      </c>
      <c r="Q562">
        <f t="shared" si="25"/>
        <v>-3.8630831304468767E-2</v>
      </c>
      <c r="R562">
        <f t="shared" si="26"/>
        <v>-1.8445055994379917E-2</v>
      </c>
    </row>
    <row r="563" spans="1:18" ht="13">
      <c r="A563" s="22" t="s">
        <v>130</v>
      </c>
      <c r="B563" s="9">
        <v>2018</v>
      </c>
      <c r="C563" s="4">
        <v>-1.1275717327520836</v>
      </c>
      <c r="D563" s="10">
        <v>0.64750394404802591</v>
      </c>
      <c r="E563" s="11">
        <v>4.2900000000000001E-2</v>
      </c>
      <c r="F563" s="11">
        <v>2.76E-2</v>
      </c>
      <c r="G563" s="12">
        <v>0.24300168808707628</v>
      </c>
      <c r="H563" s="12">
        <v>-0.50835585842162134</v>
      </c>
      <c r="I563" s="12">
        <v>0.19946699254687114</v>
      </c>
      <c r="J563" s="12">
        <v>1.0424772418935573E-2</v>
      </c>
      <c r="K563" s="12">
        <v>-2.1808466326287555E-2</v>
      </c>
      <c r="L563" s="12">
        <v>8.5571339802607716E-3</v>
      </c>
      <c r="M563" s="12">
        <v>6.7068465912033057E-3</v>
      </c>
      <c r="N563" s="12">
        <v>-1.4030621692436749E-2</v>
      </c>
      <c r="O563" s="12">
        <v>5.5052889942936436E-3</v>
      </c>
      <c r="P563">
        <f t="shared" si="24"/>
        <v>0.15734455144671008</v>
      </c>
      <c r="Q563">
        <f t="shared" si="25"/>
        <v>-0.32916242330791967</v>
      </c>
      <c r="R563">
        <f t="shared" si="26"/>
        <v>0.12915566438149725</v>
      </c>
    </row>
    <row r="564" spans="1:18" ht="13">
      <c r="A564" s="22" t="s">
        <v>130</v>
      </c>
      <c r="B564" s="9">
        <v>2019</v>
      </c>
      <c r="C564" s="4">
        <v>-0.8370889363391445</v>
      </c>
      <c r="D564" s="10">
        <v>0.67435146855654871</v>
      </c>
      <c r="E564" s="11">
        <v>8.6999999999999994E-2</v>
      </c>
      <c r="F564" s="11">
        <v>3.1099999999999999E-2</v>
      </c>
      <c r="G564" s="12">
        <v>0.15622845279378075</v>
      </c>
      <c r="H564" s="12">
        <v>-0.23622178499897709</v>
      </c>
      <c r="I564" s="12">
        <v>8.3602528710665688E-2</v>
      </c>
      <c r="J564" s="12">
        <v>1.3591875393058924E-2</v>
      </c>
      <c r="K564" s="12">
        <v>-2.0551295294911006E-2</v>
      </c>
      <c r="L564" s="12">
        <v>7.2734199978279146E-3</v>
      </c>
      <c r="M564" s="12">
        <v>4.8587048818865813E-3</v>
      </c>
      <c r="N564" s="12">
        <v>-7.3464975134681868E-3</v>
      </c>
      <c r="O564" s="12">
        <v>2.6000386429017026E-3</v>
      </c>
      <c r="P564">
        <f t="shared" si="24"/>
        <v>0.1053528865718035</v>
      </c>
      <c r="Q564">
        <f t="shared" si="25"/>
        <v>-0.15929650761910952</v>
      </c>
      <c r="R564">
        <f t="shared" si="26"/>
        <v>5.6377488011078433E-2</v>
      </c>
    </row>
    <row r="565" spans="1:18" ht="13">
      <c r="A565" s="22" t="s">
        <v>130</v>
      </c>
      <c r="B565" s="9">
        <v>2020</v>
      </c>
      <c r="C565" s="4">
        <v>-1.2829630087089667</v>
      </c>
      <c r="D565" s="10">
        <v>0.59642534109583811</v>
      </c>
      <c r="E565" s="11">
        <v>0.129</v>
      </c>
      <c r="F565" s="11">
        <v>5.4399999999999997E-2</v>
      </c>
      <c r="G565" s="12">
        <v>0.11653438984929361</v>
      </c>
      <c r="H565" s="12">
        <v>-4.3364714575079302E-2</v>
      </c>
      <c r="I565" s="12">
        <v>-7.0117329324687561E-2</v>
      </c>
      <c r="J565" s="12">
        <v>1.5032936290558876E-2</v>
      </c>
      <c r="K565" s="12">
        <v>-5.5940481801852304E-3</v>
      </c>
      <c r="L565" s="12">
        <v>-9.0451354828846951E-3</v>
      </c>
      <c r="M565" s="12">
        <v>6.339470807801572E-3</v>
      </c>
      <c r="N565" s="12">
        <v>-2.3590404728843139E-3</v>
      </c>
      <c r="O565" s="12">
        <v>-3.8143827152630032E-3</v>
      </c>
      <c r="P565">
        <f t="shared" si="24"/>
        <v>6.9504063215260314E-2</v>
      </c>
      <c r="Q565">
        <f t="shared" si="25"/>
        <v>-2.5863814681965334E-2</v>
      </c>
      <c r="R565">
        <f t="shared" si="26"/>
        <v>-4.1819752059205989E-2</v>
      </c>
    </row>
    <row r="566" spans="1:18" ht="13">
      <c r="A566" s="22" t="s">
        <v>130</v>
      </c>
      <c r="B566" s="9">
        <v>2021</v>
      </c>
      <c r="C566" s="4">
        <v>-1.4496883819445752</v>
      </c>
      <c r="D566" s="10">
        <v>0.55133819340753099</v>
      </c>
      <c r="E566" s="11">
        <v>0.129</v>
      </c>
      <c r="F566" s="11">
        <v>5.28E-2</v>
      </c>
      <c r="G566" s="12">
        <v>1.1099539505878515E-2</v>
      </c>
      <c r="H566" s="12">
        <v>-4.3324089990840302E-2</v>
      </c>
      <c r="I566" s="12">
        <v>1.7827521738584894E-2</v>
      </c>
      <c r="J566" s="12">
        <v>1.4318405962583285E-3</v>
      </c>
      <c r="K566" s="12">
        <v>-5.5888076088183988E-3</v>
      </c>
      <c r="L566" s="12">
        <v>2.2997503042774515E-3</v>
      </c>
      <c r="M566" s="12">
        <v>5.860556859103856E-4</v>
      </c>
      <c r="N566" s="12">
        <v>-2.2875119515163678E-3</v>
      </c>
      <c r="O566" s="12">
        <v>9.4129314779728239E-4</v>
      </c>
      <c r="P566">
        <f t="shared" si="24"/>
        <v>6.1196000588265792E-3</v>
      </c>
      <c r="Q566">
        <f t="shared" si="25"/>
        <v>-2.3886225506575189E-2</v>
      </c>
      <c r="R566">
        <f t="shared" si="26"/>
        <v>9.8289936282848819E-3</v>
      </c>
    </row>
    <row r="567" spans="1:18" ht="13">
      <c r="A567" s="21" t="s">
        <v>131</v>
      </c>
      <c r="B567" s="9">
        <v>2017</v>
      </c>
      <c r="C567" s="4">
        <v>5.8640337899219248E-2</v>
      </c>
      <c r="D567" s="10">
        <v>0.78533898841552197</v>
      </c>
      <c r="E567" s="11">
        <v>1.29E-2</v>
      </c>
      <c r="F567" s="11">
        <v>0.18548999999999999</v>
      </c>
      <c r="G567" s="12">
        <v>8.4654409969343189E-2</v>
      </c>
      <c r="H567" s="12">
        <v>-8.392190198862351E-3</v>
      </c>
      <c r="I567" s="12">
        <v>-7.1523526166812873E-2</v>
      </c>
      <c r="J567" s="12">
        <v>1.0920418886045272E-3</v>
      </c>
      <c r="K567" s="12">
        <v>-1.0825925356532433E-4</v>
      </c>
      <c r="L567" s="12">
        <v>-9.2265348755188607E-4</v>
      </c>
      <c r="M567" s="12">
        <v>1.5702546505213466E-2</v>
      </c>
      <c r="N567" s="12">
        <v>-1.5566673599869774E-3</v>
      </c>
      <c r="O567" s="12">
        <v>-1.3266898868682118E-2</v>
      </c>
      <c r="P567">
        <f t="shared" si="24"/>
        <v>6.6482408690236861E-2</v>
      </c>
      <c r="Q567">
        <f t="shared" si="25"/>
        <v>-6.5907141613652164E-3</v>
      </c>
      <c r="R567">
        <f t="shared" si="26"/>
        <v>-5.6170213687755939E-2</v>
      </c>
    </row>
    <row r="568" spans="1:18" ht="13">
      <c r="A568" s="22" t="s">
        <v>131</v>
      </c>
      <c r="B568" s="9">
        <v>2018</v>
      </c>
      <c r="C568" s="4">
        <v>0.15526313752207233</v>
      </c>
      <c r="D568" s="10">
        <v>0.79463758819756258</v>
      </c>
      <c r="E568" s="11">
        <v>1.1299999999999999E-2</v>
      </c>
      <c r="F568" s="11">
        <v>0.18654999999999999</v>
      </c>
      <c r="G568" s="12">
        <v>8.561043403891383E-2</v>
      </c>
      <c r="H568" s="12">
        <v>-1.5394483643361127E-4</v>
      </c>
      <c r="I568" s="12">
        <v>-6.5289715629677142E-2</v>
      </c>
      <c r="J568" s="12">
        <v>9.6739790463972624E-4</v>
      </c>
      <c r="K568" s="12">
        <v>-1.7395766516998073E-6</v>
      </c>
      <c r="L568" s="12">
        <v>-7.3777378661535168E-4</v>
      </c>
      <c r="M568" s="12">
        <v>1.5970626469959375E-2</v>
      </c>
      <c r="N568" s="12">
        <v>-2.8718409236690181E-5</v>
      </c>
      <c r="O568" s="12">
        <v>-1.2179796450716271E-2</v>
      </c>
      <c r="P568">
        <f t="shared" si="24"/>
        <v>6.8029268829229009E-2</v>
      </c>
      <c r="Q568">
        <f t="shared" si="25"/>
        <v>-1.2233035353907313E-4</v>
      </c>
      <c r="R568">
        <f t="shared" si="26"/>
        <v>-5.1881662162071351E-2</v>
      </c>
    </row>
    <row r="569" spans="1:18" ht="13">
      <c r="A569" s="22" t="s">
        <v>131</v>
      </c>
      <c r="B569" s="9">
        <v>2019</v>
      </c>
      <c r="C569" s="4">
        <v>0.15584318818272902</v>
      </c>
      <c r="D569" s="10">
        <v>0.79432552588894767</v>
      </c>
      <c r="E569" s="11">
        <v>0.01</v>
      </c>
      <c r="F569" s="11">
        <v>0.21618999999999999</v>
      </c>
      <c r="G569" s="12">
        <v>0.28461454420156485</v>
      </c>
      <c r="H569" s="12">
        <v>-1.4118952172049516E-2</v>
      </c>
      <c r="I569" s="12">
        <v>-9.6126532704703782E-2</v>
      </c>
      <c r="J569" s="12">
        <v>2.8461454420156485E-3</v>
      </c>
      <c r="K569" s="12">
        <v>-1.4118952172049515E-4</v>
      </c>
      <c r="L569" s="12">
        <v>-9.6126532704703788E-4</v>
      </c>
      <c r="M569" s="12">
        <v>6.1530818310936299E-2</v>
      </c>
      <c r="N569" s="12">
        <v>-3.0523762700753847E-3</v>
      </c>
      <c r="O569" s="12">
        <v>-2.0781595105429911E-2</v>
      </c>
      <c r="P569">
        <f t="shared" si="24"/>
        <v>0.22607659749855114</v>
      </c>
      <c r="Q569">
        <f t="shared" si="25"/>
        <v>-1.1215044109064131E-2</v>
      </c>
      <c r="R569">
        <f t="shared" si="26"/>
        <v>-7.6355758642544957E-2</v>
      </c>
    </row>
    <row r="570" spans="1:18" ht="13">
      <c r="A570" s="22" t="s">
        <v>131</v>
      </c>
      <c r="B570" s="9">
        <v>2020</v>
      </c>
      <c r="C570" s="4">
        <v>-4.918976272926167E-2</v>
      </c>
      <c r="D570" s="10">
        <v>0.76047766237256897</v>
      </c>
      <c r="E570" s="11">
        <v>9.4000000000000004E-3</v>
      </c>
      <c r="F570" s="11">
        <v>0.52554000000000001</v>
      </c>
      <c r="G570" s="12">
        <v>-6.9239925509244141E-2</v>
      </c>
      <c r="H570" s="12">
        <v>-1.4542976174477317E-2</v>
      </c>
      <c r="I570" s="12">
        <v>9.4073377234242719E-3</v>
      </c>
      <c r="J570" s="12">
        <v>-6.5085529978689495E-4</v>
      </c>
      <c r="K570" s="12">
        <v>-1.3670397604008679E-4</v>
      </c>
      <c r="L570" s="12">
        <v>8.8428974600188165E-5</v>
      </c>
      <c r="M570" s="12">
        <v>-3.6388350452128168E-2</v>
      </c>
      <c r="N570" s="12">
        <v>-7.6429156987348097E-3</v>
      </c>
      <c r="O570" s="12">
        <v>4.9439322671683923E-3</v>
      </c>
      <c r="P570">
        <f t="shared" si="24"/>
        <v>-5.2655416694120792E-2</v>
      </c>
      <c r="Q570">
        <f t="shared" si="25"/>
        <v>-1.1059608525106476E-2</v>
      </c>
      <c r="R570">
        <f t="shared" si="26"/>
        <v>7.1540702010589752E-3</v>
      </c>
    </row>
    <row r="571" spans="1:18" ht="13">
      <c r="A571" s="22" t="s">
        <v>131</v>
      </c>
      <c r="B571" s="9">
        <v>2021</v>
      </c>
      <c r="C571" s="4">
        <v>0.20807823128493552</v>
      </c>
      <c r="D571" s="10">
        <v>0.80106487497226897</v>
      </c>
      <c r="E571" s="11">
        <v>9.1999999999999998E-3</v>
      </c>
      <c r="F571" s="11">
        <v>0.52554000000000001</v>
      </c>
      <c r="G571" s="12">
        <v>0.18229645358602989</v>
      </c>
      <c r="H571" s="12">
        <v>-7.6537888631825826E-3</v>
      </c>
      <c r="I571" s="12">
        <v>-3.6232687858523752E-2</v>
      </c>
      <c r="J571" s="12">
        <v>1.677127372991475E-3</v>
      </c>
      <c r="K571" s="12">
        <v>-7.041485754127976E-5</v>
      </c>
      <c r="L571" s="12">
        <v>-3.3334072829841848E-4</v>
      </c>
      <c r="M571" s="12">
        <v>9.5804078217602145E-2</v>
      </c>
      <c r="N571" s="12">
        <v>-4.0223721991569745E-3</v>
      </c>
      <c r="O571" s="12">
        <v>-1.9041726777168571E-2</v>
      </c>
      <c r="P571">
        <f t="shared" si="24"/>
        <v>0.14603128579978106</v>
      </c>
      <c r="Q571">
        <f t="shared" si="25"/>
        <v>-6.1311814187494998E-3</v>
      </c>
      <c r="R571">
        <f t="shared" si="26"/>
        <v>-2.9024733569297578E-2</v>
      </c>
    </row>
    <row r="572" spans="1:18" ht="13">
      <c r="A572" s="21" t="s">
        <v>132</v>
      </c>
      <c r="B572" s="9">
        <v>2017</v>
      </c>
      <c r="C572" s="4">
        <v>-0.89724345246869985</v>
      </c>
      <c r="D572" s="10">
        <v>0.60507723363173593</v>
      </c>
      <c r="E572" s="11">
        <v>2.6100000000000002E-2</v>
      </c>
      <c r="F572" s="11">
        <v>0</v>
      </c>
      <c r="G572" s="12">
        <v>-0.20594172371423555</v>
      </c>
      <c r="H572" s="12">
        <v>-0.27187554853431628</v>
      </c>
      <c r="I572" s="12">
        <v>0.24594084605932948</v>
      </c>
      <c r="J572" s="12">
        <v>-5.3750789889415486E-3</v>
      </c>
      <c r="K572" s="12">
        <v>-7.0959518167456551E-3</v>
      </c>
      <c r="L572" s="12">
        <v>6.4190560821485E-3</v>
      </c>
      <c r="M572" s="12">
        <v>0</v>
      </c>
      <c r="N572" s="12">
        <v>0</v>
      </c>
      <c r="O572" s="12">
        <v>0</v>
      </c>
      <c r="P572">
        <f t="shared" si="24"/>
        <v>-0.12461064847436092</v>
      </c>
      <c r="Q572">
        <f t="shared" si="25"/>
        <v>-0.16450570479925486</v>
      </c>
      <c r="R572">
        <f t="shared" si="26"/>
        <v>0.1488132067706277</v>
      </c>
    </row>
    <row r="573" spans="1:18" ht="13">
      <c r="A573" s="22" t="s">
        <v>132</v>
      </c>
      <c r="B573" s="9">
        <v>2018</v>
      </c>
      <c r="C573" s="4">
        <v>-0.37354883868675731</v>
      </c>
      <c r="D573" s="10">
        <v>0.45512400561534866</v>
      </c>
      <c r="E573" s="11">
        <v>2.3699999999999999E-2</v>
      </c>
      <c r="F573" s="11">
        <v>0</v>
      </c>
      <c r="G573" s="12">
        <v>0.16729059429106224</v>
      </c>
      <c r="H573" s="12">
        <v>0.599438465138044</v>
      </c>
      <c r="I573" s="12">
        <v>-0.79794103883949474</v>
      </c>
      <c r="J573" s="12">
        <v>3.9647870846981747E-3</v>
      </c>
      <c r="K573" s="12">
        <v>1.4206691623771642E-2</v>
      </c>
      <c r="L573" s="12">
        <v>-1.8911202620496025E-2</v>
      </c>
      <c r="M573" s="12">
        <v>0</v>
      </c>
      <c r="N573" s="12">
        <v>0</v>
      </c>
      <c r="O573" s="12">
        <v>0</v>
      </c>
      <c r="P573">
        <f t="shared" si="24"/>
        <v>7.6137965375520422E-2</v>
      </c>
      <c r="Q573">
        <f t="shared" si="25"/>
        <v>0.27281883537354312</v>
      </c>
      <c r="R573">
        <f t="shared" si="26"/>
        <v>-0.36316212184150337</v>
      </c>
    </row>
    <row r="574" spans="1:18" ht="13">
      <c r="A574" s="22" t="s">
        <v>132</v>
      </c>
      <c r="B574" s="9">
        <v>2019</v>
      </c>
      <c r="C574" s="4">
        <v>-1.9491532542349559</v>
      </c>
      <c r="D574" s="10">
        <v>0.46927970287249593</v>
      </c>
      <c r="E574" s="11">
        <v>2.3800000000000002E-2</v>
      </c>
      <c r="F574" s="11">
        <v>0</v>
      </c>
      <c r="G574" s="12">
        <v>9.4827926824449791E-4</v>
      </c>
      <c r="H574" s="12">
        <v>-0.1011102769765696</v>
      </c>
      <c r="I574" s="12">
        <v>1.9676794816073335E-2</v>
      </c>
      <c r="J574" s="12">
        <v>2.256904658421905E-5</v>
      </c>
      <c r="K574" s="12">
        <v>-2.4064245920423569E-3</v>
      </c>
      <c r="L574" s="12">
        <v>4.6830771662254538E-4</v>
      </c>
      <c r="M574" s="12">
        <v>0</v>
      </c>
      <c r="N574" s="12">
        <v>0</v>
      </c>
      <c r="O574" s="12">
        <v>0</v>
      </c>
      <c r="P574">
        <f t="shared" si="24"/>
        <v>4.4500821324192585E-4</v>
      </c>
      <c r="Q574">
        <f t="shared" si="25"/>
        <v>-4.7449000736920349E-2</v>
      </c>
      <c r="R574">
        <f t="shared" si="26"/>
        <v>9.2339204247699636E-3</v>
      </c>
    </row>
    <row r="575" spans="1:18" ht="13">
      <c r="A575" s="22" t="s">
        <v>132</v>
      </c>
      <c r="B575" s="9">
        <v>2020</v>
      </c>
      <c r="C575" s="4">
        <v>-3.4916623232192157</v>
      </c>
      <c r="D575" s="10">
        <v>0.2359913273909901</v>
      </c>
      <c r="E575" s="11">
        <v>2.1899999999999999E-2</v>
      </c>
      <c r="F575" s="11">
        <v>0</v>
      </c>
      <c r="G575" s="12">
        <v>0.40404721753794265</v>
      </c>
      <c r="H575" s="12">
        <v>-8.1185256564683214E-2</v>
      </c>
      <c r="I575" s="12">
        <v>-0.28701517706576729</v>
      </c>
      <c r="J575" s="12">
        <v>8.848634064080943E-3</v>
      </c>
      <c r="K575" s="12">
        <v>-1.7779571187665623E-3</v>
      </c>
      <c r="L575" s="12">
        <v>-6.2856323777403036E-3</v>
      </c>
      <c r="M575" s="12">
        <v>0</v>
      </c>
      <c r="N575" s="12">
        <v>0</v>
      </c>
      <c r="O575" s="12">
        <v>0</v>
      </c>
      <c r="P575">
        <f t="shared" si="24"/>
        <v>9.5351639195415228E-2</v>
      </c>
      <c r="Q575">
        <f t="shared" si="25"/>
        <v>-1.9159016461277684E-2</v>
      </c>
      <c r="R575">
        <f t="shared" si="26"/>
        <v>-6.7733092617110482E-2</v>
      </c>
    </row>
    <row r="576" spans="1:18" ht="13">
      <c r="A576" s="22" t="s">
        <v>132</v>
      </c>
      <c r="B576" s="9">
        <v>2021</v>
      </c>
      <c r="C576" s="4">
        <v>-3.2498270730865984</v>
      </c>
      <c r="D576" s="10">
        <v>0.29773011617515643</v>
      </c>
      <c r="E576" s="11">
        <v>2.0199999999999999E-2</v>
      </c>
      <c r="F576" s="11">
        <v>0.26840000000000003</v>
      </c>
      <c r="G576" s="12">
        <v>7.649687220732798E-3</v>
      </c>
      <c r="H576" s="12">
        <v>-6.2377122430741734E-2</v>
      </c>
      <c r="I576" s="12">
        <v>9.9803395889186783E-2</v>
      </c>
      <c r="J576" s="12">
        <v>1.5452368185880252E-4</v>
      </c>
      <c r="K576" s="12">
        <v>-1.260017873100983E-3</v>
      </c>
      <c r="L576" s="12">
        <v>2.0160285969615731E-3</v>
      </c>
      <c r="M576" s="12">
        <v>2.0531760500446831E-3</v>
      </c>
      <c r="N576" s="12">
        <v>-1.6742019660411084E-2</v>
      </c>
      <c r="O576" s="12">
        <v>2.6787231456657734E-2</v>
      </c>
      <c r="P576">
        <f t="shared" si="24"/>
        <v>2.2775422649323855E-3</v>
      </c>
      <c r="Q576">
        <f t="shared" si="25"/>
        <v>-1.8571547907976691E-2</v>
      </c>
      <c r="R576">
        <f t="shared" si="26"/>
        <v>2.9714476652762712E-2</v>
      </c>
    </row>
    <row r="577" spans="1:18" ht="13">
      <c r="A577" s="21" t="s">
        <v>133</v>
      </c>
      <c r="B577" s="9">
        <v>2017</v>
      </c>
      <c r="C577" s="4">
        <v>-3.0023274679709693</v>
      </c>
      <c r="D577" s="10">
        <v>0.33852796522932627</v>
      </c>
      <c r="E577" s="11">
        <v>6.9000000000000006E-2</v>
      </c>
      <c r="F577" s="11">
        <v>1.6000000000000001E-3</v>
      </c>
      <c r="G577" s="12">
        <v>0.1774562507148576</v>
      </c>
      <c r="H577" s="12">
        <v>-0.18677799382363031</v>
      </c>
      <c r="I577" s="12">
        <v>2.0016012810248197E-3</v>
      </c>
      <c r="J577" s="12">
        <v>1.2244481299325176E-2</v>
      </c>
      <c r="K577" s="12">
        <v>-1.2887681573830492E-2</v>
      </c>
      <c r="L577" s="12">
        <v>1.3811048839071257E-4</v>
      </c>
      <c r="M577" s="12">
        <v>2.839300011437722E-4</v>
      </c>
      <c r="N577" s="12">
        <v>-2.9884479011780852E-4</v>
      </c>
      <c r="O577" s="12">
        <v>3.2025620496397118E-6</v>
      </c>
      <c r="P577">
        <f t="shared" si="24"/>
        <v>6.007390347172592E-2</v>
      </c>
      <c r="Q577">
        <f t="shared" si="25"/>
        <v>-6.3229574198729238E-2</v>
      </c>
      <c r="R577">
        <f t="shared" si="26"/>
        <v>6.7759800886574512E-4</v>
      </c>
    </row>
    <row r="578" spans="1:18" ht="13">
      <c r="A578" s="22" t="s">
        <v>133</v>
      </c>
      <c r="B578" s="9">
        <v>2018</v>
      </c>
      <c r="C578" s="4">
        <v>-3.6872120337873611</v>
      </c>
      <c r="D578" s="10">
        <v>0.23631993903690024</v>
      </c>
      <c r="E578" s="11">
        <v>6.3E-2</v>
      </c>
      <c r="F578" s="11">
        <v>1.6000000000000001E-3</v>
      </c>
      <c r="G578" s="12">
        <v>0.31313930654474048</v>
      </c>
      <c r="H578" s="12">
        <v>-0.18702189395937749</v>
      </c>
      <c r="I578" s="12">
        <v>-7.5793546117998767E-2</v>
      </c>
      <c r="J578" s="12">
        <v>1.9727776312318649E-2</v>
      </c>
      <c r="K578" s="12">
        <v>-1.1782379319440782E-2</v>
      </c>
      <c r="L578" s="12">
        <v>-4.7749934054339225E-3</v>
      </c>
      <c r="M578" s="12">
        <v>5.0102289047158476E-4</v>
      </c>
      <c r="N578" s="12">
        <v>-2.99235030335004E-4</v>
      </c>
      <c r="O578" s="12">
        <v>-1.2126967378879804E-4</v>
      </c>
      <c r="P578">
        <f t="shared" si="24"/>
        <v>7.4001061832710283E-2</v>
      </c>
      <c r="Q578">
        <f t="shared" si="25"/>
        <v>-4.4197002579045706E-2</v>
      </c>
      <c r="R578">
        <f t="shared" si="26"/>
        <v>-1.7911526197995957E-2</v>
      </c>
    </row>
    <row r="579" spans="1:18" ht="13">
      <c r="A579" s="22" t="s">
        <v>133</v>
      </c>
      <c r="B579" s="9">
        <v>2019</v>
      </c>
      <c r="C579" s="4">
        <v>-4.1486274214147585</v>
      </c>
      <c r="D579" s="10">
        <v>0.14941176470588236</v>
      </c>
      <c r="E579" s="11">
        <v>5.6000000000000001E-2</v>
      </c>
      <c r="F579" s="11">
        <v>4.0000000000000001E-3</v>
      </c>
      <c r="G579" s="12">
        <v>0.19581977471839801</v>
      </c>
      <c r="H579" s="12">
        <v>-0.24037546933667084</v>
      </c>
      <c r="I579" s="12">
        <v>5.1764705882352942E-2</v>
      </c>
      <c r="J579" s="12">
        <v>1.0965907384230289E-2</v>
      </c>
      <c r="K579" s="12">
        <v>-1.3461026282853568E-2</v>
      </c>
      <c r="L579" s="12">
        <v>2.8988235294117649E-3</v>
      </c>
      <c r="M579" s="12">
        <v>7.8327909887359205E-4</v>
      </c>
      <c r="N579" s="12">
        <v>-9.6150187734668339E-4</v>
      </c>
      <c r="O579" s="12">
        <v>2.0705882352941177E-4</v>
      </c>
      <c r="P579">
        <f t="shared" ref="P579:P642" si="27">G579*D579</f>
        <v>2.9257778104984172E-2</v>
      </c>
      <c r="Q579">
        <f t="shared" ref="Q579:Q642" si="28">H579*D579</f>
        <v>-3.5914923065596703E-2</v>
      </c>
      <c r="R579">
        <f t="shared" ref="R579:R642" si="29">I579*D579</f>
        <v>7.7342560553633217E-3</v>
      </c>
    </row>
    <row r="580" spans="1:18" ht="13">
      <c r="A580" s="22" t="s">
        <v>133</v>
      </c>
      <c r="B580" s="9">
        <v>2020</v>
      </c>
      <c r="C580" s="4">
        <v>-4.0753862437170865</v>
      </c>
      <c r="D580" s="10">
        <v>0.16104063165365506</v>
      </c>
      <c r="E580" s="11">
        <v>3.5999999999999997E-2</v>
      </c>
      <c r="F580" s="11">
        <v>1.2E-2</v>
      </c>
      <c r="G580" s="12">
        <v>0.23964247693399574</v>
      </c>
      <c r="H580" s="12">
        <v>-0.1342929382540809</v>
      </c>
      <c r="I580" s="12">
        <v>-5.7110539389638039E-2</v>
      </c>
      <c r="J580" s="12">
        <v>8.6271291696238452E-3</v>
      </c>
      <c r="K580" s="12">
        <v>-4.8345457771469119E-3</v>
      </c>
      <c r="L580" s="12">
        <v>-2.0559794180269693E-3</v>
      </c>
      <c r="M580" s="12">
        <v>2.875709723207949E-3</v>
      </c>
      <c r="N580" s="12">
        <v>-1.6115152590489709E-3</v>
      </c>
      <c r="O580" s="12">
        <v>-6.8532647267565653E-4</v>
      </c>
      <c r="P580">
        <f t="shared" si="27"/>
        <v>3.8592175856497136E-2</v>
      </c>
      <c r="Q580">
        <f t="shared" si="28"/>
        <v>-2.1626619603062485E-2</v>
      </c>
      <c r="R580">
        <f t="shared" si="29"/>
        <v>-9.1971173373882574E-3</v>
      </c>
    </row>
    <row r="581" spans="1:18" ht="13">
      <c r="A581" s="22" t="s">
        <v>133</v>
      </c>
      <c r="B581" s="9">
        <v>2021</v>
      </c>
      <c r="C581" s="4">
        <v>-3.8403905246658865</v>
      </c>
      <c r="D581" s="10">
        <v>0.20125716806352006</v>
      </c>
      <c r="E581" s="11">
        <v>9.6000000000000002E-2</v>
      </c>
      <c r="F581" s="11">
        <v>1.0999999999999999E-2</v>
      </c>
      <c r="G581" s="12">
        <v>0.30317232759888246</v>
      </c>
      <c r="H581" s="12">
        <v>-0.27960961623290692</v>
      </c>
      <c r="I581" s="12">
        <v>-4.6426996029995588E-2</v>
      </c>
      <c r="J581" s="12">
        <v>2.9104543449492717E-2</v>
      </c>
      <c r="K581" s="12">
        <v>-2.6842523158359066E-2</v>
      </c>
      <c r="L581" s="12">
        <v>-4.4569916188795765E-3</v>
      </c>
      <c r="M581" s="12">
        <v>3.3348956035877068E-3</v>
      </c>
      <c r="N581" s="12">
        <v>-3.0757057785619759E-3</v>
      </c>
      <c r="O581" s="12">
        <v>-5.1069695632995147E-4</v>
      </c>
      <c r="P581">
        <f t="shared" si="27"/>
        <v>6.1015604087776849E-2</v>
      </c>
      <c r="Q581">
        <f t="shared" si="28"/>
        <v>-5.6273439526362497E-2</v>
      </c>
      <c r="R581">
        <f t="shared" si="29"/>
        <v>-9.3437657426932007E-3</v>
      </c>
    </row>
    <row r="582" spans="1:18" ht="13">
      <c r="A582" s="21" t="s">
        <v>134</v>
      </c>
      <c r="B582" s="9">
        <v>2017</v>
      </c>
      <c r="C582" s="4">
        <v>-0.5157966229052352</v>
      </c>
      <c r="D582" s="10">
        <v>0.68358162893134689</v>
      </c>
      <c r="E582" s="11">
        <v>0.2555</v>
      </c>
      <c r="F582" s="11">
        <v>1.6E-2</v>
      </c>
      <c r="G582" s="12">
        <v>0.11462278708301771</v>
      </c>
      <c r="H582" s="12">
        <v>-9.8897399208820805E-2</v>
      </c>
      <c r="I582" s="12">
        <v>7.8904693768762454E-2</v>
      </c>
      <c r="J582" s="12">
        <v>2.9286122099711025E-2</v>
      </c>
      <c r="K582" s="12">
        <v>-2.5268285497853715E-2</v>
      </c>
      <c r="L582" s="12">
        <v>2.0160149257918807E-2</v>
      </c>
      <c r="M582" s="12">
        <v>1.8339645933282834E-3</v>
      </c>
      <c r="N582" s="12">
        <v>-1.582358387341133E-3</v>
      </c>
      <c r="O582" s="12">
        <v>1.2624751003001992E-3</v>
      </c>
      <c r="P582">
        <f t="shared" si="27"/>
        <v>7.8354031506860197E-2</v>
      </c>
      <c r="Q582">
        <f t="shared" si="28"/>
        <v>-6.7604445248239428E-2</v>
      </c>
      <c r="R582">
        <f t="shared" si="29"/>
        <v>5.3937799096779732E-2</v>
      </c>
    </row>
    <row r="583" spans="1:18" ht="13">
      <c r="A583" s="22" t="s">
        <v>134</v>
      </c>
      <c r="B583" s="9">
        <v>2018</v>
      </c>
      <c r="C583" s="4">
        <v>-0.78353907962420222</v>
      </c>
      <c r="D583" s="10">
        <v>0.65185679057880042</v>
      </c>
      <c r="E583" s="11">
        <v>0.26650000000000001</v>
      </c>
      <c r="F583" s="11">
        <v>1.2370000000000001E-2</v>
      </c>
      <c r="G583" s="12">
        <v>-0.12200415641158405</v>
      </c>
      <c r="H583" s="12">
        <v>-5.9643796945817708E-2</v>
      </c>
      <c r="I583" s="12">
        <v>9.8633207316986687E-2</v>
      </c>
      <c r="J583" s="12">
        <v>-3.2514107683687149E-2</v>
      </c>
      <c r="K583" s="12">
        <v>-1.589507188606042E-2</v>
      </c>
      <c r="L583" s="12">
        <v>2.6285749749976953E-2</v>
      </c>
      <c r="M583" s="12">
        <v>-1.5091914148112947E-3</v>
      </c>
      <c r="N583" s="12">
        <v>-7.3779376821976508E-4</v>
      </c>
      <c r="O583" s="12">
        <v>1.2200927745111255E-3</v>
      </c>
      <c r="P583">
        <f t="shared" si="27"/>
        <v>-7.9529237835729155E-2</v>
      </c>
      <c r="Q583">
        <f t="shared" si="28"/>
        <v>-3.8879214055034389E-2</v>
      </c>
      <c r="R583">
        <f t="shared" si="29"/>
        <v>6.4294725966144398E-2</v>
      </c>
    </row>
    <row r="584" spans="1:18" ht="13">
      <c r="A584" s="22" t="s">
        <v>134</v>
      </c>
      <c r="B584" s="9">
        <v>2019</v>
      </c>
      <c r="C584" s="4">
        <v>-0.70669238214554253</v>
      </c>
      <c r="D584" s="10">
        <v>0.66360440203190274</v>
      </c>
      <c r="E584" s="11">
        <v>0.3125</v>
      </c>
      <c r="F584" s="11">
        <v>1.2699999999999999E-2</v>
      </c>
      <c r="G584" s="12">
        <v>-9.6720939744380386E-3</v>
      </c>
      <c r="H584" s="12">
        <v>-2.4987655576818341E-2</v>
      </c>
      <c r="I584" s="12">
        <v>2.5536532075367741E-3</v>
      </c>
      <c r="J584" s="12">
        <v>-3.022529367011887E-3</v>
      </c>
      <c r="K584" s="12">
        <v>-7.8086423677557314E-3</v>
      </c>
      <c r="L584" s="12">
        <v>7.9801662735524189E-4</v>
      </c>
      <c r="M584" s="12">
        <v>-1.2283559347536308E-4</v>
      </c>
      <c r="N584" s="12">
        <v>-3.1734322582559291E-4</v>
      </c>
      <c r="O584" s="12">
        <v>3.2431395735717032E-5</v>
      </c>
      <c r="P584">
        <f t="shared" si="27"/>
        <v>-6.4184441383033242E-3</v>
      </c>
      <c r="Q584">
        <f t="shared" si="28"/>
        <v>-1.6581918237233675E-2</v>
      </c>
      <c r="R584">
        <f t="shared" si="29"/>
        <v>1.6946155097842914E-3</v>
      </c>
    </row>
    <row r="585" spans="1:18" ht="13">
      <c r="A585" s="22" t="s">
        <v>134</v>
      </c>
      <c r="B585" s="9">
        <v>2020</v>
      </c>
      <c r="C585" s="4">
        <v>-0.54952347105412969</v>
      </c>
      <c r="D585" s="10">
        <v>0.69891838388647998</v>
      </c>
      <c r="E585" s="11">
        <v>3.2099999999999997E-2</v>
      </c>
      <c r="F585" s="11">
        <v>1.2500000000000001E-2</v>
      </c>
      <c r="G585" s="12">
        <v>7.9060870869744587E-2</v>
      </c>
      <c r="H585" s="12">
        <v>-8.1565563091011969E-2</v>
      </c>
      <c r="I585" s="12">
        <v>3.1980484273109296E-2</v>
      </c>
      <c r="J585" s="12">
        <v>2.5378539549188008E-3</v>
      </c>
      <c r="K585" s="12">
        <v>-2.6182545752214841E-3</v>
      </c>
      <c r="L585" s="12">
        <v>1.0265735451668082E-3</v>
      </c>
      <c r="M585" s="12">
        <v>9.8826088587180747E-4</v>
      </c>
      <c r="N585" s="12">
        <v>-1.0195695386376496E-3</v>
      </c>
      <c r="O585" s="12">
        <v>3.9975605341386624E-4</v>
      </c>
      <c r="P585">
        <f t="shared" si="27"/>
        <v>5.5257096096939566E-2</v>
      </c>
      <c r="Q585">
        <f t="shared" si="28"/>
        <v>-5.7007671536360806E-2</v>
      </c>
      <c r="R585">
        <f t="shared" si="29"/>
        <v>2.2351748384068539E-2</v>
      </c>
    </row>
    <row r="586" spans="1:18" ht="13">
      <c r="A586" s="22" t="s">
        <v>134</v>
      </c>
      <c r="B586" s="9">
        <v>2021</v>
      </c>
      <c r="C586" s="4">
        <v>-1.0914898232168913</v>
      </c>
      <c r="D586" s="10">
        <v>0.58849209152162196</v>
      </c>
      <c r="E586" s="11">
        <v>2.4400000000000002E-2</v>
      </c>
      <c r="F586" s="11">
        <v>1.09E-2</v>
      </c>
      <c r="G586" s="12">
        <v>5.5007037606834668E-2</v>
      </c>
      <c r="H586" s="12">
        <v>-3.897128621955611E-2</v>
      </c>
      <c r="I586" s="12">
        <v>-1.3630733237660932E-2</v>
      </c>
      <c r="J586" s="12">
        <v>1.342171717606766E-3</v>
      </c>
      <c r="K586" s="12">
        <v>-9.5089938375716911E-4</v>
      </c>
      <c r="L586" s="12">
        <v>-3.3258989099892676E-4</v>
      </c>
      <c r="M586" s="12">
        <v>5.9957670991449784E-4</v>
      </c>
      <c r="N586" s="12">
        <v>-4.2478701979316161E-4</v>
      </c>
      <c r="O586" s="12">
        <v>-1.4857499229050416E-4</v>
      </c>
      <c r="P586">
        <f t="shared" si="27"/>
        <v>3.2371206609654646E-2</v>
      </c>
      <c r="Q586">
        <f t="shared" si="28"/>
        <v>-2.2934293736634338E-2</v>
      </c>
      <c r="R586">
        <f t="shared" si="29"/>
        <v>-8.0215787120043718E-3</v>
      </c>
    </row>
    <row r="587" spans="1:18" ht="13">
      <c r="A587" s="21" t="s">
        <v>135</v>
      </c>
      <c r="B587" s="9">
        <v>2017</v>
      </c>
      <c r="C587" s="4">
        <v>-2.0928527092934992</v>
      </c>
      <c r="D587" s="10">
        <v>0.45028418442362134</v>
      </c>
      <c r="E587" s="11">
        <v>6.9400000000000003E-2</v>
      </c>
      <c r="F587" s="11">
        <v>6.0000000000000002E-5</v>
      </c>
      <c r="G587" s="12">
        <v>2.2915798020584171E-2</v>
      </c>
      <c r="H587" s="12">
        <v>-0.17354177181856087</v>
      </c>
      <c r="I587" s="12">
        <v>0.14023239482981853</v>
      </c>
      <c r="J587" s="12">
        <v>1.5903563826285415E-3</v>
      </c>
      <c r="K587" s="12">
        <v>-1.2043798964208124E-2</v>
      </c>
      <c r="L587" s="12">
        <v>9.7321282011894068E-3</v>
      </c>
      <c r="M587" s="12">
        <v>1.3749478812350503E-6</v>
      </c>
      <c r="N587" s="12">
        <v>-1.0412506309113653E-5</v>
      </c>
      <c r="O587" s="12">
        <v>8.4139436897891124E-6</v>
      </c>
      <c r="P587">
        <f t="shared" si="27"/>
        <v>1.031862142211518E-2</v>
      </c>
      <c r="Q587">
        <f t="shared" si="28"/>
        <v>-7.8143115186750878E-2</v>
      </c>
      <c r="R587">
        <f t="shared" si="29"/>
        <v>6.3144429535716085E-2</v>
      </c>
    </row>
    <row r="588" spans="1:18" ht="13">
      <c r="A588" s="22" t="s">
        <v>135</v>
      </c>
      <c r="B588" s="9">
        <v>2018</v>
      </c>
      <c r="C588" s="4">
        <v>-2.1764216517145867</v>
      </c>
      <c r="D588" s="10">
        <v>0.47213556481574664</v>
      </c>
      <c r="E588" s="11">
        <v>4.0599999999999997E-2</v>
      </c>
      <c r="F588" s="11">
        <v>1.9499999999999999E-3</v>
      </c>
      <c r="G588" s="12">
        <v>6.4034289634039898E-2</v>
      </c>
      <c r="H588" s="12">
        <v>2.5877419076586892E-2</v>
      </c>
      <c r="I588" s="12">
        <v>1.503354822544572E-2</v>
      </c>
      <c r="J588" s="12">
        <v>2.5997921591420195E-3</v>
      </c>
      <c r="K588" s="12">
        <v>1.0506232145094277E-3</v>
      </c>
      <c r="L588" s="12">
        <v>6.1036205795309624E-4</v>
      </c>
      <c r="M588" s="12">
        <v>1.248668647863778E-4</v>
      </c>
      <c r="N588" s="12">
        <v>5.0460967199344434E-5</v>
      </c>
      <c r="O588" s="12">
        <v>2.9315419039619152E-5</v>
      </c>
      <c r="P588">
        <f t="shared" si="27"/>
        <v>3.0232865503942538E-2</v>
      </c>
      <c r="Q588">
        <f t="shared" si="28"/>
        <v>1.2217649871698129E-2</v>
      </c>
      <c r="R588">
        <f t="shared" si="29"/>
        <v>7.0978727826055809E-3</v>
      </c>
    </row>
    <row r="589" spans="1:18" ht="13">
      <c r="A589" s="22" t="s">
        <v>135</v>
      </c>
      <c r="B589" s="9">
        <v>2019</v>
      </c>
      <c r="C589" s="4">
        <v>-2.1140785273790912</v>
      </c>
      <c r="D589" s="10">
        <v>0.46601259470393208</v>
      </c>
      <c r="E589" s="11">
        <v>3.8999999999999998E-3</v>
      </c>
      <c r="F589" s="11">
        <v>3.8E-3</v>
      </c>
      <c r="G589" s="12">
        <v>-0.30256698737622872</v>
      </c>
      <c r="H589" s="12">
        <v>0.19291475235488134</v>
      </c>
      <c r="I589" s="12">
        <v>1.6246928694415141E-2</v>
      </c>
      <c r="J589" s="12">
        <v>-1.180011250767292E-3</v>
      </c>
      <c r="K589" s="12">
        <v>7.5236753418403716E-4</v>
      </c>
      <c r="L589" s="12">
        <v>6.336302190821905E-5</v>
      </c>
      <c r="M589" s="12">
        <v>-1.1497545520296692E-3</v>
      </c>
      <c r="N589" s="12">
        <v>7.330760589485491E-4</v>
      </c>
      <c r="O589" s="12">
        <v>6.1738329038777532E-5</v>
      </c>
      <c r="P589">
        <f t="shared" si="27"/>
        <v>-0.14100002685894822</v>
      </c>
      <c r="Q589">
        <f t="shared" si="28"/>
        <v>8.9900704301564743E-2</v>
      </c>
      <c r="R589">
        <f t="shared" si="29"/>
        <v>7.5712733968541675E-3</v>
      </c>
    </row>
    <row r="590" spans="1:18" ht="13">
      <c r="A590" s="22" t="s">
        <v>135</v>
      </c>
      <c r="B590" s="9">
        <v>2020</v>
      </c>
      <c r="C590" s="4">
        <v>-1.8160662203076958</v>
      </c>
      <c r="D590" s="10">
        <v>0.43879819946851784</v>
      </c>
      <c r="E590" s="11">
        <v>0</v>
      </c>
      <c r="F590" s="11">
        <v>4.1999999999999997E-3</v>
      </c>
      <c r="G590" s="12">
        <v>-1.7444908436827739E-2</v>
      </c>
      <c r="H590" s="12">
        <v>-4.87969340347452E-2</v>
      </c>
      <c r="I590" s="12">
        <v>6.0870979988068771E-2</v>
      </c>
      <c r="J590" s="12">
        <v>0</v>
      </c>
      <c r="K590" s="12">
        <v>0</v>
      </c>
      <c r="L590" s="12">
        <v>0</v>
      </c>
      <c r="M590" s="12">
        <v>-7.3268615434676505E-5</v>
      </c>
      <c r="N590" s="12">
        <v>-2.0494712294592983E-4</v>
      </c>
      <c r="O590" s="12">
        <v>2.5565811594988882E-4</v>
      </c>
      <c r="P590">
        <f t="shared" si="27"/>
        <v>-7.6547944119731677E-3</v>
      </c>
      <c r="Q590">
        <f t="shared" si="28"/>
        <v>-2.1412006794030231E-2</v>
      </c>
      <c r="R590">
        <f t="shared" si="29"/>
        <v>2.6710076418648757E-2</v>
      </c>
    </row>
    <row r="591" spans="1:18" ht="13">
      <c r="A591" s="22" t="s">
        <v>135</v>
      </c>
      <c r="B591" s="9">
        <v>2021</v>
      </c>
      <c r="C591" s="4">
        <v>-1.4029975660071483</v>
      </c>
      <c r="D591" s="10">
        <v>0.52581686782915538</v>
      </c>
      <c r="E591" s="11">
        <v>1.8E-3</v>
      </c>
      <c r="F591" s="11">
        <v>2.5000000000000001E-3</v>
      </c>
      <c r="G591" s="12">
        <v>-0.13979538288601054</v>
      </c>
      <c r="H591" s="12">
        <v>4.9736371649464192E-2</v>
      </c>
      <c r="I591" s="12">
        <v>9.9503440251305725E-2</v>
      </c>
      <c r="J591" s="12">
        <v>-2.5163168919481899E-4</v>
      </c>
      <c r="K591" s="12">
        <v>8.9525468969035542E-5</v>
      </c>
      <c r="L591" s="12">
        <v>1.7910619245235031E-4</v>
      </c>
      <c r="M591" s="12">
        <v>-3.4948845721502638E-4</v>
      </c>
      <c r="N591" s="12">
        <v>1.2434092912366049E-4</v>
      </c>
      <c r="O591" s="12">
        <v>2.4875860062826432E-4</v>
      </c>
      <c r="P591">
        <f t="shared" si="27"/>
        <v>-7.3506770366099566E-2</v>
      </c>
      <c r="Q591">
        <f t="shared" si="28"/>
        <v>2.6152223157908064E-2</v>
      </c>
      <c r="R591">
        <f t="shared" si="29"/>
        <v>5.2320587291167078E-2</v>
      </c>
    </row>
    <row r="592" spans="1:18" ht="13">
      <c r="A592" s="21" t="s">
        <v>136</v>
      </c>
      <c r="B592" s="9">
        <v>2017</v>
      </c>
      <c r="C592" s="4">
        <v>-0.74485683522805379</v>
      </c>
      <c r="D592" s="10">
        <v>0.64103501969923393</v>
      </c>
      <c r="E592" s="11">
        <v>1.0000000000000001E-5</v>
      </c>
      <c r="F592" s="11">
        <v>7.7000000000000001E-5</v>
      </c>
      <c r="G592" s="12">
        <v>0.21367137288507562</v>
      </c>
      <c r="H592" s="12">
        <v>-0.19764027213159299</v>
      </c>
      <c r="I592" s="12">
        <v>3.9084952293367052E-2</v>
      </c>
      <c r="J592" s="12">
        <v>2.1367137288507566E-6</v>
      </c>
      <c r="K592" s="12">
        <v>-1.97640272131593E-6</v>
      </c>
      <c r="L592" s="12">
        <v>3.9084952293367054E-7</v>
      </c>
      <c r="M592" s="12">
        <v>1.6452695712150823E-5</v>
      </c>
      <c r="N592" s="12">
        <v>-1.521830095413266E-5</v>
      </c>
      <c r="O592" s="12">
        <v>3.009541326589263E-6</v>
      </c>
      <c r="P592">
        <f t="shared" si="27"/>
        <v>0.13697083272654681</v>
      </c>
      <c r="Q592">
        <f t="shared" si="28"/>
        <v>-0.12669433573923766</v>
      </c>
      <c r="R592">
        <f t="shared" si="29"/>
        <v>2.5054823163322165E-2</v>
      </c>
    </row>
    <row r="593" spans="1:18" ht="13">
      <c r="A593" s="22" t="s">
        <v>136</v>
      </c>
      <c r="B593" s="9">
        <v>2018</v>
      </c>
      <c r="C593" s="4">
        <v>-0.44320660528636924</v>
      </c>
      <c r="D593" s="10">
        <v>0.6780606514414077</v>
      </c>
      <c r="E593" s="11">
        <v>1.0000000000000001E-5</v>
      </c>
      <c r="F593" s="11">
        <v>7.7000000000000001E-5</v>
      </c>
      <c r="G593" s="12">
        <v>-0.17290340696368398</v>
      </c>
      <c r="H593" s="12">
        <v>-4.0340696368401339E-3</v>
      </c>
      <c r="I593" s="12">
        <v>0.12958629726694121</v>
      </c>
      <c r="J593" s="12">
        <v>-1.7290340696368399E-6</v>
      </c>
      <c r="K593" s="12">
        <v>-4.0340696368401343E-8</v>
      </c>
      <c r="L593" s="12">
        <v>1.2958629726694121E-6</v>
      </c>
      <c r="M593" s="12">
        <v>-1.3313562336203667E-5</v>
      </c>
      <c r="N593" s="12">
        <v>-3.1062336203669032E-7</v>
      </c>
      <c r="O593" s="12">
        <v>9.9781448895544728E-6</v>
      </c>
      <c r="P593">
        <f t="shared" si="27"/>
        <v>-0.11723899676223438</v>
      </c>
      <c r="Q593">
        <f t="shared" si="28"/>
        <v>-2.7353438859158241E-3</v>
      </c>
      <c r="R593">
        <f t="shared" si="29"/>
        <v>8.7867369142702073E-2</v>
      </c>
    </row>
    <row r="594" spans="1:18" ht="13">
      <c r="A594" s="22" t="s">
        <v>136</v>
      </c>
      <c r="B594" s="9">
        <v>2019</v>
      </c>
      <c r="C594" s="4">
        <v>-0.42190877218802747</v>
      </c>
      <c r="D594" s="10">
        <v>0.68122530010946802</v>
      </c>
      <c r="E594" s="11">
        <v>1.0000000000000001E-5</v>
      </c>
      <c r="F594" s="11">
        <v>7.7000000000000001E-5</v>
      </c>
      <c r="G594" s="12">
        <v>-1.8628124014323615E-2</v>
      </c>
      <c r="H594" s="12">
        <v>1.9750635471362042E-2</v>
      </c>
      <c r="I594" s="12">
        <v>9.6109245412546139E-3</v>
      </c>
      <c r="J594" s="12">
        <v>-1.8628124014323615E-7</v>
      </c>
      <c r="K594" s="12">
        <v>1.9750635471362045E-7</v>
      </c>
      <c r="L594" s="12">
        <v>9.6109245412546145E-8</v>
      </c>
      <c r="M594" s="12">
        <v>-1.4343655491029184E-6</v>
      </c>
      <c r="N594" s="12">
        <v>1.5207989312948773E-6</v>
      </c>
      <c r="O594" s="12">
        <v>7.4004118967660529E-7</v>
      </c>
      <c r="P594">
        <f t="shared" si="27"/>
        <v>-1.2689949372133993E-2</v>
      </c>
      <c r="Q594">
        <f t="shared" si="28"/>
        <v>1.3454632576331312E-2</v>
      </c>
      <c r="R594">
        <f t="shared" si="29"/>
        <v>6.5472049549456252E-3</v>
      </c>
    </row>
    <row r="595" spans="1:18" ht="13">
      <c r="A595" s="22" t="s">
        <v>136</v>
      </c>
      <c r="B595" s="9">
        <v>2020</v>
      </c>
      <c r="C595" s="4">
        <v>-0.70077260905041994</v>
      </c>
      <c r="D595" s="10">
        <v>0.63281199991465209</v>
      </c>
      <c r="E595" s="11">
        <v>4.0000000000000003E-5</v>
      </c>
      <c r="F595" s="11">
        <v>0</v>
      </c>
      <c r="G595" s="12">
        <v>-4.8776324492713422E-2</v>
      </c>
      <c r="H595" s="12">
        <v>-5.9700855612691228E-2</v>
      </c>
      <c r="I595" s="12">
        <v>0.10103057588495103</v>
      </c>
      <c r="J595" s="12">
        <v>-1.9510529797085372E-6</v>
      </c>
      <c r="K595" s="12">
        <v>-2.3880342245076492E-6</v>
      </c>
      <c r="L595" s="12">
        <v>4.0412230353980413E-6</v>
      </c>
      <c r="M595" s="12">
        <v>0</v>
      </c>
      <c r="N595" s="12">
        <v>0</v>
      </c>
      <c r="O595" s="12">
        <v>0</v>
      </c>
      <c r="P595">
        <f t="shared" si="27"/>
        <v>-3.0866243450720008E-2</v>
      </c>
      <c r="Q595">
        <f t="shared" si="28"/>
        <v>-3.7779417836883017E-2</v>
      </c>
      <c r="R595">
        <f t="shared" si="29"/>
        <v>6.3933360778284876E-2</v>
      </c>
    </row>
    <row r="596" spans="1:18" ht="13">
      <c r="A596" s="22" t="s">
        <v>136</v>
      </c>
      <c r="B596" s="9">
        <v>2021</v>
      </c>
      <c r="C596" s="4">
        <v>-0.93271890421731651</v>
      </c>
      <c r="D596" s="10">
        <v>0.59404875474455521</v>
      </c>
      <c r="E596" s="11">
        <v>4.0000000000000003E-5</v>
      </c>
      <c r="F596" s="11">
        <v>0</v>
      </c>
      <c r="G596" s="12">
        <v>-2.3261006353136989E-2</v>
      </c>
      <c r="H596" s="12">
        <v>-4.3923924736639128E-2</v>
      </c>
      <c r="I596" s="12">
        <v>6.7854750644447598E-2</v>
      </c>
      <c r="J596" s="12">
        <v>-9.304402541254796E-7</v>
      </c>
      <c r="K596" s="12">
        <v>-1.7569569894655653E-6</v>
      </c>
      <c r="L596" s="12">
        <v>2.714190025777904E-6</v>
      </c>
      <c r="M596" s="12">
        <v>0</v>
      </c>
      <c r="N596" s="12">
        <v>0</v>
      </c>
      <c r="O596" s="12">
        <v>0</v>
      </c>
      <c r="P596">
        <f t="shared" si="27"/>
        <v>-1.3818171858186215E-2</v>
      </c>
      <c r="Q596">
        <f t="shared" si="28"/>
        <v>-2.6092952793294037E-2</v>
      </c>
      <c r="R596">
        <f t="shared" si="29"/>
        <v>4.0309030123836402E-2</v>
      </c>
    </row>
    <row r="597" spans="1:18" ht="13">
      <c r="A597" s="21" t="s">
        <v>137</v>
      </c>
      <c r="B597" s="9">
        <v>2017</v>
      </c>
      <c r="C597" s="4">
        <v>-0.49689589660155586</v>
      </c>
      <c r="D597" s="10">
        <v>0.68635359890461489</v>
      </c>
      <c r="E597" s="11">
        <v>0.4501</v>
      </c>
      <c r="F597" s="11">
        <v>0</v>
      </c>
      <c r="G597" s="12">
        <v>-3.9219131858599439E-2</v>
      </c>
      <c r="H597" s="12">
        <v>-0.10487925777099708</v>
      </c>
      <c r="I597" s="12">
        <v>0.14123803700174911</v>
      </c>
      <c r="J597" s="12">
        <v>-1.7652531249555608E-2</v>
      </c>
      <c r="K597" s="12">
        <v>-4.7206153922725785E-2</v>
      </c>
      <c r="L597" s="12">
        <v>6.3571240454487268E-2</v>
      </c>
      <c r="M597" s="12">
        <v>0</v>
      </c>
      <c r="N597" s="12">
        <v>0</v>
      </c>
      <c r="O597" s="12">
        <v>0</v>
      </c>
      <c r="P597">
        <f t="shared" si="27"/>
        <v>-2.6918192297064363E-2</v>
      </c>
      <c r="Q597">
        <f t="shared" si="28"/>
        <v>-7.1984256021568646E-2</v>
      </c>
      <c r="R597">
        <f t="shared" si="29"/>
        <v>9.6939234998373661E-2</v>
      </c>
    </row>
    <row r="598" spans="1:18" ht="13">
      <c r="A598" s="22" t="s">
        <v>137</v>
      </c>
      <c r="B598" s="9">
        <v>2018</v>
      </c>
      <c r="C598" s="4">
        <v>-0.86296681543914222</v>
      </c>
      <c r="D598" s="10">
        <v>0.62696791944186925</v>
      </c>
      <c r="E598" s="11">
        <v>0.45</v>
      </c>
      <c r="F598" s="11">
        <v>0</v>
      </c>
      <c r="G598" s="12">
        <v>1.6175923987576207E-2</v>
      </c>
      <c r="H598" s="12">
        <v>-2.6589608958118828E-2</v>
      </c>
      <c r="I598" s="12">
        <v>-5.9111280103560093E-2</v>
      </c>
      <c r="J598" s="12">
        <v>7.2791657944092933E-3</v>
      </c>
      <c r="K598" s="12">
        <v>-1.1965324031153473E-2</v>
      </c>
      <c r="L598" s="12">
        <v>-2.6600076046602042E-2</v>
      </c>
      <c r="M598" s="12">
        <v>0</v>
      </c>
      <c r="N598" s="12">
        <v>0</v>
      </c>
      <c r="O598" s="12">
        <v>0</v>
      </c>
      <c r="P598">
        <f t="shared" si="27"/>
        <v>1.0141785407540479E-2</v>
      </c>
      <c r="Q598">
        <f t="shared" si="28"/>
        <v>-1.667083180724465E-2</v>
      </c>
      <c r="R598">
        <f t="shared" si="29"/>
        <v>-3.7060876302074636E-2</v>
      </c>
    </row>
    <row r="599" spans="1:18" ht="13">
      <c r="A599" s="22" t="s">
        <v>137</v>
      </c>
      <c r="B599" s="9">
        <v>2019</v>
      </c>
      <c r="C599" s="4">
        <v>-0.79493721833027398</v>
      </c>
      <c r="D599" s="10">
        <v>0.65345437300514553</v>
      </c>
      <c r="E599" s="11">
        <v>0.45</v>
      </c>
      <c r="F599" s="11">
        <v>0</v>
      </c>
      <c r="G599" s="12">
        <v>1.5046775285029956E-2</v>
      </c>
      <c r="H599" s="12">
        <v>-5.2587782476718928E-2</v>
      </c>
      <c r="I599" s="12">
        <v>3.3073954150096535E-2</v>
      </c>
      <c r="J599" s="12">
        <v>6.7710488782634802E-3</v>
      </c>
      <c r="K599" s="12">
        <v>-2.366450211452352E-2</v>
      </c>
      <c r="L599" s="12">
        <v>1.4883279367543441E-2</v>
      </c>
      <c r="M599" s="12">
        <v>0</v>
      </c>
      <c r="N599" s="12">
        <v>0</v>
      </c>
      <c r="O599" s="12">
        <v>0</v>
      </c>
      <c r="P599">
        <f t="shared" si="27"/>
        <v>9.8323811096285695E-3</v>
      </c>
      <c r="Q599">
        <f t="shared" si="28"/>
        <v>-3.4363716426055346E-2</v>
      </c>
      <c r="R599">
        <f t="shared" si="29"/>
        <v>2.1612319971952263E-2</v>
      </c>
    </row>
    <row r="600" spans="1:18" ht="13">
      <c r="A600" s="22" t="s">
        <v>137</v>
      </c>
      <c r="B600" s="9">
        <v>2020</v>
      </c>
      <c r="C600" s="4">
        <v>-0.92250152871056523</v>
      </c>
      <c r="D600" s="10">
        <v>0.62665666584633062</v>
      </c>
      <c r="E600" s="11">
        <v>0.45</v>
      </c>
      <c r="F600" s="11">
        <v>0</v>
      </c>
      <c r="G600" s="12">
        <v>1.5232212496713755E-2</v>
      </c>
      <c r="H600" s="12">
        <v>-8.7512777503865793E-3</v>
      </c>
      <c r="I600" s="12">
        <v>1.9419286072457792E-3</v>
      </c>
      <c r="J600" s="12">
        <v>6.8544956235211899E-3</v>
      </c>
      <c r="K600" s="12">
        <v>-3.9380749876739606E-3</v>
      </c>
      <c r="L600" s="12">
        <v>8.7386787326060062E-4</v>
      </c>
      <c r="M600" s="12">
        <v>0</v>
      </c>
      <c r="N600" s="12">
        <v>0</v>
      </c>
      <c r="O600" s="12">
        <v>0</v>
      </c>
      <c r="P600">
        <f t="shared" si="27"/>
        <v>9.5453674966534535E-3</v>
      </c>
      <c r="Q600">
        <f t="shared" si="28"/>
        <v>-5.4840465369524307E-3</v>
      </c>
      <c r="R600">
        <f t="shared" si="29"/>
        <v>1.2169225063282485E-3</v>
      </c>
    </row>
    <row r="601" spans="1:18" ht="13">
      <c r="A601" s="22" t="s">
        <v>137</v>
      </c>
      <c r="B601" s="9">
        <v>2021</v>
      </c>
      <c r="C601" s="4">
        <v>-0.91149544110760583</v>
      </c>
      <c r="D601" s="10">
        <v>0.61502918747233781</v>
      </c>
      <c r="E601" s="11">
        <v>0.44990000000000002</v>
      </c>
      <c r="F601" s="11">
        <v>0</v>
      </c>
      <c r="G601" s="12">
        <v>2.8370436609112863E-2</v>
      </c>
      <c r="H601" s="12">
        <v>-1.6959855216342027E-2</v>
      </c>
      <c r="I601" s="12">
        <v>-1.0435065366964001E-2</v>
      </c>
      <c r="J601" s="12">
        <v>1.2763859430439877E-2</v>
      </c>
      <c r="K601" s="12">
        <v>-7.6302388618322784E-3</v>
      </c>
      <c r="L601" s="12">
        <v>-4.694735908597104E-3</v>
      </c>
      <c r="M601" s="12">
        <v>0</v>
      </c>
      <c r="N601" s="12">
        <v>0</v>
      </c>
      <c r="O601" s="12">
        <v>0</v>
      </c>
      <c r="P601">
        <f t="shared" si="27"/>
        <v>1.744864657593815E-2</v>
      </c>
      <c r="Q601">
        <f t="shared" si="28"/>
        <v>-1.0430805973355326E-2</v>
      </c>
      <c r="R601">
        <f t="shared" si="29"/>
        <v>-6.4178697738646023E-3</v>
      </c>
    </row>
    <row r="602" spans="1:18" ht="13">
      <c r="A602" s="21" t="s">
        <v>138</v>
      </c>
      <c r="B602" s="9">
        <v>2017</v>
      </c>
      <c r="C602" s="4">
        <v>-0.1468768074449209</v>
      </c>
      <c r="D602" s="10">
        <v>0.76289610174573408</v>
      </c>
      <c r="E602" s="11">
        <v>8.0000000000000004E-4</v>
      </c>
      <c r="F602" s="11">
        <v>0.21672</v>
      </c>
      <c r="G602" s="12">
        <v>-3.759078846678809E-3</v>
      </c>
      <c r="H602" s="12">
        <v>4.8062508111107625E-3</v>
      </c>
      <c r="I602" s="12">
        <v>2.4747269073968823E-2</v>
      </c>
      <c r="J602" s="12">
        <v>-3.0072630773430473E-6</v>
      </c>
      <c r="K602" s="12">
        <v>3.8450006488886098E-6</v>
      </c>
      <c r="L602" s="12">
        <v>1.979781525917506E-5</v>
      </c>
      <c r="M602" s="12">
        <v>-8.1466756765223147E-4</v>
      </c>
      <c r="N602" s="12">
        <v>1.0416106757839244E-3</v>
      </c>
      <c r="O602" s="12">
        <v>5.3632281537105229E-3</v>
      </c>
      <c r="P602">
        <f t="shared" si="27"/>
        <v>-2.8677865982861136E-3</v>
      </c>
      <c r="Q602">
        <f t="shared" si="28"/>
        <v>3.6666700078086733E-3</v>
      </c>
      <c r="R602">
        <f t="shared" si="29"/>
        <v>1.8879595105383576E-2</v>
      </c>
    </row>
    <row r="603" spans="1:18" ht="13">
      <c r="A603" s="22" t="s">
        <v>138</v>
      </c>
      <c r="B603" s="9">
        <v>2018</v>
      </c>
      <c r="C603" s="4">
        <v>-0.64718431262547804</v>
      </c>
      <c r="D603" s="10">
        <v>0.67919939677173446</v>
      </c>
      <c r="E603" s="11">
        <v>1.2999999999999999E-3</v>
      </c>
      <c r="F603" s="11">
        <v>3.5500000000000002E-3</v>
      </c>
      <c r="G603" s="12">
        <v>-1.8059560505120816E-2</v>
      </c>
      <c r="H603" s="12">
        <v>-1.6998939378873753E-2</v>
      </c>
      <c r="I603" s="12">
        <v>6.4490736137350443E-2</v>
      </c>
      <c r="J603" s="12">
        <v>-2.3477428656657058E-5</v>
      </c>
      <c r="K603" s="12">
        <v>-2.2098621192535877E-5</v>
      </c>
      <c r="L603" s="12">
        <v>8.3837956978555567E-5</v>
      </c>
      <c r="M603" s="12">
        <v>-6.4111439793178895E-5</v>
      </c>
      <c r="N603" s="12">
        <v>-6.0346234795001829E-5</v>
      </c>
      <c r="O603" s="12">
        <v>2.2894211328759409E-4</v>
      </c>
      <c r="P603">
        <f t="shared" si="27"/>
        <v>-1.2266042601040698E-2</v>
      </c>
      <c r="Q603">
        <f t="shared" si="28"/>
        <v>-1.1545669371890336E-2</v>
      </c>
      <c r="R603">
        <f t="shared" si="29"/>
        <v>4.3802069081853516E-2</v>
      </c>
    </row>
    <row r="604" spans="1:18" ht="13">
      <c r="A604" s="22" t="s">
        <v>138</v>
      </c>
      <c r="B604" s="9">
        <v>2019</v>
      </c>
      <c r="C604" s="4">
        <v>-1.2211684335239086</v>
      </c>
      <c r="D604" s="10">
        <v>0.57154783864435077</v>
      </c>
      <c r="E604" s="11">
        <v>0.03</v>
      </c>
      <c r="F604" s="11">
        <v>9.5E-4</v>
      </c>
      <c r="G604" s="12">
        <v>0.25267807280296489</v>
      </c>
      <c r="H604" s="12">
        <v>-7.2549119155201305E-2</v>
      </c>
      <c r="I604" s="12">
        <v>-0.26573702707124042</v>
      </c>
      <c r="J604" s="12">
        <v>7.5803421840889467E-3</v>
      </c>
      <c r="K604" s="12">
        <v>-2.1764735746560393E-3</v>
      </c>
      <c r="L604" s="12">
        <v>-7.9721108121372126E-3</v>
      </c>
      <c r="M604" s="12">
        <v>2.4004416916281664E-4</v>
      </c>
      <c r="N604" s="12">
        <v>-6.8921663197441245E-5</v>
      </c>
      <c r="O604" s="12">
        <v>-2.524501757176784E-4</v>
      </c>
      <c r="P604">
        <f t="shared" si="27"/>
        <v>0.14441760638335449</v>
      </c>
      <c r="Q604">
        <f t="shared" si="28"/>
        <v>-4.1465292248706771E-2</v>
      </c>
      <c r="R604">
        <f t="shared" si="29"/>
        <v>-0.15188142347034278</v>
      </c>
    </row>
    <row r="605" spans="1:18" ht="13">
      <c r="A605" s="22" t="s">
        <v>138</v>
      </c>
      <c r="B605" s="9">
        <v>2020</v>
      </c>
      <c r="C605" s="4">
        <v>-0.98979858093879391</v>
      </c>
      <c r="D605" s="10">
        <v>0.58336237174700634</v>
      </c>
      <c r="E605" s="11">
        <v>3.5299999999999998E-2</v>
      </c>
      <c r="F605" s="11">
        <v>2.8649999999999998E-2</v>
      </c>
      <c r="G605" s="12">
        <v>8.6822091318897093E-2</v>
      </c>
      <c r="H605" s="12">
        <v>-1.9270444426007359E-2</v>
      </c>
      <c r="I605" s="12">
        <v>-3.9719018778174173E-2</v>
      </c>
      <c r="J605" s="12">
        <v>3.064819823557067E-3</v>
      </c>
      <c r="K605" s="12">
        <v>-6.8024668823805977E-4</v>
      </c>
      <c r="L605" s="12">
        <v>-1.4020813628695481E-3</v>
      </c>
      <c r="M605" s="12">
        <v>2.4874529162864016E-3</v>
      </c>
      <c r="N605" s="12">
        <v>-5.520982328051108E-4</v>
      </c>
      <c r="O605" s="12">
        <v>-1.13794988799469E-3</v>
      </c>
      <c r="P605">
        <f t="shared" si="27"/>
        <v>5.0648741111826975E-2</v>
      </c>
      <c r="Q605">
        <f t="shared" si="28"/>
        <v>-1.1241652164974532E-2</v>
      </c>
      <c r="R605">
        <f t="shared" si="29"/>
        <v>-2.3170580997899568E-2</v>
      </c>
    </row>
    <row r="606" spans="1:18" ht="13">
      <c r="A606" s="22" t="s">
        <v>138</v>
      </c>
      <c r="B606" s="9">
        <v>2021</v>
      </c>
      <c r="C606" s="4">
        <v>-1.120930516162141</v>
      </c>
      <c r="D606" s="10">
        <v>0.56073521262924575</v>
      </c>
      <c r="E606" s="11">
        <v>2.2100000000000002E-2</v>
      </c>
      <c r="F606" s="11">
        <v>2.8649999999999998E-2</v>
      </c>
      <c r="G606" s="12">
        <v>1.1960763508176233E-2</v>
      </c>
      <c r="H606" s="12">
        <v>2.8236597932067104E-3</v>
      </c>
      <c r="I606" s="12">
        <v>-4.237258161496834E-2</v>
      </c>
      <c r="J606" s="12">
        <v>2.6433287353069476E-4</v>
      </c>
      <c r="K606" s="12">
        <v>6.2402881429868306E-5</v>
      </c>
      <c r="L606" s="12">
        <v>-9.3643405369080038E-4</v>
      </c>
      <c r="M606" s="12">
        <v>3.4267587450924905E-4</v>
      </c>
      <c r="N606" s="12">
        <v>8.0897853075372246E-5</v>
      </c>
      <c r="O606" s="12">
        <v>-1.2139744632688428E-3</v>
      </c>
      <c r="P606">
        <f t="shared" si="27"/>
        <v>6.7068212689653231E-3</v>
      </c>
      <c r="Q606">
        <f t="shared" si="28"/>
        <v>1.5833254745364169E-3</v>
      </c>
      <c r="R606">
        <f t="shared" si="29"/>
        <v>-2.375979856151934E-2</v>
      </c>
    </row>
    <row r="607" spans="1:18" ht="13">
      <c r="A607" s="21" t="s">
        <v>139</v>
      </c>
      <c r="B607" s="9">
        <v>2017</v>
      </c>
      <c r="C607" s="4">
        <v>-2.9320987066213013</v>
      </c>
      <c r="D607" s="10">
        <v>0.39136592462887382</v>
      </c>
      <c r="E607" s="11">
        <v>0.24410000000000001</v>
      </c>
      <c r="F607" s="11">
        <v>0</v>
      </c>
      <c r="G607" s="12">
        <v>0.25573909796701383</v>
      </c>
      <c r="H607" s="12">
        <v>-8.529786658769907E-2</v>
      </c>
      <c r="I607" s="12">
        <v>-0.16733832030797358</v>
      </c>
      <c r="J607" s="12">
        <v>6.2425913813748075E-2</v>
      </c>
      <c r="K607" s="12">
        <v>-2.0821209234057343E-2</v>
      </c>
      <c r="L607" s="12">
        <v>-4.0847283987176353E-2</v>
      </c>
      <c r="M607" s="12">
        <v>0</v>
      </c>
      <c r="N607" s="12">
        <v>0</v>
      </c>
      <c r="O607" s="12">
        <v>0</v>
      </c>
      <c r="P607">
        <f t="shared" si="27"/>
        <v>0.10008756853961451</v>
      </c>
      <c r="Q607">
        <f t="shared" si="28"/>
        <v>-3.3382678425965172E-2</v>
      </c>
      <c r="R607">
        <f t="shared" si="29"/>
        <v>-6.5490516453172734E-2</v>
      </c>
    </row>
    <row r="608" spans="1:18" ht="13">
      <c r="A608" s="22" t="s">
        <v>139</v>
      </c>
      <c r="B608" s="9">
        <v>2018</v>
      </c>
      <c r="C608" s="4">
        <v>-2.908314706758115</v>
      </c>
      <c r="D608" s="10">
        <v>0.39467073389556789</v>
      </c>
      <c r="E608" s="11">
        <v>0.23380000000000001</v>
      </c>
      <c r="F608" s="11">
        <v>8.0000000000000004E-4</v>
      </c>
      <c r="G608" s="12">
        <v>0.16046756043167312</v>
      </c>
      <c r="H608" s="12">
        <v>-4.4961677475583807E-2</v>
      </c>
      <c r="I608" s="12">
        <v>-0.17441234523595911</v>
      </c>
      <c r="J608" s="12">
        <v>3.7517315628925178E-2</v>
      </c>
      <c r="K608" s="12">
        <v>-1.0512040193791495E-2</v>
      </c>
      <c r="L608" s="12">
        <v>-4.0777606316167239E-2</v>
      </c>
      <c r="M608" s="12">
        <v>1.283740483453385E-4</v>
      </c>
      <c r="N608" s="12">
        <v>-3.596934198046705E-5</v>
      </c>
      <c r="O608" s="12">
        <v>-1.3952987618876729E-4</v>
      </c>
      <c r="P608">
        <f t="shared" si="27"/>
        <v>6.3331849841999827E-2</v>
      </c>
      <c r="Q608">
        <f t="shared" si="28"/>
        <v>-1.7745058246464485E-2</v>
      </c>
      <c r="R608">
        <f t="shared" si="29"/>
        <v>-6.8835448294723142E-2</v>
      </c>
    </row>
    <row r="609" spans="1:18" ht="13">
      <c r="A609" s="22" t="s">
        <v>139</v>
      </c>
      <c r="B609" s="9">
        <v>2019</v>
      </c>
      <c r="C609" s="4">
        <v>-3.0338255171117474</v>
      </c>
      <c r="D609" s="10">
        <v>0.38084086093453773</v>
      </c>
      <c r="E609" s="11">
        <v>0.13769999999999999</v>
      </c>
      <c r="F609" s="11">
        <v>0</v>
      </c>
      <c r="G609" s="12">
        <v>0.18503401360544217</v>
      </c>
      <c r="H609" s="12">
        <v>-4.6559607449537188E-2</v>
      </c>
      <c r="I609" s="12">
        <v>-9.0331214452994302E-2</v>
      </c>
      <c r="J609" s="12">
        <v>2.5479183673469383E-2</v>
      </c>
      <c r="K609" s="12">
        <v>-6.4112579458012707E-3</v>
      </c>
      <c r="L609" s="12">
        <v>-1.2438608230177315E-2</v>
      </c>
      <c r="M609" s="12">
        <v>0</v>
      </c>
      <c r="N609" s="12">
        <v>0</v>
      </c>
      <c r="O609" s="12">
        <v>0</v>
      </c>
      <c r="P609">
        <f t="shared" si="27"/>
        <v>7.0468513043669564E-2</v>
      </c>
      <c r="Q609">
        <f t="shared" si="28"/>
        <v>-1.7731800985855858E-2</v>
      </c>
      <c r="R609">
        <f t="shared" si="29"/>
        <v>-3.4401817481540704E-2</v>
      </c>
    </row>
    <row r="610" spans="1:18" ht="13">
      <c r="A610" s="22" t="s">
        <v>139</v>
      </c>
      <c r="B610" s="9">
        <v>2020</v>
      </c>
      <c r="C610" s="4">
        <v>-3.1941591606038964</v>
      </c>
      <c r="D610" s="10">
        <v>0.37356903514891865</v>
      </c>
      <c r="E610" s="11">
        <v>0.12</v>
      </c>
      <c r="F610" s="11">
        <v>0</v>
      </c>
      <c r="G610" s="12">
        <v>0.12559081038057524</v>
      </c>
      <c r="H610" s="12">
        <v>-0.11009462792457281</v>
      </c>
      <c r="I610" s="12">
        <v>-0.12734973026619631</v>
      </c>
      <c r="J610" s="12">
        <v>1.5070897245669028E-2</v>
      </c>
      <c r="K610" s="12">
        <v>-1.3211355350948736E-2</v>
      </c>
      <c r="L610" s="12">
        <v>-1.5281967631943557E-2</v>
      </c>
      <c r="M610" s="12">
        <v>0</v>
      </c>
      <c r="N610" s="12">
        <v>0</v>
      </c>
      <c r="O610" s="12">
        <v>0</v>
      </c>
      <c r="P610">
        <f t="shared" si="27"/>
        <v>4.6916837857442287E-2</v>
      </c>
      <c r="Q610">
        <f t="shared" si="28"/>
        <v>-4.1127943928861863E-2</v>
      </c>
      <c r="R610">
        <f t="shared" si="29"/>
        <v>-4.7573915862018E-2</v>
      </c>
    </row>
    <row r="611" spans="1:18" ht="13">
      <c r="A611" s="22" t="s">
        <v>139</v>
      </c>
      <c r="B611" s="9">
        <v>2021</v>
      </c>
      <c r="C611" s="4">
        <v>-2.9086783592974061</v>
      </c>
      <c r="D611" s="10">
        <v>0.35844952211298003</v>
      </c>
      <c r="E611" s="11">
        <v>8.9499999999999996E-2</v>
      </c>
      <c r="F611" s="11">
        <v>0</v>
      </c>
      <c r="G611" s="12">
        <v>0.18241923880648142</v>
      </c>
      <c r="H611" s="12">
        <v>-4.5947381042102012E-2</v>
      </c>
      <c r="I611" s="12">
        <v>-2.7748278579014077E-2</v>
      </c>
      <c r="J611" s="12">
        <v>1.6326521873180087E-2</v>
      </c>
      <c r="K611" s="12">
        <v>-4.1122906032681301E-3</v>
      </c>
      <c r="L611" s="12">
        <v>-2.4834709328217597E-3</v>
      </c>
      <c r="M611" s="12">
        <v>0</v>
      </c>
      <c r="N611" s="12">
        <v>0</v>
      </c>
      <c r="O611" s="12">
        <v>0</v>
      </c>
      <c r="P611">
        <f t="shared" si="27"/>
        <v>6.5388088974396852E-2</v>
      </c>
      <c r="Q611">
        <f t="shared" si="28"/>
        <v>-1.6469816776884465E-2</v>
      </c>
      <c r="R611">
        <f t="shared" si="29"/>
        <v>-9.9463571961054369E-3</v>
      </c>
    </row>
    <row r="612" spans="1:18" ht="13">
      <c r="A612" s="21" t="s">
        <v>140</v>
      </c>
      <c r="B612" s="9">
        <v>2017</v>
      </c>
      <c r="C612" s="4">
        <v>0.43757757705637745</v>
      </c>
      <c r="D612" s="10">
        <v>0.84267338210904097</v>
      </c>
      <c r="E612" s="11">
        <v>0.1032</v>
      </c>
      <c r="F612" s="11">
        <v>1.023E-2</v>
      </c>
      <c r="G612" s="12">
        <v>-3.3508800150875574E-2</v>
      </c>
      <c r="H612" s="12">
        <v>3.7718894392642599E-4</v>
      </c>
      <c r="I612" s="12">
        <v>4.3765011287933836E-3</v>
      </c>
      <c r="J612" s="12">
        <v>-3.4581081755703591E-3</v>
      </c>
      <c r="K612" s="12">
        <v>3.8925899013207165E-5</v>
      </c>
      <c r="L612" s="12">
        <v>4.5165491649147717E-4</v>
      </c>
      <c r="M612" s="12">
        <v>-3.4279502554345712E-4</v>
      </c>
      <c r="N612" s="12">
        <v>3.8586428963673374E-6</v>
      </c>
      <c r="O612" s="12">
        <v>4.477160654755631E-5</v>
      </c>
      <c r="P612">
        <f t="shared" si="27"/>
        <v>-2.8236973953554262E-2</v>
      </c>
      <c r="Q612">
        <f t="shared" si="28"/>
        <v>3.1784708307261878E-4</v>
      </c>
      <c r="R612">
        <f t="shared" si="29"/>
        <v>3.6879610080043559E-3</v>
      </c>
    </row>
    <row r="613" spans="1:18" ht="13">
      <c r="A613" s="22" t="s">
        <v>140</v>
      </c>
      <c r="B613" s="9">
        <v>2018</v>
      </c>
      <c r="C613" s="4">
        <v>0.5211842971365247</v>
      </c>
      <c r="D613" s="10">
        <v>0.85365903673134591</v>
      </c>
      <c r="E613" s="11">
        <v>9.01E-2</v>
      </c>
      <c r="F613" s="11">
        <v>1.023E-2</v>
      </c>
      <c r="G613" s="12">
        <v>1.8275959295619409E-2</v>
      </c>
      <c r="H613" s="12">
        <v>1.0765642221823494E-2</v>
      </c>
      <c r="I613" s="12">
        <v>-1.4005587880962756E-2</v>
      </c>
      <c r="J613" s="12">
        <v>1.6466639325353088E-3</v>
      </c>
      <c r="K613" s="12">
        <v>9.699843641862968E-4</v>
      </c>
      <c r="L613" s="12">
        <v>-1.2619034680747443E-3</v>
      </c>
      <c r="M613" s="12">
        <v>1.8696306359418654E-4</v>
      </c>
      <c r="N613" s="12">
        <v>1.1013251992925434E-4</v>
      </c>
      <c r="O613" s="12">
        <v>-1.4327716402224899E-4</v>
      </c>
      <c r="P613">
        <f t="shared" si="27"/>
        <v>1.5601437807639751E-2</v>
      </c>
      <c r="Q613">
        <f t="shared" si="28"/>
        <v>9.190187768876151E-3</v>
      </c>
      <c r="R613">
        <f t="shared" si="29"/>
        <v>-1.1955996659318879E-2</v>
      </c>
    </row>
    <row r="614" spans="1:18" ht="13">
      <c r="A614" s="22" t="s">
        <v>140</v>
      </c>
      <c r="B614" s="9">
        <v>2019</v>
      </c>
      <c r="C614" s="4">
        <v>0.49706134796425611</v>
      </c>
      <c r="D614" s="10">
        <v>0.84827262044653351</v>
      </c>
      <c r="E614" s="11">
        <v>1.77E-2</v>
      </c>
      <c r="F614" s="11">
        <v>1.023E-2</v>
      </c>
      <c r="G614" s="12">
        <v>-5.3119206162684424E-2</v>
      </c>
      <c r="H614" s="12">
        <v>5.713539626583105E-3</v>
      </c>
      <c r="I614" s="12">
        <v>6.3569656613134878E-2</v>
      </c>
      <c r="J614" s="12">
        <v>-9.4020994907951432E-4</v>
      </c>
      <c r="K614" s="12">
        <v>1.0112965139052096E-4</v>
      </c>
      <c r="L614" s="12">
        <v>1.1251829220524873E-3</v>
      </c>
      <c r="M614" s="12">
        <v>-5.4340947904426163E-4</v>
      </c>
      <c r="N614" s="12">
        <v>5.8449510379945164E-5</v>
      </c>
      <c r="O614" s="12">
        <v>6.5031758715236978E-4</v>
      </c>
      <c r="P614">
        <f t="shared" si="27"/>
        <v>-4.5059568207659967E-2</v>
      </c>
      <c r="Q614">
        <f t="shared" si="28"/>
        <v>4.8466392310667593E-3</v>
      </c>
      <c r="R614">
        <f t="shared" si="29"/>
        <v>5.392439919611023E-2</v>
      </c>
    </row>
    <row r="615" spans="1:18" ht="13">
      <c r="A615" s="22" t="s">
        <v>140</v>
      </c>
      <c r="B615" s="9">
        <v>2020</v>
      </c>
      <c r="C615" s="4">
        <v>0.32724363353526353</v>
      </c>
      <c r="D615" s="10">
        <v>0.8155169242673127</v>
      </c>
      <c r="E615" s="11">
        <v>1.7600000000000001E-2</v>
      </c>
      <c r="F615" s="11">
        <v>2.707E-2</v>
      </c>
      <c r="G615" s="12">
        <v>0.11638644536477392</v>
      </c>
      <c r="H615" s="12">
        <v>1.3927558935264758E-2</v>
      </c>
      <c r="I615" s="12">
        <v>-0.17052380559766098</v>
      </c>
      <c r="J615" s="12">
        <v>2.0484014384200212E-3</v>
      </c>
      <c r="K615" s="12">
        <v>2.4512503726065974E-4</v>
      </c>
      <c r="L615" s="12">
        <v>-3.0012189785188332E-3</v>
      </c>
      <c r="M615" s="12">
        <v>3.1505810760244302E-3</v>
      </c>
      <c r="N615" s="12">
        <v>3.77019020377617E-4</v>
      </c>
      <c r="O615" s="12">
        <v>-4.616079417528683E-3</v>
      </c>
      <c r="P615">
        <f t="shared" si="27"/>
        <v>9.4915115950286066E-2</v>
      </c>
      <c r="Q615">
        <f t="shared" si="28"/>
        <v>1.1358160025438843E-2</v>
      </c>
      <c r="R615">
        <f t="shared" si="29"/>
        <v>-0.13906504945536163</v>
      </c>
    </row>
    <row r="616" spans="1:18" ht="13">
      <c r="A616" s="22" t="s">
        <v>140</v>
      </c>
      <c r="B616" s="9">
        <v>2021</v>
      </c>
      <c r="C616" s="4">
        <v>9.3811689641852672E-2</v>
      </c>
      <c r="D616" s="10">
        <v>0.77997720279824478</v>
      </c>
      <c r="E616" s="11">
        <v>1.83E-2</v>
      </c>
      <c r="F616" s="11">
        <v>2.6190000000000001E-2</v>
      </c>
      <c r="G616" s="12">
        <v>6.0099681882184661E-2</v>
      </c>
      <c r="H616" s="12">
        <v>3.1305177050816903E-2</v>
      </c>
      <c r="I616" s="12">
        <v>-8.3649340296661628E-2</v>
      </c>
      <c r="J616" s="12">
        <v>1.0998241784439793E-3</v>
      </c>
      <c r="K616" s="12">
        <v>5.7288474002994928E-4</v>
      </c>
      <c r="L616" s="12">
        <v>-1.5307829274289078E-3</v>
      </c>
      <c r="M616" s="12">
        <v>1.5740106684944163E-3</v>
      </c>
      <c r="N616" s="12">
        <v>8.1988258696089468E-4</v>
      </c>
      <c r="O616" s="12">
        <v>-2.1907762223695683E-3</v>
      </c>
      <c r="P616">
        <f t="shared" si="27"/>
        <v>4.687638176353074E-2</v>
      </c>
      <c r="Q616">
        <f t="shared" si="28"/>
        <v>2.4417324429199975E-2</v>
      </c>
      <c r="R616">
        <f t="shared" si="29"/>
        <v>-6.5244578460508643E-2</v>
      </c>
    </row>
    <row r="617" spans="1:18" ht="13">
      <c r="A617" s="21" t="s">
        <v>141</v>
      </c>
      <c r="B617" s="9">
        <v>2017</v>
      </c>
      <c r="C617" s="4">
        <v>-2.1588419182173522</v>
      </c>
      <c r="D617" s="10">
        <v>0.39691310479294811</v>
      </c>
      <c r="E617" s="11">
        <v>5.3900000000000003E-2</v>
      </c>
      <c r="F617" s="11">
        <v>9.1E-4</v>
      </c>
      <c r="G617" s="12">
        <v>-1.6204711459391476E-2</v>
      </c>
      <c r="H617" s="12">
        <v>-1.8772162873164182E-2</v>
      </c>
      <c r="I617" s="12">
        <v>7.1096078497036266E-2</v>
      </c>
      <c r="J617" s="12">
        <v>-8.7343394766120066E-4</v>
      </c>
      <c r="K617" s="12">
        <v>-1.0118195788635495E-3</v>
      </c>
      <c r="L617" s="12">
        <v>3.8320786309902549E-3</v>
      </c>
      <c r="M617" s="12">
        <v>-1.4746287428046244E-5</v>
      </c>
      <c r="N617" s="12">
        <v>-1.7082668214579406E-5</v>
      </c>
      <c r="O617" s="12">
        <v>6.4697431432303004E-5</v>
      </c>
      <c r="P617">
        <f t="shared" si="27"/>
        <v>-6.4318623376209364E-3</v>
      </c>
      <c r="Q617">
        <f t="shared" si="28"/>
        <v>-7.450917449666505E-3</v>
      </c>
      <c r="R617">
        <f t="shared" si="29"/>
        <v>2.8218965254861821E-2</v>
      </c>
    </row>
    <row r="618" spans="1:18" ht="13">
      <c r="A618" s="22" t="s">
        <v>141</v>
      </c>
      <c r="B618" s="9">
        <v>2018</v>
      </c>
      <c r="C618" s="4">
        <v>-2.1410948858144376</v>
      </c>
      <c r="D618" s="10">
        <v>0.37237028118851756</v>
      </c>
      <c r="E618" s="11">
        <v>1.9300000000000001E-2</v>
      </c>
      <c r="F618" s="11">
        <v>1.97E-3</v>
      </c>
      <c r="G618" s="12">
        <v>9.0976210352335135E-2</v>
      </c>
      <c r="H618" s="12">
        <v>-3.8954446872863188E-2</v>
      </c>
      <c r="I618" s="12">
        <v>-0.11720732776521618</v>
      </c>
      <c r="J618" s="12">
        <v>1.7558408598000682E-3</v>
      </c>
      <c r="K618" s="12">
        <v>-7.5182082464625953E-4</v>
      </c>
      <c r="L618" s="12">
        <v>-2.2621014258686727E-3</v>
      </c>
      <c r="M618" s="12">
        <v>1.7922313439410021E-4</v>
      </c>
      <c r="N618" s="12">
        <v>-7.674026033954048E-5</v>
      </c>
      <c r="O618" s="12">
        <v>-2.3089843569747587E-4</v>
      </c>
      <c r="P618">
        <f t="shared" si="27"/>
        <v>3.3876837030364759E-2</v>
      </c>
      <c r="Q618">
        <f t="shared" si="28"/>
        <v>-1.4505478335591234E-2</v>
      </c>
      <c r="R618">
        <f t="shared" si="29"/>
        <v>-4.3644525597288292E-2</v>
      </c>
    </row>
    <row r="619" spans="1:18" ht="13">
      <c r="A619" s="22" t="s">
        <v>141</v>
      </c>
      <c r="B619" s="9">
        <v>2019</v>
      </c>
      <c r="C619" s="4">
        <v>-2.4913167027538381</v>
      </c>
      <c r="D619" s="10">
        <v>0.32554084074205919</v>
      </c>
      <c r="E619" s="11">
        <v>1.78E-2</v>
      </c>
      <c r="F619" s="11">
        <v>2.1099999999999999E-3</v>
      </c>
      <c r="G619" s="12">
        <v>0.16709849812772898</v>
      </c>
      <c r="H619" s="12">
        <v>-9.7002113345619881E-2</v>
      </c>
      <c r="I619" s="12">
        <v>-6.8622900735840806E-2</v>
      </c>
      <c r="J619" s="12">
        <v>2.9743532666735759E-3</v>
      </c>
      <c r="K619" s="12">
        <v>-1.7266376175520339E-3</v>
      </c>
      <c r="L619" s="12">
        <v>-1.2214876330979662E-3</v>
      </c>
      <c r="M619" s="12">
        <v>3.5257783104950815E-4</v>
      </c>
      <c r="N619" s="12">
        <v>-2.0467445915925794E-4</v>
      </c>
      <c r="O619" s="12">
        <v>-1.4479432055262409E-4</v>
      </c>
      <c r="P619">
        <f t="shared" si="27"/>
        <v>5.4397385567236292E-2</v>
      </c>
      <c r="Q619">
        <f t="shared" si="28"/>
        <v>-3.1578149532289615E-2</v>
      </c>
      <c r="R619">
        <f t="shared" si="29"/>
        <v>-2.2339556799704487E-2</v>
      </c>
    </row>
    <row r="620" spans="1:18" ht="13">
      <c r="A620" s="22" t="s">
        <v>141</v>
      </c>
      <c r="B620" s="9">
        <v>2020</v>
      </c>
      <c r="C620" s="4">
        <v>-2.3364502030672125</v>
      </c>
      <c r="D620" s="10">
        <v>0.35038106871279634</v>
      </c>
      <c r="E620" s="11">
        <v>1.8599999999999998E-2</v>
      </c>
      <c r="F620" s="11">
        <v>2.1099999999999999E-3</v>
      </c>
      <c r="G620" s="12">
        <v>8.6359804562502154E-2</v>
      </c>
      <c r="H620" s="12">
        <v>-0.10367133468671506</v>
      </c>
      <c r="I620" s="12">
        <v>1.3801913085366276E-2</v>
      </c>
      <c r="J620" s="12">
        <v>1.60629236486254E-3</v>
      </c>
      <c r="K620" s="12">
        <v>-1.9282868251729E-3</v>
      </c>
      <c r="L620" s="12">
        <v>2.5671558338781269E-4</v>
      </c>
      <c r="M620" s="12">
        <v>1.8221918762687954E-4</v>
      </c>
      <c r="N620" s="12">
        <v>-2.1874651618896876E-4</v>
      </c>
      <c r="O620" s="12">
        <v>2.9122036610122841E-5</v>
      </c>
      <c r="P620">
        <f t="shared" si="27"/>
        <v>3.0258840616437729E-2</v>
      </c>
      <c r="Q620">
        <f t="shared" si="28"/>
        <v>-3.6324473042413215E-2</v>
      </c>
      <c r="R620">
        <f t="shared" si="29"/>
        <v>4.8359290571317638E-3</v>
      </c>
    </row>
    <row r="621" spans="1:18" ht="13">
      <c r="A621" s="22" t="s">
        <v>141</v>
      </c>
      <c r="B621" s="9">
        <v>2021</v>
      </c>
      <c r="C621" s="4">
        <v>-2.2819568603890308</v>
      </c>
      <c r="D621" s="10">
        <v>0.36517114058103506</v>
      </c>
      <c r="E621" s="11">
        <v>1.11E-2</v>
      </c>
      <c r="F621" s="11">
        <v>1.42E-3</v>
      </c>
      <c r="G621" s="12">
        <v>2.2739594834716468E-2</v>
      </c>
      <c r="H621" s="12">
        <v>-5.5614257955494351E-2</v>
      </c>
      <c r="I621" s="12">
        <v>4.2040152441558135E-2</v>
      </c>
      <c r="J621" s="12">
        <v>2.524095026653528E-4</v>
      </c>
      <c r="K621" s="12">
        <v>-6.1731826330598731E-4</v>
      </c>
      <c r="L621" s="12">
        <v>4.6664569210129529E-4</v>
      </c>
      <c r="M621" s="12">
        <v>3.2290224665297384E-5</v>
      </c>
      <c r="N621" s="12">
        <v>-7.897224629680198E-5</v>
      </c>
      <c r="O621" s="12">
        <v>5.9697016467012556E-5</v>
      </c>
      <c r="P621">
        <f t="shared" si="27"/>
        <v>8.3038437821440266E-3</v>
      </c>
      <c r="Q621">
        <f t="shared" si="28"/>
        <v>-2.0308722010175775E-2</v>
      </c>
      <c r="R621">
        <f t="shared" si="29"/>
        <v>1.535185041728437E-2</v>
      </c>
    </row>
    <row r="622" spans="1:18" ht="13">
      <c r="A622" s="21" t="s">
        <v>142</v>
      </c>
      <c r="B622" s="9">
        <v>2017</v>
      </c>
      <c r="C622" s="4">
        <v>-2.5467344373896212</v>
      </c>
      <c r="D622" s="10">
        <v>0.3843319022833479</v>
      </c>
      <c r="E622" s="11">
        <v>7.6E-3</v>
      </c>
      <c r="F622" s="11">
        <v>5.2300000000000003E-3</v>
      </c>
      <c r="G622" s="12">
        <v>0.1116598913415144</v>
      </c>
      <c r="H622" s="12">
        <v>5.759659587401695E-2</v>
      </c>
      <c r="I622" s="12">
        <v>-0.20572926560541013</v>
      </c>
      <c r="J622" s="12">
        <v>8.4861517419550941E-4</v>
      </c>
      <c r="K622" s="12">
        <v>4.3773412864252882E-4</v>
      </c>
      <c r="L622" s="12">
        <v>-1.5635424186011171E-3</v>
      </c>
      <c r="M622" s="12">
        <v>5.8398123171612038E-4</v>
      </c>
      <c r="N622" s="12">
        <v>3.0123019642110864E-4</v>
      </c>
      <c r="O622" s="12">
        <v>-1.075964059116295E-3</v>
      </c>
      <c r="P622">
        <f t="shared" si="27"/>
        <v>4.2914458448036159E-2</v>
      </c>
      <c r="Q622">
        <f t="shared" si="28"/>
        <v>2.2136209257306163E-2</v>
      </c>
      <c r="R622">
        <f t="shared" si="29"/>
        <v>-7.9068320005483417E-2</v>
      </c>
    </row>
    <row r="623" spans="1:18" ht="13">
      <c r="A623" s="22" t="s">
        <v>142</v>
      </c>
      <c r="B623" s="9">
        <v>2018</v>
      </c>
      <c r="C623" s="4">
        <v>-1.8086005876419342</v>
      </c>
      <c r="D623" s="10">
        <v>0.45994408201304754</v>
      </c>
      <c r="E623" s="11">
        <v>5.0000000000000001E-3</v>
      </c>
      <c r="F623" s="11">
        <v>0</v>
      </c>
      <c r="G623" s="12">
        <v>4.9282385834109974E-2</v>
      </c>
      <c r="H623" s="12">
        <v>-5.6029822926374651E-2</v>
      </c>
      <c r="I623" s="12">
        <v>2.0093196644920781E-2</v>
      </c>
      <c r="J623" s="12">
        <v>2.4641192917054989E-4</v>
      </c>
      <c r="K623" s="12">
        <v>-2.8014911463187327E-4</v>
      </c>
      <c r="L623" s="12">
        <v>1.004659832246039E-4</v>
      </c>
      <c r="M623" s="12">
        <v>0</v>
      </c>
      <c r="N623" s="12">
        <v>0</v>
      </c>
      <c r="O623" s="12">
        <v>0</v>
      </c>
      <c r="P623">
        <f t="shared" si="27"/>
        <v>2.266714171188253E-2</v>
      </c>
      <c r="Q623">
        <f t="shared" si="28"/>
        <v>-2.5770585471224995E-2</v>
      </c>
      <c r="R623">
        <f t="shared" si="29"/>
        <v>9.241746885555735E-3</v>
      </c>
    </row>
    <row r="624" spans="1:18" ht="13">
      <c r="A624" s="22" t="s">
        <v>142</v>
      </c>
      <c r="B624" s="9">
        <v>2019</v>
      </c>
      <c r="C624" s="4">
        <v>-0.97508812964283276</v>
      </c>
      <c r="D624" s="10">
        <v>0.6087128399746996</v>
      </c>
      <c r="E624" s="11">
        <v>5.0000000000000001E-3</v>
      </c>
      <c r="F624" s="11">
        <v>0</v>
      </c>
      <c r="G624" s="12">
        <v>-0.1134303183639047</v>
      </c>
      <c r="H624" s="12">
        <v>-8.9605734767025085E-3</v>
      </c>
      <c r="I624" s="12">
        <v>9.0343664347459413E-2</v>
      </c>
      <c r="J624" s="12">
        <v>-5.6715159181952351E-4</v>
      </c>
      <c r="K624" s="12">
        <v>-4.4802867383512545E-5</v>
      </c>
      <c r="L624" s="12">
        <v>4.5171832173729706E-4</v>
      </c>
      <c r="M624" s="12">
        <v>0</v>
      </c>
      <c r="N624" s="12">
        <v>0</v>
      </c>
      <c r="O624" s="12">
        <v>0</v>
      </c>
      <c r="P624">
        <f t="shared" si="27"/>
        <v>-6.9046491230526752E-2</v>
      </c>
      <c r="Q624">
        <f t="shared" si="28"/>
        <v>-5.4544161288055514E-3</v>
      </c>
      <c r="R624">
        <f t="shared" si="29"/>
        <v>5.4993348498663032E-2</v>
      </c>
    </row>
    <row r="625" spans="1:18" ht="13">
      <c r="A625" s="22" t="s">
        <v>142</v>
      </c>
      <c r="B625" s="9">
        <v>2020</v>
      </c>
      <c r="C625" s="4">
        <v>-1.1680617941199334</v>
      </c>
      <c r="D625" s="10">
        <v>0.57017468376215474</v>
      </c>
      <c r="E625" s="11">
        <v>0</v>
      </c>
      <c r="F625" s="11">
        <v>1.4500000000000001E-2</v>
      </c>
      <c r="G625" s="12">
        <v>8.1777242348621756E-2</v>
      </c>
      <c r="H625" s="12">
        <v>-1.1588216734073373E-2</v>
      </c>
      <c r="I625" s="12">
        <v>-2.5671915784642743E-2</v>
      </c>
      <c r="J625" s="12">
        <v>0</v>
      </c>
      <c r="K625" s="12">
        <v>0</v>
      </c>
      <c r="L625" s="12">
        <v>0</v>
      </c>
      <c r="M625" s="12">
        <v>1.1857700140550155E-3</v>
      </c>
      <c r="N625" s="12">
        <v>-1.6802914264406392E-4</v>
      </c>
      <c r="O625" s="12">
        <v>-3.722427788773198E-4</v>
      </c>
      <c r="P625">
        <f t="shared" si="27"/>
        <v>4.6627313295066496E-2</v>
      </c>
      <c r="Q625">
        <f t="shared" si="28"/>
        <v>-6.6073078117175957E-3</v>
      </c>
      <c r="R625">
        <f t="shared" si="29"/>
        <v>-1.4637476464077344E-2</v>
      </c>
    </row>
    <row r="626" spans="1:18" ht="13">
      <c r="A626" s="22" t="s">
        <v>142</v>
      </c>
      <c r="B626" s="9">
        <v>2021</v>
      </c>
      <c r="C626" s="4">
        <v>-1.2502180776784497</v>
      </c>
      <c r="D626" s="10">
        <v>0.56967936361415039</v>
      </c>
      <c r="E626" s="11">
        <v>8.9999999999999998E-4</v>
      </c>
      <c r="F626" s="11">
        <v>1.4500000000000001E-2</v>
      </c>
      <c r="G626" s="12">
        <v>1.0235386745581408E-2</v>
      </c>
      <c r="H626" s="12">
        <v>-1.4090625254527192E-2</v>
      </c>
      <c r="I626" s="12">
        <v>-2.0063529986696711E-2</v>
      </c>
      <c r="J626" s="12">
        <v>9.2118480710232672E-6</v>
      </c>
      <c r="K626" s="12">
        <v>-1.2681562729074472E-5</v>
      </c>
      <c r="L626" s="12">
        <v>-1.8057176988027038E-5</v>
      </c>
      <c r="M626" s="12">
        <v>1.4841310781093042E-4</v>
      </c>
      <c r="N626" s="12">
        <v>-2.0431406619064428E-4</v>
      </c>
      <c r="O626" s="12">
        <v>-2.9092118480710232E-4</v>
      </c>
      <c r="P626">
        <f t="shared" si="27"/>
        <v>5.8308886075675269E-3</v>
      </c>
      <c r="Q626">
        <f t="shared" si="28"/>
        <v>-8.027138427924527E-3</v>
      </c>
      <c r="R626">
        <f t="shared" si="29"/>
        <v>-1.1429778994674806E-2</v>
      </c>
    </row>
    <row r="627" spans="1:18" ht="13">
      <c r="A627" s="21" t="s">
        <v>143</v>
      </c>
      <c r="B627" s="9">
        <v>2017</v>
      </c>
      <c r="C627" s="4">
        <v>-0.6741228305461896</v>
      </c>
      <c r="D627" s="10">
        <v>0.68163605889134526</v>
      </c>
      <c r="E627" s="11">
        <v>0.29310000000000003</v>
      </c>
      <c r="F627" s="11">
        <v>2.0999999999999999E-3</v>
      </c>
      <c r="G627" s="12">
        <v>4.3546740896844446E-2</v>
      </c>
      <c r="H627" s="12">
        <v>4.9331386910949598E-2</v>
      </c>
      <c r="I627" s="12">
        <v>-0.18314734862389365</v>
      </c>
      <c r="J627" s="12">
        <v>1.2763549756865108E-2</v>
      </c>
      <c r="K627" s="12">
        <v>1.4459029503599329E-2</v>
      </c>
      <c r="L627" s="12">
        <v>-5.3680487881663234E-2</v>
      </c>
      <c r="M627" s="12">
        <v>9.144815588337333E-5</v>
      </c>
      <c r="N627" s="12">
        <v>1.0359591251299415E-4</v>
      </c>
      <c r="O627" s="12">
        <v>-3.8460943211017664E-4</v>
      </c>
      <c r="P627">
        <f t="shared" si="27"/>
        <v>2.9683028842487615E-2</v>
      </c>
      <c r="Q627">
        <f t="shared" si="28"/>
        <v>3.3626052153623777E-2</v>
      </c>
      <c r="R627">
        <f t="shared" si="29"/>
        <v>-0.12483983691239012</v>
      </c>
    </row>
    <row r="628" spans="1:18" ht="13">
      <c r="A628" s="22" t="s">
        <v>143</v>
      </c>
      <c r="B628" s="9">
        <v>2018</v>
      </c>
      <c r="C628" s="4">
        <v>-2.0029120236220179</v>
      </c>
      <c r="D628" s="10">
        <v>0.47227619176070834</v>
      </c>
      <c r="E628" s="11">
        <v>0.40210000000000001</v>
      </c>
      <c r="F628" s="11">
        <v>2.5999999999999999E-3</v>
      </c>
      <c r="G628" s="12">
        <v>6.7996663291452084E-2</v>
      </c>
      <c r="H628" s="12">
        <v>-5.9874314420827572E-2</v>
      </c>
      <c r="I628" s="12">
        <v>-5.1983156652024562E-2</v>
      </c>
      <c r="J628" s="12">
        <v>2.7341458309492885E-2</v>
      </c>
      <c r="K628" s="12">
        <v>-2.4075461828614766E-2</v>
      </c>
      <c r="L628" s="12">
        <v>-2.0902427289779077E-2</v>
      </c>
      <c r="M628" s="12">
        <v>1.7679132455777541E-4</v>
      </c>
      <c r="N628" s="12">
        <v>-1.5567321749415167E-4</v>
      </c>
      <c r="O628" s="12">
        <v>-1.3515620729526385E-4</v>
      </c>
      <c r="P628">
        <f t="shared" si="27"/>
        <v>3.2113205191722144E-2</v>
      </c>
      <c r="Q628">
        <f t="shared" si="28"/>
        <v>-2.8277213198951708E-2</v>
      </c>
      <c r="R628">
        <f t="shared" si="29"/>
        <v>-2.4550407259318494E-2</v>
      </c>
    </row>
    <row r="629" spans="1:18" ht="13">
      <c r="A629" s="22" t="s">
        <v>143</v>
      </c>
      <c r="B629" s="9">
        <v>2019</v>
      </c>
      <c r="C629" s="4">
        <v>-1.937344017133106</v>
      </c>
      <c r="D629" s="10">
        <v>0.46670219353578851</v>
      </c>
      <c r="E629" s="11">
        <v>0.38979999999999998</v>
      </c>
      <c r="F629" s="11">
        <v>3.0999999999999999E-3</v>
      </c>
      <c r="G629" s="12">
        <v>5.2459139389859424E-2</v>
      </c>
      <c r="H629" s="12">
        <v>-6.1784274478466759E-2</v>
      </c>
      <c r="I629" s="12">
        <v>3.203482112803805E-2</v>
      </c>
      <c r="J629" s="12">
        <v>2.0448572534167202E-2</v>
      </c>
      <c r="K629" s="12">
        <v>-2.4083510191706341E-2</v>
      </c>
      <c r="L629" s="12">
        <v>1.2487173275709232E-2</v>
      </c>
      <c r="M629" s="12">
        <v>1.6262333210856421E-4</v>
      </c>
      <c r="N629" s="12">
        <v>-1.9153125088324695E-4</v>
      </c>
      <c r="O629" s="12">
        <v>9.9307945496917958E-5</v>
      </c>
      <c r="P629">
        <f t="shared" si="27"/>
        <v>2.448279542424708E-2</v>
      </c>
      <c r="Q629">
        <f t="shared" si="28"/>
        <v>-2.8834856425117673E-2</v>
      </c>
      <c r="R629">
        <f t="shared" si="29"/>
        <v>1.4950721289981981E-2</v>
      </c>
    </row>
    <row r="630" spans="1:18" ht="13">
      <c r="A630" s="22" t="s">
        <v>143</v>
      </c>
      <c r="B630" s="9">
        <v>2020</v>
      </c>
      <c r="C630" s="4">
        <v>0.10996207417294677</v>
      </c>
      <c r="D630" s="10">
        <v>0.783730568802114</v>
      </c>
      <c r="E630" s="11">
        <v>0.33589999999999998</v>
      </c>
      <c r="F630" s="11">
        <v>4.5100000000000001E-3</v>
      </c>
      <c r="G630" s="12">
        <v>1.1675653743294254E-2</v>
      </c>
      <c r="H630" s="12">
        <v>-0.29167352131426749</v>
      </c>
      <c r="I630" s="12">
        <v>0.28798989705586547</v>
      </c>
      <c r="J630" s="12">
        <v>3.9218520923725393E-3</v>
      </c>
      <c r="K630" s="12">
        <v>-9.7973135809462444E-2</v>
      </c>
      <c r="L630" s="12">
        <v>9.6735806421065204E-2</v>
      </c>
      <c r="M630" s="12">
        <v>5.2657198382257088E-5</v>
      </c>
      <c r="N630" s="12">
        <v>-1.3154475811273465E-3</v>
      </c>
      <c r="O630" s="12">
        <v>1.2988344357219533E-3</v>
      </c>
      <c r="P630">
        <f t="shared" si="27"/>
        <v>9.1505667493685366E-3</v>
      </c>
      <c r="Q630">
        <f t="shared" si="28"/>
        <v>-0.22859345476414639</v>
      </c>
      <c r="R630">
        <f t="shared" si="29"/>
        <v>0.22570648582885569</v>
      </c>
    </row>
    <row r="631" spans="1:18" ht="13">
      <c r="A631" s="22" t="s">
        <v>143</v>
      </c>
      <c r="B631" s="9">
        <v>2021</v>
      </c>
      <c r="C631" s="4">
        <v>-0.87935740511440108</v>
      </c>
      <c r="D631" s="10">
        <v>0.66424391366182567</v>
      </c>
      <c r="E631" s="11">
        <v>0.31680000000000003</v>
      </c>
      <c r="F631" s="11">
        <v>4.8999999999999998E-3</v>
      </c>
      <c r="G631" s="12">
        <v>9.0719210122459162E-3</v>
      </c>
      <c r="H631" s="12">
        <v>5.0329489703154338E-2</v>
      </c>
      <c r="I631" s="12">
        <v>5.6273255070226867E-2</v>
      </c>
      <c r="J631" s="12">
        <v>2.8739845766795067E-3</v>
      </c>
      <c r="K631" s="12">
        <v>1.5944382337959296E-2</v>
      </c>
      <c r="L631" s="12">
        <v>1.7827367206247873E-2</v>
      </c>
      <c r="M631" s="12">
        <v>4.4452412960004985E-5</v>
      </c>
      <c r="N631" s="12">
        <v>2.4661449954545625E-4</v>
      </c>
      <c r="O631" s="12">
        <v>2.7573894984411166E-4</v>
      </c>
      <c r="P631">
        <f t="shared" si="27"/>
        <v>6.0259683176051787E-3</v>
      </c>
      <c r="Q631">
        <f t="shared" si="28"/>
        <v>3.3431057213025792E-2</v>
      </c>
      <c r="R631">
        <f t="shared" si="29"/>
        <v>3.7379167182337671E-2</v>
      </c>
    </row>
    <row r="632" spans="1:18" ht="13">
      <c r="A632" s="21" t="s">
        <v>144</v>
      </c>
      <c r="B632" s="9">
        <v>2017</v>
      </c>
      <c r="C632" s="4">
        <v>-2.0860823921511753</v>
      </c>
      <c r="D632" s="10">
        <v>0.44919074547769539</v>
      </c>
      <c r="E632" s="11">
        <v>0.14000000000000001</v>
      </c>
      <c r="F632" s="11">
        <v>0.29850100000000002</v>
      </c>
      <c r="G632" s="12">
        <v>4.8176739811193071E-3</v>
      </c>
      <c r="H632" s="12">
        <v>-0.13675311714977231</v>
      </c>
      <c r="I632" s="12">
        <v>9.5080237213090307E-2</v>
      </c>
      <c r="J632" s="12">
        <v>6.7447435735670303E-4</v>
      </c>
      <c r="K632" s="12">
        <v>-1.9145436400968125E-2</v>
      </c>
      <c r="L632" s="12">
        <v>1.3311233209832645E-2</v>
      </c>
      <c r="M632" s="12">
        <v>1.4380805010380943E-3</v>
      </c>
      <c r="N632" s="12">
        <v>-4.0820942222324186E-2</v>
      </c>
      <c r="O632" s="12">
        <v>2.838154588834467E-2</v>
      </c>
      <c r="P632">
        <f t="shared" si="27"/>
        <v>2.1640545670474783E-3</v>
      </c>
      <c r="Q632">
        <f t="shared" si="28"/>
        <v>-6.1428234638904837E-2</v>
      </c>
      <c r="R632">
        <f t="shared" si="29"/>
        <v>4.2709162633944149E-2</v>
      </c>
    </row>
    <row r="633" spans="1:18" ht="13">
      <c r="A633" s="22" t="s">
        <v>144</v>
      </c>
      <c r="B633" s="9">
        <v>2018</v>
      </c>
      <c r="C633" s="4">
        <v>-1.4560393606567907</v>
      </c>
      <c r="D633" s="10">
        <v>0.53036172651240332</v>
      </c>
      <c r="E633" s="11">
        <v>5.8200000000000002E-2</v>
      </c>
      <c r="F633" s="11">
        <v>0.30719999999999997</v>
      </c>
      <c r="G633" s="12">
        <v>5.8128190799132388E-2</v>
      </c>
      <c r="H633" s="12">
        <v>-0.12290555708156131</v>
      </c>
      <c r="I633" s="12">
        <v>6.7533648427214266E-2</v>
      </c>
      <c r="J633" s="12">
        <v>3.3830607045095052E-3</v>
      </c>
      <c r="K633" s="12">
        <v>-7.1531034221468687E-3</v>
      </c>
      <c r="L633" s="12">
        <v>3.9304583384638702E-3</v>
      </c>
      <c r="M633" s="12">
        <v>1.7856980213493467E-2</v>
      </c>
      <c r="N633" s="12">
        <v>-3.7756587135455634E-2</v>
      </c>
      <c r="O633" s="12">
        <v>2.0746336796840219E-2</v>
      </c>
      <c r="P633">
        <f t="shared" si="27"/>
        <v>3.082896763127025E-2</v>
      </c>
      <c r="Q633">
        <f t="shared" si="28"/>
        <v>-6.5184403451745601E-2</v>
      </c>
      <c r="R633">
        <f t="shared" si="29"/>
        <v>3.5817262377539009E-2</v>
      </c>
    </row>
    <row r="634" spans="1:18" ht="13">
      <c r="A634" s="22" t="s">
        <v>144</v>
      </c>
      <c r="B634" s="9">
        <v>2019</v>
      </c>
      <c r="C634" s="4">
        <v>-1.8338644310526373</v>
      </c>
      <c r="D634" s="10">
        <v>0.46364615856487851</v>
      </c>
      <c r="E634" s="11">
        <v>0.27500000000000002</v>
      </c>
      <c r="F634" s="11">
        <v>0.53239999999999998</v>
      </c>
      <c r="G634" s="12">
        <v>-0.22760768522960531</v>
      </c>
      <c r="H634" s="12">
        <v>-1.8458078063435388E-2</v>
      </c>
      <c r="I634" s="12">
        <v>0.25220010538485133</v>
      </c>
      <c r="J634" s="12">
        <v>-6.2592113438141472E-2</v>
      </c>
      <c r="K634" s="12">
        <v>-5.0759714674447325E-3</v>
      </c>
      <c r="L634" s="12">
        <v>6.9355028980834121E-2</v>
      </c>
      <c r="M634" s="12">
        <v>-0.12117833161624186</v>
      </c>
      <c r="N634" s="12">
        <v>-9.8270807609730001E-3</v>
      </c>
      <c r="O634" s="12">
        <v>0.13427133610689485</v>
      </c>
      <c r="P634">
        <f t="shared" si="27"/>
        <v>-0.10552942891655054</v>
      </c>
      <c r="Q634">
        <f t="shared" si="28"/>
        <v>-8.5580169886024689E-3</v>
      </c>
      <c r="R634">
        <f t="shared" si="29"/>
        <v>0.11693161005134385</v>
      </c>
    </row>
    <row r="635" spans="1:18" ht="13">
      <c r="A635" s="22" t="s">
        <v>144</v>
      </c>
      <c r="B635" s="9">
        <v>2020</v>
      </c>
      <c r="C635" s="4">
        <v>-1.5778067617213563</v>
      </c>
      <c r="D635" s="10">
        <v>0.51029099114374776</v>
      </c>
      <c r="E635" s="11">
        <v>0.2586</v>
      </c>
      <c r="F635" s="11">
        <v>0.4884</v>
      </c>
      <c r="G635" s="12">
        <v>2.5499223936662797E-2</v>
      </c>
      <c r="H635" s="12">
        <v>-5.5687435599786089E-2</v>
      </c>
      <c r="I635" s="12">
        <v>3.86336068032712E-2</v>
      </c>
      <c r="J635" s="12">
        <v>6.5940993100209993E-3</v>
      </c>
      <c r="K635" s="12">
        <v>-1.4400770846104683E-2</v>
      </c>
      <c r="L635" s="12">
        <v>9.9906507193259324E-3</v>
      </c>
      <c r="M635" s="12">
        <v>1.2453820970666111E-2</v>
      </c>
      <c r="N635" s="12">
        <v>-2.7197743546935525E-2</v>
      </c>
      <c r="O635" s="12">
        <v>1.8868653562717653E-2</v>
      </c>
      <c r="P635">
        <f t="shared" si="27"/>
        <v>1.3012024256036037E-2</v>
      </c>
      <c r="Q635">
        <f t="shared" si="28"/>
        <v>-2.8416796706468468E-2</v>
      </c>
      <c r="R635">
        <f t="shared" si="29"/>
        <v>1.9714381507099098E-2</v>
      </c>
    </row>
    <row r="636" spans="1:18" ht="13">
      <c r="A636" s="22" t="s">
        <v>144</v>
      </c>
      <c r="B636" s="9">
        <v>2021</v>
      </c>
      <c r="C636" s="4">
        <v>-1.6993085115913793</v>
      </c>
      <c r="D636" s="10">
        <v>0.49433515108279025</v>
      </c>
      <c r="E636" s="11">
        <v>0.25</v>
      </c>
      <c r="F636" s="11">
        <v>1.9099999999999999E-2</v>
      </c>
      <c r="G636" s="12">
        <v>6.5227379901575525E-2</v>
      </c>
      <c r="H636" s="12">
        <v>-8.4761133211612633E-2</v>
      </c>
      <c r="I636" s="12">
        <v>3.4557392113949918E-2</v>
      </c>
      <c r="J636" s="12">
        <v>1.6306844975393881E-2</v>
      </c>
      <c r="K636" s="12">
        <v>-2.1190283302903158E-2</v>
      </c>
      <c r="L636" s="12">
        <v>8.6393480284874796E-3</v>
      </c>
      <c r="M636" s="12">
        <v>1.2458429561200924E-3</v>
      </c>
      <c r="N636" s="12">
        <v>-1.6189376443418012E-3</v>
      </c>
      <c r="O636" s="12">
        <v>6.6004618937644342E-4</v>
      </c>
      <c r="P636">
        <f t="shared" si="27"/>
        <v>3.224418669837989E-2</v>
      </c>
      <c r="Q636">
        <f t="shared" si="28"/>
        <v>-4.1900407592111041E-2</v>
      </c>
      <c r="R636">
        <f t="shared" si="29"/>
        <v>1.7082933651676659E-2</v>
      </c>
    </row>
    <row r="637" spans="1:18" ht="13">
      <c r="A637" s="21" t="s">
        <v>145</v>
      </c>
      <c r="B637" s="9">
        <v>2017</v>
      </c>
      <c r="C637" s="4">
        <v>-0.87537803451866691</v>
      </c>
      <c r="D637" s="10">
        <v>0.6138132471469151</v>
      </c>
      <c r="E637" s="11">
        <v>0.35210000000000002</v>
      </c>
      <c r="F637" s="11">
        <v>3.2500000000000001E-2</v>
      </c>
      <c r="G637" s="12">
        <v>2.9625912134017208E-2</v>
      </c>
      <c r="H637" s="12">
        <v>2.9348884360979231E-2</v>
      </c>
      <c r="I637" s="12">
        <v>-3.2058938662437642E-2</v>
      </c>
      <c r="J637" s="12">
        <v>1.043128366238746E-2</v>
      </c>
      <c r="K637" s="12">
        <v>1.0333742183500787E-2</v>
      </c>
      <c r="L637" s="12">
        <v>-1.1287952303044295E-2</v>
      </c>
      <c r="M637" s="12">
        <v>9.6284214435555929E-4</v>
      </c>
      <c r="N637" s="12">
        <v>9.5383874173182509E-4</v>
      </c>
      <c r="O637" s="12">
        <v>-1.0419155065292233E-3</v>
      </c>
      <c r="P637">
        <f t="shared" si="27"/>
        <v>1.8184777326670294E-2</v>
      </c>
      <c r="Q637">
        <f t="shared" si="28"/>
        <v>1.8014734009751978E-2</v>
      </c>
      <c r="R637">
        <f t="shared" si="29"/>
        <v>-1.9678201240474629E-2</v>
      </c>
    </row>
    <row r="638" spans="1:18" ht="13">
      <c r="A638" s="22" t="s">
        <v>145</v>
      </c>
      <c r="B638" s="9">
        <v>2018</v>
      </c>
      <c r="C638" s="4">
        <v>-1.0493059865100183</v>
      </c>
      <c r="D638" s="10">
        <v>0.59547108916964753</v>
      </c>
      <c r="E638" s="11">
        <v>0.34389999999999998</v>
      </c>
      <c r="F638" s="11">
        <v>3.2399999999999998E-2</v>
      </c>
      <c r="G638" s="12">
        <v>4.6713306386229239E-2</v>
      </c>
      <c r="H638" s="12">
        <v>3.3797842017555344E-3</v>
      </c>
      <c r="I638" s="12">
        <v>-7.2663406705257422E-2</v>
      </c>
      <c r="J638" s="12">
        <v>1.6064706066224236E-2</v>
      </c>
      <c r="K638" s="12">
        <v>1.1623077869837282E-3</v>
      </c>
      <c r="L638" s="12">
        <v>-2.4988945565938028E-2</v>
      </c>
      <c r="M638" s="12">
        <v>1.5135111269138273E-3</v>
      </c>
      <c r="N638" s="12">
        <v>1.095050081368793E-4</v>
      </c>
      <c r="O638" s="12">
        <v>-2.3542943772503402E-3</v>
      </c>
      <c r="P638">
        <f t="shared" si="27"/>
        <v>2.7816423432523378E-2</v>
      </c>
      <c r="Q638">
        <f t="shared" si="28"/>
        <v>2.0125637797777356E-3</v>
      </c>
      <c r="R638">
        <f t="shared" si="29"/>
        <v>-4.3268957933556708E-2</v>
      </c>
    </row>
    <row r="639" spans="1:18" ht="13">
      <c r="A639" s="22" t="s">
        <v>145</v>
      </c>
      <c r="B639" s="9">
        <v>2019</v>
      </c>
      <c r="C639" s="4">
        <v>-1.0556777577748118</v>
      </c>
      <c r="D639" s="10">
        <v>0.61864702707850538</v>
      </c>
      <c r="E639" s="11">
        <v>0.11799999999999999</v>
      </c>
      <c r="F639" s="11">
        <v>1.6000000000000001E-3</v>
      </c>
      <c r="G639" s="12">
        <v>4.1831123526942703E-2</v>
      </c>
      <c r="H639" s="12">
        <v>-7.9274379296600823E-3</v>
      </c>
      <c r="I639" s="12">
        <v>-3.2337597748219635E-2</v>
      </c>
      <c r="J639" s="12">
        <v>4.9360725761792386E-3</v>
      </c>
      <c r="K639" s="12">
        <v>-9.3543767569988971E-4</v>
      </c>
      <c r="L639" s="12">
        <v>-3.8158365342899165E-3</v>
      </c>
      <c r="M639" s="12">
        <v>6.6929797643108324E-5</v>
      </c>
      <c r="N639" s="12">
        <v>-1.2683900687456132E-5</v>
      </c>
      <c r="O639" s="12">
        <v>-5.1740156397151417E-5</v>
      </c>
      <c r="P639">
        <f t="shared" si="27"/>
        <v>2.5878700209296827E-2</v>
      </c>
      <c r="Q639">
        <f t="shared" si="28"/>
        <v>-4.9042859075335912E-3</v>
      </c>
      <c r="R639">
        <f t="shared" si="29"/>
        <v>-2.0005558709796648E-2</v>
      </c>
    </row>
    <row r="640" spans="1:18" ht="13">
      <c r="A640" s="22" t="s">
        <v>145</v>
      </c>
      <c r="B640" s="9">
        <v>2020</v>
      </c>
      <c r="C640" s="4">
        <v>-1.4286909529377285</v>
      </c>
      <c r="D640" s="10">
        <v>0.5681312046075131</v>
      </c>
      <c r="E640" s="11">
        <v>1.0500000000000001E-2</v>
      </c>
      <c r="F640" s="11">
        <v>5.0000000000000001E-4</v>
      </c>
      <c r="G640" s="12">
        <v>7.49234240510816E-2</v>
      </c>
      <c r="H640" s="12">
        <v>-6.0258488135311473E-3</v>
      </c>
      <c r="I640" s="12">
        <v>-8.6493542685744038E-2</v>
      </c>
      <c r="J640" s="12">
        <v>7.8669595253635688E-4</v>
      </c>
      <c r="K640" s="12">
        <v>-6.3271412542077049E-5</v>
      </c>
      <c r="L640" s="12">
        <v>-9.081821982003125E-4</v>
      </c>
      <c r="M640" s="12">
        <v>3.7461712025540802E-5</v>
      </c>
      <c r="N640" s="12">
        <v>-3.0129244067655736E-6</v>
      </c>
      <c r="O640" s="12">
        <v>-4.324677134287202E-5</v>
      </c>
      <c r="P640">
        <f t="shared" si="27"/>
        <v>4.2566335159460511E-2</v>
      </c>
      <c r="Q640">
        <f t="shared" si="28"/>
        <v>-3.4234727452142045E-3</v>
      </c>
      <c r="R640">
        <f t="shared" si="29"/>
        <v>-4.9139680596823117E-2</v>
      </c>
    </row>
    <row r="641" spans="1:18" ht="13">
      <c r="A641" s="22" t="s">
        <v>145</v>
      </c>
      <c r="B641" s="9">
        <v>2021</v>
      </c>
      <c r="C641" s="4">
        <v>-1.3106120397972869</v>
      </c>
      <c r="D641" s="10">
        <v>0.58153944645776412</v>
      </c>
      <c r="E641" s="11">
        <v>1.3100000000000001E-2</v>
      </c>
      <c r="F641" s="11">
        <v>0</v>
      </c>
      <c r="G641" s="12">
        <v>-2.3591279594846415E-2</v>
      </c>
      <c r="H641" s="12">
        <v>-0.10914910886787924</v>
      </c>
      <c r="I641" s="12">
        <v>0.12420975615332733</v>
      </c>
      <c r="J641" s="12">
        <v>-3.0904576269248803E-4</v>
      </c>
      <c r="K641" s="12">
        <v>-1.429853326169218E-3</v>
      </c>
      <c r="L641" s="12">
        <v>1.6271478056085881E-3</v>
      </c>
      <c r="M641" s="12">
        <v>0</v>
      </c>
      <c r="N641" s="12">
        <v>0</v>
      </c>
      <c r="O641" s="12">
        <v>0</v>
      </c>
      <c r="P641">
        <f t="shared" si="27"/>
        <v>-1.3719259676817331E-2</v>
      </c>
      <c r="Q641">
        <f t="shared" si="28"/>
        <v>-6.3474512352384729E-2</v>
      </c>
      <c r="R641">
        <f t="shared" si="29"/>
        <v>7.2232872838059833E-2</v>
      </c>
    </row>
    <row r="642" spans="1:18" ht="13">
      <c r="A642" s="21" t="s">
        <v>146</v>
      </c>
      <c r="B642" s="9">
        <v>2017</v>
      </c>
      <c r="C642" s="4">
        <v>-0.56465588021529811</v>
      </c>
      <c r="D642" s="10">
        <v>0.71099666321029631</v>
      </c>
      <c r="E642" s="11">
        <v>0.38629999999999998</v>
      </c>
      <c r="F642" s="11">
        <v>1.77E-2</v>
      </c>
      <c r="G642" s="12">
        <v>-0.14312911263016673</v>
      </c>
      <c r="H642" s="12">
        <v>-0.14157325457395731</v>
      </c>
      <c r="I642" s="12">
        <v>0.27673928320449753</v>
      </c>
      <c r="J642" s="12">
        <v>-5.5290776209033402E-2</v>
      </c>
      <c r="K642" s="12">
        <v>-5.4689748241919703E-2</v>
      </c>
      <c r="L642" s="12">
        <v>0.10690438510189738</v>
      </c>
      <c r="M642" s="12">
        <v>-2.5333852935539511E-3</v>
      </c>
      <c r="N642" s="12">
        <v>-2.5058466059590446E-3</v>
      </c>
      <c r="O642" s="12">
        <v>4.8982853127196068E-3</v>
      </c>
      <c r="P642">
        <f t="shared" si="27"/>
        <v>-0.10176432148829923</v>
      </c>
      <c r="Q642">
        <f t="shared" si="28"/>
        <v>-0.10065811160190546</v>
      </c>
      <c r="R642">
        <f t="shared" si="29"/>
        <v>0.19676070693760694</v>
      </c>
    </row>
    <row r="643" spans="1:18" ht="13">
      <c r="A643" s="22" t="s">
        <v>146</v>
      </c>
      <c r="B643" s="9">
        <v>2018</v>
      </c>
      <c r="C643" s="4">
        <v>-0.72110649012115935</v>
      </c>
      <c r="D643" s="10">
        <v>0.63418213695607739</v>
      </c>
      <c r="E643" s="11">
        <v>0.40820000000000001</v>
      </c>
      <c r="F643" s="11">
        <v>1.54E-2</v>
      </c>
      <c r="G643" s="12">
        <v>0.28759471166039974</v>
      </c>
      <c r="H643" s="12">
        <v>-2.395586319659395E-2</v>
      </c>
      <c r="I643" s="12">
        <v>-0.21824743105779101</v>
      </c>
      <c r="J643" s="12">
        <v>0.11739616129977518</v>
      </c>
      <c r="K643" s="12">
        <v>-9.7787833568496515E-3</v>
      </c>
      <c r="L643" s="12">
        <v>-8.9088601357790287E-2</v>
      </c>
      <c r="M643" s="12">
        <v>4.428958559570156E-3</v>
      </c>
      <c r="N643" s="12">
        <v>-3.6892029322754686E-4</v>
      </c>
      <c r="O643" s="12">
        <v>-3.3610104382899818E-3</v>
      </c>
      <c r="P643">
        <f t="shared" ref="P643:P706" si="30">G643*D643</f>
        <v>0.18238742881805922</v>
      </c>
      <c r="Q643">
        <f t="shared" ref="Q643:Q706" si="31">H643*D643</f>
        <v>-1.5192380514643399E-2</v>
      </c>
      <c r="R643">
        <f t="shared" ref="R643:R706" si="32">I643*D643</f>
        <v>-0.13840862221340408</v>
      </c>
    </row>
    <row r="644" spans="1:18" ht="13">
      <c r="A644" s="22" t="s">
        <v>146</v>
      </c>
      <c r="B644" s="9">
        <v>2019</v>
      </c>
      <c r="C644" s="4">
        <v>-0.76282594651808577</v>
      </c>
      <c r="D644" s="10">
        <v>0.6259070775610216</v>
      </c>
      <c r="E644" s="11">
        <v>0.4163</v>
      </c>
      <c r="F644" s="11">
        <v>0.12</v>
      </c>
      <c r="G644" s="12">
        <v>0.14644435516271595</v>
      </c>
      <c r="H644" s="12">
        <v>-2.84845914616907E-2</v>
      </c>
      <c r="I644" s="12">
        <v>-0.16569572786929157</v>
      </c>
      <c r="J644" s="12">
        <v>6.0964785054238649E-2</v>
      </c>
      <c r="K644" s="12">
        <v>-1.1858135425501839E-2</v>
      </c>
      <c r="L644" s="12">
        <v>-6.8979131511986078E-2</v>
      </c>
      <c r="M644" s="12">
        <v>1.7573322619525912E-2</v>
      </c>
      <c r="N644" s="12">
        <v>-3.4181509754028839E-3</v>
      </c>
      <c r="O644" s="12">
        <v>-1.9883487344314988E-2</v>
      </c>
      <c r="P644">
        <f t="shared" si="30"/>
        <v>9.1660558365203842E-2</v>
      </c>
      <c r="Q644">
        <f t="shared" si="31"/>
        <v>-1.7828707397306454E-2</v>
      </c>
      <c r="R644">
        <f t="shared" si="32"/>
        <v>-0.10371012879501461</v>
      </c>
    </row>
    <row r="645" spans="1:18" ht="13">
      <c r="A645" s="22" t="s">
        <v>146</v>
      </c>
      <c r="B645" s="9">
        <v>2020</v>
      </c>
      <c r="C645" s="4">
        <v>-1.111186783699661</v>
      </c>
      <c r="D645" s="10">
        <v>0.59023790784339736</v>
      </c>
      <c r="E645" s="11">
        <v>0.15210000000000001</v>
      </c>
      <c r="F645" s="11">
        <v>0.1235</v>
      </c>
      <c r="G645" s="12">
        <v>2.0069328063953913E-3</v>
      </c>
      <c r="H645" s="12">
        <v>4.453638950469465E-2</v>
      </c>
      <c r="I645" s="12">
        <v>-2.8107364464407855E-2</v>
      </c>
      <c r="J645" s="12">
        <v>3.0525447985273906E-4</v>
      </c>
      <c r="K645" s="12">
        <v>6.7739848436640564E-3</v>
      </c>
      <c r="L645" s="12">
        <v>-4.2751301350364354E-3</v>
      </c>
      <c r="M645" s="12">
        <v>2.4785620158983084E-4</v>
      </c>
      <c r="N645" s="12">
        <v>5.500244103829789E-3</v>
      </c>
      <c r="O645" s="12">
        <v>-3.4712595113543703E-3</v>
      </c>
      <c r="P645">
        <f t="shared" si="30"/>
        <v>1.1845678208290938E-3</v>
      </c>
      <c r="Q645">
        <f t="shared" si="31"/>
        <v>2.6287065364149612E-2</v>
      </c>
      <c r="R645">
        <f t="shared" si="32"/>
        <v>-1.6590031996463944E-2</v>
      </c>
    </row>
    <row r="646" spans="1:18" ht="13">
      <c r="A646" s="22" t="s">
        <v>146</v>
      </c>
      <c r="B646" s="9">
        <v>2021</v>
      </c>
      <c r="C646" s="4">
        <v>-1.3740340660175931</v>
      </c>
      <c r="D646" s="10">
        <v>0.62831278510344246</v>
      </c>
      <c r="E646" s="11">
        <v>8.5900000000000004E-2</v>
      </c>
      <c r="F646" s="11">
        <v>4.0070000000000001E-2</v>
      </c>
      <c r="G646" s="12">
        <v>-2.0020236499475253E-2</v>
      </c>
      <c r="H646" s="12">
        <v>-2.0050760102663219E-2</v>
      </c>
      <c r="I646" s="12">
        <v>7.4684762617288569E-2</v>
      </c>
      <c r="J646" s="12">
        <v>-1.7197383153049243E-3</v>
      </c>
      <c r="K646" s="12">
        <v>-1.7223602928187706E-3</v>
      </c>
      <c r="L646" s="12">
        <v>6.415421108825088E-3</v>
      </c>
      <c r="M646" s="12">
        <v>-8.0221087653397347E-4</v>
      </c>
      <c r="N646" s="12">
        <v>-8.0343395731371527E-4</v>
      </c>
      <c r="O646" s="12">
        <v>2.992618438074753E-3</v>
      </c>
      <c r="P646">
        <f t="shared" si="30"/>
        <v>-1.257897055341489E-2</v>
      </c>
      <c r="Q646">
        <f t="shared" si="31"/>
        <v>-1.2598148923545313E-2</v>
      </c>
      <c r="R646">
        <f t="shared" si="32"/>
        <v>4.6925391204858044E-2</v>
      </c>
    </row>
    <row r="647" spans="1:18" ht="13">
      <c r="A647" s="21" t="s">
        <v>147</v>
      </c>
      <c r="B647" s="9">
        <v>2017</v>
      </c>
      <c r="C647" s="4">
        <v>-1.7232720602830467</v>
      </c>
      <c r="D647" s="10">
        <v>0.52912047255548034</v>
      </c>
      <c r="E647" s="11">
        <v>0.43819999999999998</v>
      </c>
      <c r="F647" s="11">
        <v>2.0000000000000002E-5</v>
      </c>
      <c r="G647" s="12">
        <v>0.28598460653052449</v>
      </c>
      <c r="H647" s="12">
        <v>-9.9480770811856897E-2</v>
      </c>
      <c r="I647" s="12">
        <v>-4.0976732713968594E-2</v>
      </c>
      <c r="J647" s="12">
        <v>0.12531845458167581</v>
      </c>
      <c r="K647" s="12">
        <v>-4.3592473769755689E-2</v>
      </c>
      <c r="L647" s="12">
        <v>-1.7956004275261037E-2</v>
      </c>
      <c r="M647" s="12">
        <v>5.7196921306104902E-6</v>
      </c>
      <c r="N647" s="12">
        <v>-1.9896154162371383E-6</v>
      </c>
      <c r="O647" s="12">
        <v>-8.1953465427937198E-7</v>
      </c>
      <c r="P647">
        <f t="shared" si="30"/>
        <v>0.15132031015102423</v>
      </c>
      <c r="Q647">
        <f t="shared" si="31"/>
        <v>-5.2637312462153155E-2</v>
      </c>
      <c r="R647">
        <f t="shared" si="32"/>
        <v>-2.1681628177394673E-2</v>
      </c>
    </row>
    <row r="648" spans="1:18" ht="13">
      <c r="A648" s="22" t="s">
        <v>147</v>
      </c>
      <c r="B648" s="9">
        <v>2018</v>
      </c>
      <c r="C648" s="4">
        <v>-2.1739138522637393</v>
      </c>
      <c r="D648" s="10">
        <v>0.44805940842245989</v>
      </c>
      <c r="E648" s="11">
        <v>0.38600000000000001</v>
      </c>
      <c r="F648" s="11">
        <v>2.0000000000000002E-5</v>
      </c>
      <c r="G648" s="12">
        <v>0.10355322526737969</v>
      </c>
      <c r="H648" s="12">
        <v>-0.19108978108288771</v>
      </c>
      <c r="I648" s="12">
        <v>8.7754846256684504E-2</v>
      </c>
      <c r="J648" s="12">
        <v>3.9971544953208558E-2</v>
      </c>
      <c r="K648" s="12">
        <v>-7.3760655497994654E-2</v>
      </c>
      <c r="L648" s="12">
        <v>3.3873370655080219E-2</v>
      </c>
      <c r="M648" s="12">
        <v>2.0710645053475938E-6</v>
      </c>
      <c r="N648" s="12">
        <v>-3.8217956216577546E-6</v>
      </c>
      <c r="O648" s="12">
        <v>1.7550969251336903E-6</v>
      </c>
      <c r="P648">
        <f t="shared" si="30"/>
        <v>4.6397996853539868E-2</v>
      </c>
      <c r="Q648">
        <f t="shared" si="31"/>
        <v>-8.5619574267576035E-2</v>
      </c>
      <c r="R648">
        <f t="shared" si="32"/>
        <v>3.9319384499973978E-2</v>
      </c>
    </row>
    <row r="649" spans="1:18" ht="13">
      <c r="A649" s="22" t="s">
        <v>147</v>
      </c>
      <c r="B649" s="9">
        <v>2019</v>
      </c>
      <c r="C649" s="4">
        <v>-2.2670172611131516</v>
      </c>
      <c r="D649" s="10">
        <v>0.43142807621517576</v>
      </c>
      <c r="E649" s="11">
        <v>0.3901</v>
      </c>
      <c r="F649" s="11">
        <v>6.4799999999999996E-3</v>
      </c>
      <c r="G649" s="12">
        <v>2.9830187658365117E-2</v>
      </c>
      <c r="H649" s="12">
        <v>-3.4612665174301359E-2</v>
      </c>
      <c r="I649" s="12">
        <v>-1.2047441443308613E-2</v>
      </c>
      <c r="J649" s="12">
        <v>1.1636756205528231E-2</v>
      </c>
      <c r="K649" s="12">
        <v>-1.350240068449496E-2</v>
      </c>
      <c r="L649" s="12">
        <v>-4.6997069070346901E-3</v>
      </c>
      <c r="M649" s="12">
        <v>1.9329961602620595E-4</v>
      </c>
      <c r="N649" s="12">
        <v>-2.242900703294728E-4</v>
      </c>
      <c r="O649" s="12">
        <v>-7.8067420552639801E-5</v>
      </c>
      <c r="P649">
        <f t="shared" si="30"/>
        <v>1.2869580474586141E-2</v>
      </c>
      <c r="Q649">
        <f t="shared" si="31"/>
        <v>-1.4932875548828847E-2</v>
      </c>
      <c r="R649">
        <f t="shared" si="32"/>
        <v>-5.1976044852016156E-3</v>
      </c>
    </row>
    <row r="650" spans="1:18" ht="13">
      <c r="A650" s="22" t="s">
        <v>147</v>
      </c>
      <c r="B650" s="9">
        <v>2020</v>
      </c>
      <c r="C650" s="4">
        <v>-1.696896641839057</v>
      </c>
      <c r="D650" s="10">
        <v>0.50740432069581487</v>
      </c>
      <c r="E650" s="11">
        <v>0.47670000000000001</v>
      </c>
      <c r="F650" s="11">
        <v>1.0120000000000001E-2</v>
      </c>
      <c r="G650" s="12">
        <v>-8.1428836352894704E-2</v>
      </c>
      <c r="H650" s="12">
        <v>-7.6417368689945031E-2</v>
      </c>
      <c r="I650" s="12">
        <v>9.7192566579513903E-2</v>
      </c>
      <c r="J650" s="12">
        <v>-3.8817126289424908E-2</v>
      </c>
      <c r="K650" s="12">
        <v>-3.6428159654496799E-2</v>
      </c>
      <c r="L650" s="12">
        <v>4.6331696488454276E-2</v>
      </c>
      <c r="M650" s="12">
        <v>-8.2405982389129441E-4</v>
      </c>
      <c r="N650" s="12">
        <v>-7.7334377114224371E-4</v>
      </c>
      <c r="O650" s="12">
        <v>9.8358877378468073E-4</v>
      </c>
      <c r="P650">
        <f t="shared" si="30"/>
        <v>-4.131734339469121E-2</v>
      </c>
      <c r="Q650">
        <f t="shared" si="31"/>
        <v>-3.877450304948319E-2</v>
      </c>
      <c r="R650">
        <f t="shared" si="32"/>
        <v>4.9315928221961014E-2</v>
      </c>
    </row>
    <row r="651" spans="1:18" ht="13">
      <c r="A651" s="22" t="s">
        <v>147</v>
      </c>
      <c r="B651" s="9">
        <v>2021</v>
      </c>
      <c r="C651" s="4">
        <v>-2.160232531027638</v>
      </c>
      <c r="D651" s="10">
        <v>0.42722177152331897</v>
      </c>
      <c r="E651" s="11">
        <v>0.32</v>
      </c>
      <c r="F651" s="11">
        <v>8.7600000000000004E-3</v>
      </c>
      <c r="G651" s="12">
        <v>5.4854761102294723E-2</v>
      </c>
      <c r="H651" s="12">
        <v>-8.491957706189103E-2</v>
      </c>
      <c r="I651" s="12">
        <v>0.11637530252811036</v>
      </c>
      <c r="J651" s="12">
        <v>1.7553523552734311E-2</v>
      </c>
      <c r="K651" s="12">
        <v>-2.7174264659805131E-2</v>
      </c>
      <c r="L651" s="12">
        <v>3.7240096808995315E-2</v>
      </c>
      <c r="M651" s="12">
        <v>4.8052770725610179E-4</v>
      </c>
      <c r="N651" s="12">
        <v>-7.4389549506216548E-4</v>
      </c>
      <c r="O651" s="12">
        <v>1.0194476501462469E-3</v>
      </c>
      <c r="P651">
        <f t="shared" si="30"/>
        <v>2.3435148214610801E-2</v>
      </c>
      <c r="Q651">
        <f t="shared" si="31"/>
        <v>-3.6279492149392085E-2</v>
      </c>
      <c r="R651">
        <f t="shared" si="32"/>
        <v>4.9718062907621492E-2</v>
      </c>
    </row>
    <row r="652" spans="1:18" ht="13">
      <c r="A652" s="21" t="s">
        <v>148</v>
      </c>
      <c r="B652" s="9">
        <v>2017</v>
      </c>
      <c r="C652" s="4">
        <v>-4.8191010849266158</v>
      </c>
      <c r="D652" s="10">
        <v>0.17631250768447121</v>
      </c>
      <c r="E652" s="11">
        <v>0.2127</v>
      </c>
      <c r="F652" s="11">
        <v>2.3999999999999998E-3</v>
      </c>
      <c r="G652" s="12">
        <v>0.21035251962833507</v>
      </c>
      <c r="H652" s="12">
        <v>3.4443995573744571E-2</v>
      </c>
      <c r="I652" s="12">
        <v>-0.20111358965801907</v>
      </c>
      <c r="J652" s="12">
        <v>4.474198092494687E-2</v>
      </c>
      <c r="K652" s="12">
        <v>7.3262378585354703E-3</v>
      </c>
      <c r="L652" s="12">
        <v>-4.2776860520260654E-2</v>
      </c>
      <c r="M652" s="12">
        <v>5.0484604710800411E-4</v>
      </c>
      <c r="N652" s="12">
        <v>8.2665589376986962E-5</v>
      </c>
      <c r="O652" s="12">
        <v>-4.8267261517924572E-4</v>
      </c>
      <c r="P652">
        <f t="shared" si="30"/>
        <v>3.7087780233418709E-2</v>
      </c>
      <c r="Q652">
        <f t="shared" si="31"/>
        <v>6.0729072342797317E-3</v>
      </c>
      <c r="R652">
        <f t="shared" si="32"/>
        <v>-3.5458841322031073E-2</v>
      </c>
    </row>
    <row r="653" spans="1:18" ht="13">
      <c r="A653" s="22" t="s">
        <v>148</v>
      </c>
      <c r="B653" s="9">
        <v>2018</v>
      </c>
      <c r="C653" s="4">
        <v>-4.7278083238053101</v>
      </c>
      <c r="D653" s="10">
        <v>0.25500022372365655</v>
      </c>
      <c r="E653" s="11">
        <v>0.2167</v>
      </c>
      <c r="F653" s="11">
        <v>2.3999999999999998E-3</v>
      </c>
      <c r="G653" s="12">
        <v>0.38328336838337285</v>
      </c>
      <c r="H653" s="12">
        <v>0.33690545438274644</v>
      </c>
      <c r="I653" s="12">
        <v>-0.67365430220591527</v>
      </c>
      <c r="J653" s="12">
        <v>8.3057505928676903E-2</v>
      </c>
      <c r="K653" s="12">
        <v>7.3007411964741156E-2</v>
      </c>
      <c r="L653" s="12">
        <v>-0.14598088728802183</v>
      </c>
      <c r="M653" s="12">
        <v>9.1988008412009477E-4</v>
      </c>
      <c r="N653" s="12">
        <v>8.0857309051859136E-4</v>
      </c>
      <c r="O653" s="12">
        <v>-1.6167703252941965E-3</v>
      </c>
      <c r="P653">
        <f t="shared" si="30"/>
        <v>9.7737344687316749E-2</v>
      </c>
      <c r="Q653">
        <f t="shared" si="31"/>
        <v>8.5910966241320511E-2</v>
      </c>
      <c r="R653">
        <f t="shared" si="32"/>
        <v>-0.17178199777491213</v>
      </c>
    </row>
    <row r="654" spans="1:18" ht="13">
      <c r="A654" s="22" t="s">
        <v>148</v>
      </c>
      <c r="B654" s="9">
        <v>2019</v>
      </c>
      <c r="C654" s="4">
        <v>-4.3458424160180558</v>
      </c>
      <c r="D654" s="10">
        <v>0.24403669724770644</v>
      </c>
      <c r="E654" s="11">
        <v>0.1797</v>
      </c>
      <c r="F654" s="11">
        <v>2.3999999999999998E-3</v>
      </c>
      <c r="G654" s="12">
        <v>0.23969505104018607</v>
      </c>
      <c r="H654" s="12">
        <v>2.7858896498255587E-2</v>
      </c>
      <c r="I654" s="12">
        <v>-0.39467631476935006</v>
      </c>
      <c r="J654" s="12">
        <v>4.3073200671921434E-2</v>
      </c>
      <c r="K654" s="12">
        <v>5.0062437007365292E-3</v>
      </c>
      <c r="L654" s="12">
        <v>-7.0923333764052202E-2</v>
      </c>
      <c r="M654" s="12">
        <v>5.7526812249644656E-4</v>
      </c>
      <c r="N654" s="12">
        <v>6.68613515958134E-5</v>
      </c>
      <c r="O654" s="12">
        <v>-9.4722315544644008E-4</v>
      </c>
      <c r="P654">
        <f t="shared" si="30"/>
        <v>5.8494388602467431E-2</v>
      </c>
      <c r="Q654">
        <f t="shared" si="31"/>
        <v>6.7985930903999873E-3</v>
      </c>
      <c r="R654">
        <f t="shared" si="32"/>
        <v>-9.6315504338208374E-2</v>
      </c>
    </row>
    <row r="655" spans="1:18" ht="13">
      <c r="A655" s="22" t="s">
        <v>148</v>
      </c>
      <c r="B655" s="9">
        <v>2020</v>
      </c>
      <c r="C655" s="4">
        <v>-4.1987065378505841</v>
      </c>
      <c r="D655" s="10">
        <v>0.249703643212771</v>
      </c>
      <c r="E655" s="11">
        <v>0.1174</v>
      </c>
      <c r="F655" s="11">
        <v>2.3999999999999998E-3</v>
      </c>
      <c r="G655" s="12">
        <v>0.30015015410552937</v>
      </c>
      <c r="H655" s="12">
        <v>3.6326756407892305E-2</v>
      </c>
      <c r="I655" s="12">
        <v>-0.28779536893127156</v>
      </c>
      <c r="J655" s="12">
        <v>3.5237628091989145E-2</v>
      </c>
      <c r="K655" s="12">
        <v>4.264761202286557E-3</v>
      </c>
      <c r="L655" s="12">
        <v>-3.3787176312531281E-2</v>
      </c>
      <c r="M655" s="12">
        <v>7.2036036985327037E-4</v>
      </c>
      <c r="N655" s="12">
        <v>8.7184215378941526E-5</v>
      </c>
      <c r="O655" s="12">
        <v>-6.9070888543505172E-4</v>
      </c>
      <c r="P655">
        <f t="shared" si="30"/>
        <v>7.4948586991025343E-2</v>
      </c>
      <c r="Q655">
        <f t="shared" si="31"/>
        <v>9.0709234211535823E-3</v>
      </c>
      <c r="R655">
        <f t="shared" si="32"/>
        <v>-7.1863552121902027E-2</v>
      </c>
    </row>
    <row r="656" spans="1:18" ht="13">
      <c r="A656" s="22" t="s">
        <v>148</v>
      </c>
      <c r="B656" s="9">
        <v>2021</v>
      </c>
      <c r="C656" s="4">
        <v>-3.9544029211688652</v>
      </c>
      <c r="D656" s="10">
        <v>0.14934130723010522</v>
      </c>
      <c r="E656" s="11">
        <v>8.3000000000000004E-2</v>
      </c>
      <c r="F656" s="11">
        <v>2.3999999999999998E-3</v>
      </c>
      <c r="G656" s="12">
        <v>0.18652148156506532</v>
      </c>
      <c r="H656" s="12">
        <v>1.2130102400631892E-2</v>
      </c>
      <c r="I656" s="12">
        <v>-0.11072244633134926</v>
      </c>
      <c r="J656" s="12">
        <v>1.5481282969900423E-2</v>
      </c>
      <c r="K656" s="12">
        <v>1.006798499252447E-3</v>
      </c>
      <c r="L656" s="12">
        <v>-9.1899630455019882E-3</v>
      </c>
      <c r="M656" s="12">
        <v>4.4765155575615673E-4</v>
      </c>
      <c r="N656" s="12">
        <v>2.911224576151654E-5</v>
      </c>
      <c r="O656" s="12">
        <v>-2.6573387119523817E-4</v>
      </c>
      <c r="P656">
        <f t="shared" si="30"/>
        <v>2.7855361883422827E-2</v>
      </c>
      <c r="Q656">
        <f t="shared" si="31"/>
        <v>1.8115253493454044E-3</v>
      </c>
      <c r="R656">
        <f t="shared" si="32"/>
        <v>-1.6535434874838866E-2</v>
      </c>
    </row>
    <row r="657" spans="1:18" ht="13">
      <c r="A657" s="21" t="s">
        <v>149</v>
      </c>
      <c r="B657" s="9">
        <v>2017</v>
      </c>
      <c r="C657" s="4">
        <v>-3.1506219404717961</v>
      </c>
      <c r="D657" s="10">
        <v>0.32159828873717511</v>
      </c>
      <c r="E657" s="11">
        <v>0.154</v>
      </c>
      <c r="F657" s="11">
        <v>6.6E-3</v>
      </c>
      <c r="G657" s="12">
        <v>0.16092403069001293</v>
      </c>
      <c r="H657" s="12">
        <v>-6.9372750445107656E-2</v>
      </c>
      <c r="I657" s="12">
        <v>-8.4704948060099136E-2</v>
      </c>
      <c r="J657" s="12">
        <v>2.4782300726261992E-2</v>
      </c>
      <c r="K657" s="12">
        <v>-1.0683403568546579E-2</v>
      </c>
      <c r="L657" s="12">
        <v>-1.3044562001255268E-2</v>
      </c>
      <c r="M657" s="12">
        <v>1.0620986025540854E-3</v>
      </c>
      <c r="N657" s="12">
        <v>-4.5786015293771055E-4</v>
      </c>
      <c r="O657" s="12">
        <v>-5.5905265719665429E-4</v>
      </c>
      <c r="P657">
        <f t="shared" si="30"/>
        <v>5.1752892886596805E-2</v>
      </c>
      <c r="Q657">
        <f t="shared" si="31"/>
        <v>-2.2310157828137726E-2</v>
      </c>
      <c r="R657">
        <f t="shared" si="32"/>
        <v>-2.7240966343699182E-2</v>
      </c>
    </row>
    <row r="658" spans="1:18" ht="13">
      <c r="A658" s="22" t="s">
        <v>149</v>
      </c>
      <c r="B658" s="9">
        <v>2018</v>
      </c>
      <c r="C658" s="4">
        <v>-3.1802816788668626</v>
      </c>
      <c r="D658" s="10">
        <v>0.32577504483730463</v>
      </c>
      <c r="E658" s="11">
        <v>9.74E-2</v>
      </c>
      <c r="F658" s="11">
        <v>4.7999999999999996E-3</v>
      </c>
      <c r="G658" s="12">
        <v>0.21815910837817062</v>
      </c>
      <c r="H658" s="12">
        <v>-0.14549705354855239</v>
      </c>
      <c r="I658" s="12">
        <v>-1.0786574429925698E-2</v>
      </c>
      <c r="J658" s="12">
        <v>2.1248697156033818E-2</v>
      </c>
      <c r="K658" s="12">
        <v>-1.4171413015629002E-2</v>
      </c>
      <c r="L658" s="12">
        <v>-1.050612349474763E-3</v>
      </c>
      <c r="M658" s="12">
        <v>1.0471637202152189E-3</v>
      </c>
      <c r="N658" s="12">
        <v>-6.9838585703305134E-4</v>
      </c>
      <c r="O658" s="12">
        <v>-5.1775557263643343E-5</v>
      </c>
      <c r="P658">
        <f t="shared" si="30"/>
        <v>7.1070793313564931E-2</v>
      </c>
      <c r="Q658">
        <f t="shared" si="31"/>
        <v>-4.7399309143475364E-2</v>
      </c>
      <c r="R658">
        <f t="shared" si="32"/>
        <v>-3.5139967685499677E-3</v>
      </c>
    </row>
    <row r="659" spans="1:18" ht="13">
      <c r="A659" s="22" t="s">
        <v>149</v>
      </c>
      <c r="B659" s="9">
        <v>2019</v>
      </c>
      <c r="C659" s="4">
        <v>-2.7735944600010343</v>
      </c>
      <c r="D659" s="10">
        <v>0.36155095067574067</v>
      </c>
      <c r="E659" s="11">
        <v>0.1067</v>
      </c>
      <c r="F659" s="11">
        <v>4.5999999999999999E-3</v>
      </c>
      <c r="G659" s="12">
        <v>0.13116553241801449</v>
      </c>
      <c r="H659" s="12">
        <v>-0.13838399266839774</v>
      </c>
      <c r="I659" s="12">
        <v>2.0190191719136271E-2</v>
      </c>
      <c r="J659" s="12">
        <v>1.3995362309002146E-2</v>
      </c>
      <c r="K659" s="12">
        <v>-1.4765572017718038E-2</v>
      </c>
      <c r="L659" s="12">
        <v>2.1542934564318401E-3</v>
      </c>
      <c r="M659" s="12">
        <v>6.0336144912286668E-4</v>
      </c>
      <c r="N659" s="12">
        <v>-6.3656636627462963E-4</v>
      </c>
      <c r="O659" s="12">
        <v>9.287488190802685E-5</v>
      </c>
      <c r="P659">
        <f t="shared" si="30"/>
        <v>4.7423022941622817E-2</v>
      </c>
      <c r="Q659">
        <f t="shared" si="31"/>
        <v>-5.0032864107563926E-2</v>
      </c>
      <c r="R659">
        <f t="shared" si="32"/>
        <v>7.299783010379186E-3</v>
      </c>
    </row>
    <row r="660" spans="1:18" ht="13">
      <c r="A660" s="22" t="s">
        <v>149</v>
      </c>
      <c r="B660" s="9">
        <v>2020</v>
      </c>
      <c r="C660" s="4">
        <v>-2.8944030248756696</v>
      </c>
      <c r="D660" s="10">
        <v>0.33310760178734977</v>
      </c>
      <c r="E660" s="11">
        <v>7.3200000000000001E-2</v>
      </c>
      <c r="F660" s="11">
        <v>2.0999999999999999E-3</v>
      </c>
      <c r="G660" s="12">
        <v>9.6433626599317257E-2</v>
      </c>
      <c r="H660" s="12">
        <v>-5.7367267075573811E-2</v>
      </c>
      <c r="I660" s="12">
        <v>-6.4444506119730224E-2</v>
      </c>
      <c r="J660" s="12">
        <v>7.0589414670700233E-3</v>
      </c>
      <c r="K660" s="12">
        <v>-4.1992839499320027E-3</v>
      </c>
      <c r="L660" s="12">
        <v>-4.7173378479642529E-3</v>
      </c>
      <c r="M660" s="12">
        <v>2.0251061585856622E-4</v>
      </c>
      <c r="N660" s="12">
        <v>-1.2047126085870499E-4</v>
      </c>
      <c r="O660" s="12">
        <v>-1.3533346285143346E-4</v>
      </c>
      <c r="P660">
        <f t="shared" si="30"/>
        <v>3.2122774088155351E-2</v>
      </c>
      <c r="Q660">
        <f t="shared" si="31"/>
        <v>-1.9109472756638782E-2</v>
      </c>
      <c r="R660">
        <f t="shared" si="32"/>
        <v>-2.1466954881913521E-2</v>
      </c>
    </row>
    <row r="661" spans="1:18" ht="13">
      <c r="A661" s="22" t="s">
        <v>149</v>
      </c>
      <c r="B661" s="9">
        <v>2021</v>
      </c>
      <c r="C661" s="4">
        <v>-2.981703489745565</v>
      </c>
      <c r="D661" s="10">
        <v>0.32471169175345249</v>
      </c>
      <c r="E661" s="11">
        <v>7.6300000000000007E-2</v>
      </c>
      <c r="F661" s="11">
        <v>2.0999999999999999E-3</v>
      </c>
      <c r="G661" s="12">
        <v>6.9023168181535852E-2</v>
      </c>
      <c r="H661" s="12">
        <v>-1.2241454274415619E-2</v>
      </c>
      <c r="I661" s="12">
        <v>-3.1072071885546285E-2</v>
      </c>
      <c r="J661" s="12">
        <v>5.2664677322511863E-3</v>
      </c>
      <c r="K661" s="12">
        <v>-9.3402296113791184E-4</v>
      </c>
      <c r="L661" s="12">
        <v>-2.3707990848671817E-3</v>
      </c>
      <c r="M661" s="12">
        <v>1.4494865318122528E-4</v>
      </c>
      <c r="N661" s="12">
        <v>-2.5707053976272799E-5</v>
      </c>
      <c r="O661" s="12">
        <v>-6.5251350959647197E-5</v>
      </c>
      <c r="P661">
        <f t="shared" si="30"/>
        <v>2.2412629710409578E-2</v>
      </c>
      <c r="Q661">
        <f t="shared" si="31"/>
        <v>-3.9749433269680281E-3</v>
      </c>
      <c r="R661">
        <f t="shared" si="32"/>
        <v>-1.0089465028240622E-2</v>
      </c>
    </row>
    <row r="662" spans="1:18" ht="13">
      <c r="A662" s="21" t="s">
        <v>150</v>
      </c>
      <c r="B662" s="9">
        <v>2017</v>
      </c>
      <c r="C662" s="4">
        <v>-1.8232395320676367</v>
      </c>
      <c r="D662" s="10">
        <v>0.49968235999000415</v>
      </c>
      <c r="E662" s="11">
        <v>0.21529999999999999</v>
      </c>
      <c r="F662" s="11">
        <v>1.7899999999999999E-3</v>
      </c>
      <c r="G662" s="12">
        <v>0.17913993322032776</v>
      </c>
      <c r="H662" s="12">
        <v>-8.5080353388310645E-2</v>
      </c>
      <c r="I662" s="12">
        <v>-0.21975971762656171</v>
      </c>
      <c r="J662" s="12">
        <v>3.8568827622336564E-2</v>
      </c>
      <c r="K662" s="12">
        <v>-1.8317800084503282E-2</v>
      </c>
      <c r="L662" s="12">
        <v>-4.7314267204998733E-2</v>
      </c>
      <c r="M662" s="12">
        <v>3.2066048046438666E-4</v>
      </c>
      <c r="N662" s="12">
        <v>-1.5229383256507606E-4</v>
      </c>
      <c r="O662" s="12">
        <v>-3.9336989455154544E-4</v>
      </c>
      <c r="P662">
        <f t="shared" si="30"/>
        <v>8.951306459998512E-2</v>
      </c>
      <c r="Q662">
        <f t="shared" si="31"/>
        <v>-4.251315176985461E-2</v>
      </c>
      <c r="R662">
        <f t="shared" si="32"/>
        <v>-0.10981005433437727</v>
      </c>
    </row>
    <row r="663" spans="1:18" ht="13">
      <c r="A663" s="22" t="s">
        <v>150</v>
      </c>
      <c r="B663" s="9">
        <v>2018</v>
      </c>
      <c r="C663" s="4">
        <v>-1.3726033417503158</v>
      </c>
      <c r="D663" s="10">
        <v>0.58389336044508466</v>
      </c>
      <c r="E663" s="11">
        <v>0.21820000000000001</v>
      </c>
      <c r="F663" s="11">
        <v>1.8000000000000001E-4</v>
      </c>
      <c r="G663" s="12">
        <v>0.17171001722725859</v>
      </c>
      <c r="H663" s="12">
        <v>0.10653562653562654</v>
      </c>
      <c r="I663" s="12">
        <v>-0.28738004462142391</v>
      </c>
      <c r="J663" s="12">
        <v>3.7467125758987828E-2</v>
      </c>
      <c r="K663" s="12">
        <v>2.3246073710073711E-2</v>
      </c>
      <c r="L663" s="12">
        <v>-6.2706325736394702E-2</v>
      </c>
      <c r="M663" s="12">
        <v>3.0907803100906551E-5</v>
      </c>
      <c r="N663" s="12">
        <v>1.9176412776412779E-5</v>
      </c>
      <c r="O663" s="12">
        <v>-5.1728408031856306E-5</v>
      </c>
      <c r="P663">
        <f t="shared" si="30"/>
        <v>0.1002603389809074</v>
      </c>
      <c r="Q663">
        <f t="shared" si="31"/>
        <v>6.220544498500951E-2</v>
      </c>
      <c r="R663">
        <f t="shared" si="32"/>
        <v>-0.16779929997886159</v>
      </c>
    </row>
    <row r="664" spans="1:18" ht="13">
      <c r="A664" s="22" t="s">
        <v>150</v>
      </c>
      <c r="B664" s="9">
        <v>2019</v>
      </c>
      <c r="C664" s="4">
        <v>-2.1618407593525473</v>
      </c>
      <c r="D664" s="10">
        <v>0.45440507872043112</v>
      </c>
      <c r="E664" s="11">
        <v>0.1855</v>
      </c>
      <c r="F664" s="11">
        <v>1.8000000000000001E-4</v>
      </c>
      <c r="G664" s="12">
        <v>0.25349710673165782</v>
      </c>
      <c r="H664" s="12">
        <v>-2.4774890899259796E-2</v>
      </c>
      <c r="I664" s="12">
        <v>-0.17771026597973855</v>
      </c>
      <c r="J664" s="12">
        <v>4.7023713298722528E-2</v>
      </c>
      <c r="K664" s="12">
        <v>-4.5957422618126921E-3</v>
      </c>
      <c r="L664" s="12">
        <v>-3.2965254339241502E-2</v>
      </c>
      <c r="M664" s="12">
        <v>4.5629479211698413E-5</v>
      </c>
      <c r="N664" s="12">
        <v>-4.4594803618667634E-6</v>
      </c>
      <c r="O664" s="12">
        <v>-3.1987847876352939E-5</v>
      </c>
      <c r="P664">
        <f t="shared" si="30"/>
        <v>0.1151903727398005</v>
      </c>
      <c r="Q664">
        <f t="shared" si="31"/>
        <v>-1.125783624936824E-2</v>
      </c>
      <c r="R664">
        <f t="shared" si="32"/>
        <v>-8.0752447401951852E-2</v>
      </c>
    </row>
    <row r="665" spans="1:18" ht="13">
      <c r="A665" s="22" t="s">
        <v>150</v>
      </c>
      <c r="B665" s="9">
        <v>2020</v>
      </c>
      <c r="C665" s="4">
        <v>-2.8832302924771978</v>
      </c>
      <c r="D665" s="10">
        <v>0.32654372449587238</v>
      </c>
      <c r="E665" s="11">
        <v>0.18260000000000001</v>
      </c>
      <c r="F665" s="11">
        <v>1.8000000000000001E-4</v>
      </c>
      <c r="G665" s="12">
        <v>0.19154657657036475</v>
      </c>
      <c r="H665" s="12">
        <v>3.4176314618292139E-2</v>
      </c>
      <c r="I665" s="12">
        <v>-0.28672437677471119</v>
      </c>
      <c r="J665" s="12">
        <v>3.4976404881748607E-2</v>
      </c>
      <c r="K665" s="12">
        <v>6.2405950493001454E-3</v>
      </c>
      <c r="L665" s="12">
        <v>-5.2355871199062265E-2</v>
      </c>
      <c r="M665" s="12">
        <v>3.4478383782665659E-5</v>
      </c>
      <c r="N665" s="12">
        <v>6.151736631292585E-6</v>
      </c>
      <c r="O665" s="12">
        <v>-5.1610387819448019E-5</v>
      </c>
      <c r="P665">
        <f t="shared" si="30"/>
        <v>6.2548332527720713E-2</v>
      </c>
      <c r="Q665">
        <f t="shared" si="31"/>
        <v>1.1160061064999845E-2</v>
      </c>
      <c r="R665">
        <f t="shared" si="32"/>
        <v>-9.3628045895772005E-2</v>
      </c>
    </row>
    <row r="666" spans="1:18" ht="13">
      <c r="A666" s="22" t="s">
        <v>150</v>
      </c>
      <c r="B666" s="9">
        <v>2021</v>
      </c>
      <c r="C666" s="4">
        <v>-2.6099293031906594</v>
      </c>
      <c r="D666" s="10">
        <v>0.36087988333439003</v>
      </c>
      <c r="E666" s="11">
        <v>0.13600000000000001</v>
      </c>
      <c r="F666" s="11">
        <v>1.8000000000000001E-4</v>
      </c>
      <c r="G666" s="12">
        <v>0.16213168358982255</v>
      </c>
      <c r="H666" s="12">
        <v>1.2982974188035735E-3</v>
      </c>
      <c r="I666" s="12">
        <v>-0.17259354534832111</v>
      </c>
      <c r="J666" s="12">
        <v>2.2049908968215869E-2</v>
      </c>
      <c r="K666" s="12">
        <v>1.76568448957286E-4</v>
      </c>
      <c r="L666" s="12">
        <v>-2.3472722167371673E-2</v>
      </c>
      <c r="M666" s="12">
        <v>2.9183703046168061E-5</v>
      </c>
      <c r="N666" s="12">
        <v>2.3369353538464326E-7</v>
      </c>
      <c r="O666" s="12">
        <v>-3.10668381626978E-5</v>
      </c>
      <c r="P666">
        <f t="shared" si="30"/>
        <v>5.8510063058703397E-2</v>
      </c>
      <c r="Q666">
        <f t="shared" si="31"/>
        <v>4.6852942103117333E-4</v>
      </c>
      <c r="R666">
        <f t="shared" si="32"/>
        <v>-6.228553850957088E-2</v>
      </c>
    </row>
    <row r="667" spans="1:18" ht="13">
      <c r="A667" s="21" t="s">
        <v>151</v>
      </c>
      <c r="B667" s="9">
        <v>2017</v>
      </c>
      <c r="C667" s="4">
        <v>-2.3277839242265093</v>
      </c>
      <c r="D667" s="10">
        <v>0.39346519779669509</v>
      </c>
      <c r="E667" s="11">
        <v>0.10290000000000001</v>
      </c>
      <c r="F667" s="11">
        <v>9.69E-2</v>
      </c>
      <c r="G667" s="12">
        <v>-7.8517776664997499E-2</v>
      </c>
      <c r="H667" s="12">
        <v>6.7858037055583381E-2</v>
      </c>
      <c r="I667" s="12">
        <v>6.5811216825237856E-2</v>
      </c>
      <c r="J667" s="12">
        <v>-8.0794792188282425E-3</v>
      </c>
      <c r="K667" s="12">
        <v>6.98259201301953E-3</v>
      </c>
      <c r="L667" s="12">
        <v>6.7719742113169761E-3</v>
      </c>
      <c r="M667" s="12">
        <v>-7.6083725588382573E-3</v>
      </c>
      <c r="N667" s="12">
        <v>6.5754437906860299E-3</v>
      </c>
      <c r="O667" s="12">
        <v>6.3771069103655481E-3</v>
      </c>
      <c r="P667">
        <f t="shared" si="30"/>
        <v>-3.0894012526049969E-2</v>
      </c>
      <c r="Q667">
        <f t="shared" si="31"/>
        <v>2.6699775972170579E-2</v>
      </c>
      <c r="R667">
        <f t="shared" si="32"/>
        <v>2.58944234453834E-2</v>
      </c>
    </row>
    <row r="668" spans="1:18" ht="13">
      <c r="A668" s="22" t="s">
        <v>151</v>
      </c>
      <c r="B668" s="9">
        <v>2018</v>
      </c>
      <c r="C668" s="4">
        <v>-2.2532749138950985</v>
      </c>
      <c r="D668" s="10">
        <v>0.40835689414005533</v>
      </c>
      <c r="E668" s="11">
        <v>4.3999999999999997E-2</v>
      </c>
      <c r="F668" s="11">
        <v>0.1469</v>
      </c>
      <c r="G668" s="12">
        <v>1.571381804112973E-3</v>
      </c>
      <c r="H668" s="12">
        <v>-1.355316806047439E-2</v>
      </c>
      <c r="I668" s="12">
        <v>5.2980566054581714E-2</v>
      </c>
      <c r="J668" s="12">
        <v>6.9140799380970806E-5</v>
      </c>
      <c r="K668" s="12">
        <v>-5.9633939466087308E-4</v>
      </c>
      <c r="L668" s="12">
        <v>2.3311449064015951E-3</v>
      </c>
      <c r="M668" s="12">
        <v>2.3083598702419573E-4</v>
      </c>
      <c r="N668" s="12">
        <v>-1.990960388083688E-3</v>
      </c>
      <c r="O668" s="12">
        <v>7.7828451534180543E-3</v>
      </c>
      <c r="P668">
        <f t="shared" si="30"/>
        <v>6.4168459303577045E-4</v>
      </c>
      <c r="Q668">
        <f t="shared" si="31"/>
        <v>-5.5345296149335197E-3</v>
      </c>
      <c r="R668">
        <f t="shared" si="32"/>
        <v>2.1634979403831033E-2</v>
      </c>
    </row>
    <row r="669" spans="1:18" ht="13">
      <c r="A669" s="22" t="s">
        <v>151</v>
      </c>
      <c r="B669" s="9">
        <v>2019</v>
      </c>
      <c r="C669" s="4">
        <v>-3.0095613611094909</v>
      </c>
      <c r="D669" s="10">
        <v>0.342000381916853</v>
      </c>
      <c r="E669" s="11">
        <v>5.0799999999999998E-2</v>
      </c>
      <c r="F669" s="11">
        <v>0.13450000000000001</v>
      </c>
      <c r="G669" s="12">
        <v>0.10664104127781987</v>
      </c>
      <c r="H669" s="12">
        <v>-4.9402792920986323E-3</v>
      </c>
      <c r="I669" s="12">
        <v>-0.12723991154312889</v>
      </c>
      <c r="J669" s="12">
        <v>5.4173648969132494E-3</v>
      </c>
      <c r="K669" s="12">
        <v>-2.5096618803861049E-4</v>
      </c>
      <c r="L669" s="12">
        <v>-6.4637875063909469E-3</v>
      </c>
      <c r="M669" s="12">
        <v>1.4343220051866773E-2</v>
      </c>
      <c r="N669" s="12">
        <v>-6.6446756478726607E-4</v>
      </c>
      <c r="O669" s="12">
        <v>-1.7113768102550837E-2</v>
      </c>
      <c r="P669">
        <f t="shared" si="30"/>
        <v>3.6471276845025283E-2</v>
      </c>
      <c r="Q669">
        <f t="shared" si="31"/>
        <v>-1.6895774046736525E-3</v>
      </c>
      <c r="R669">
        <f t="shared" si="32"/>
        <v>-4.3516098342816674E-2</v>
      </c>
    </row>
    <row r="670" spans="1:18" ht="13">
      <c r="A670" s="22" t="s">
        <v>151</v>
      </c>
      <c r="B670" s="9">
        <v>2020</v>
      </c>
      <c r="C670" s="4">
        <v>-3.0119140743487329</v>
      </c>
      <c r="D670" s="10">
        <v>0.35673755338604252</v>
      </c>
      <c r="E670" s="11">
        <v>4.6199999999999998E-2</v>
      </c>
      <c r="F670" s="11">
        <v>0.13730000000000001</v>
      </c>
      <c r="G670" s="12">
        <v>0.18543258579061067</v>
      </c>
      <c r="H670" s="12">
        <v>2.2818562043835948E-3</v>
      </c>
      <c r="I670" s="12">
        <v>-0.1074737697038007</v>
      </c>
      <c r="J670" s="12">
        <v>8.5669854635262131E-3</v>
      </c>
      <c r="K670" s="12">
        <v>1.0542175664252207E-4</v>
      </c>
      <c r="L670" s="12">
        <v>-4.9652881603155915E-3</v>
      </c>
      <c r="M670" s="12">
        <v>2.5459894029050845E-2</v>
      </c>
      <c r="N670" s="12">
        <v>3.1329885686186759E-4</v>
      </c>
      <c r="O670" s="12">
        <v>-1.4756148580331837E-2</v>
      </c>
      <c r="P670">
        <f t="shared" si="30"/>
        <v>6.6150766972989883E-2</v>
      </c>
      <c r="Q670">
        <f t="shared" si="31"/>
        <v>8.14023799530565E-4</v>
      </c>
      <c r="R670">
        <f t="shared" si="32"/>
        <v>-3.8339929657308841E-2</v>
      </c>
    </row>
    <row r="671" spans="1:18" ht="13">
      <c r="A671" s="22" t="s">
        <v>151</v>
      </c>
      <c r="B671" s="9">
        <v>2021</v>
      </c>
      <c r="C671" s="4">
        <v>-2.9143866366093163</v>
      </c>
      <c r="D671" s="10">
        <v>0.34519097064981696</v>
      </c>
      <c r="E671" s="11">
        <v>0.11070000000000001</v>
      </c>
      <c r="F671" s="11">
        <v>0.14330000000000001</v>
      </c>
      <c r="G671" s="12">
        <v>0.17472122920207353</v>
      </c>
      <c r="H671" s="12">
        <v>1.6190816147129181E-2</v>
      </c>
      <c r="I671" s="12">
        <v>-0.1467828811021902</v>
      </c>
      <c r="J671" s="12">
        <v>1.9341640072669541E-2</v>
      </c>
      <c r="K671" s="12">
        <v>1.7923233474872004E-3</v>
      </c>
      <c r="L671" s="12">
        <v>-1.6248864938012458E-2</v>
      </c>
      <c r="M671" s="12">
        <v>2.5037552144657138E-2</v>
      </c>
      <c r="N671" s="12">
        <v>2.3201439538836116E-3</v>
      </c>
      <c r="O671" s="12">
        <v>-2.1033986861943858E-2</v>
      </c>
      <c r="P671">
        <f t="shared" si="30"/>
        <v>6.0312190701392904E-2</v>
      </c>
      <c r="Q671">
        <f t="shared" si="31"/>
        <v>5.588923541440252E-3</v>
      </c>
      <c r="R671">
        <f t="shared" si="32"/>
        <v>-5.0668125202441711E-2</v>
      </c>
    </row>
    <row r="672" spans="1:18" ht="13" hidden="1">
      <c r="A672" s="40" t="e">
        <v>#REF!</v>
      </c>
      <c r="B672" s="48" t="e">
        <v>#REF!</v>
      </c>
      <c r="C672" s="43" t="e">
        <v>#REF!</v>
      </c>
      <c r="D672" s="44" t="e">
        <v>#REF!</v>
      </c>
      <c r="E672" s="45" t="e">
        <v>#REF!</v>
      </c>
      <c r="F672" s="46" t="e">
        <v>#REF!</v>
      </c>
      <c r="G672" s="12" t="e">
        <v>#REF!</v>
      </c>
      <c r="H672" s="12" t="e">
        <v>#REF!</v>
      </c>
      <c r="I672" s="12" t="e">
        <v>#REF!</v>
      </c>
      <c r="J672" s="12" t="e">
        <v>#REF!</v>
      </c>
      <c r="K672" s="12" t="e">
        <v>#REF!</v>
      </c>
      <c r="L672" s="12" t="e">
        <v>#REF!</v>
      </c>
      <c r="M672" s="12" t="e">
        <v>#REF!</v>
      </c>
      <c r="N672" s="12" t="e">
        <v>#REF!</v>
      </c>
      <c r="O672" s="12" t="e">
        <v>#REF!</v>
      </c>
      <c r="P672" t="e">
        <f t="shared" si="30"/>
        <v>#REF!</v>
      </c>
      <c r="Q672" t="e">
        <f t="shared" si="31"/>
        <v>#REF!</v>
      </c>
      <c r="R672" t="e">
        <f t="shared" si="32"/>
        <v>#REF!</v>
      </c>
    </row>
    <row r="673" spans="1:18" ht="13" hidden="1">
      <c r="A673" s="40" t="e">
        <v>#REF!</v>
      </c>
      <c r="B673" s="48" t="e">
        <v>#REF!</v>
      </c>
      <c r="C673" s="43" t="e">
        <v>#REF!</v>
      </c>
      <c r="D673" s="44" t="e">
        <v>#REF!</v>
      </c>
      <c r="E673" s="45" t="e">
        <v>#REF!</v>
      </c>
      <c r="F673" s="46" t="e">
        <v>#REF!</v>
      </c>
      <c r="G673" s="12" t="e">
        <v>#REF!</v>
      </c>
      <c r="H673" s="12" t="e">
        <v>#REF!</v>
      </c>
      <c r="I673" s="12" t="e">
        <v>#REF!</v>
      </c>
      <c r="J673" s="12" t="e">
        <v>#REF!</v>
      </c>
      <c r="K673" s="12" t="e">
        <v>#REF!</v>
      </c>
      <c r="L673" s="12" t="e">
        <v>#REF!</v>
      </c>
      <c r="M673" s="12" t="e">
        <v>#REF!</v>
      </c>
      <c r="N673" s="12" t="e">
        <v>#REF!</v>
      </c>
      <c r="O673" s="12" t="e">
        <v>#REF!</v>
      </c>
      <c r="P673" t="e">
        <f t="shared" si="30"/>
        <v>#REF!</v>
      </c>
      <c r="Q673" t="e">
        <f t="shared" si="31"/>
        <v>#REF!</v>
      </c>
      <c r="R673" t="e">
        <f t="shared" si="32"/>
        <v>#REF!</v>
      </c>
    </row>
    <row r="674" spans="1:18" ht="13" hidden="1">
      <c r="A674" s="40" t="e">
        <v>#REF!</v>
      </c>
      <c r="B674" s="48" t="e">
        <v>#REF!</v>
      </c>
      <c r="C674" s="43" t="e">
        <v>#REF!</v>
      </c>
      <c r="D674" s="44" t="e">
        <v>#REF!</v>
      </c>
      <c r="E674" s="45" t="e">
        <v>#REF!</v>
      </c>
      <c r="F674" s="46" t="e">
        <v>#REF!</v>
      </c>
      <c r="G674" s="12" t="e">
        <v>#REF!</v>
      </c>
      <c r="H674" s="12" t="e">
        <v>#REF!</v>
      </c>
      <c r="I674" s="12" t="e">
        <v>#REF!</v>
      </c>
      <c r="J674" s="12" t="e">
        <v>#REF!</v>
      </c>
      <c r="K674" s="12" t="e">
        <v>#REF!</v>
      </c>
      <c r="L674" s="12" t="e">
        <v>#REF!</v>
      </c>
      <c r="M674" s="12" t="e">
        <v>#REF!</v>
      </c>
      <c r="N674" s="12" t="e">
        <v>#REF!</v>
      </c>
      <c r="O674" s="12" t="e">
        <v>#REF!</v>
      </c>
      <c r="P674" t="e">
        <f t="shared" si="30"/>
        <v>#REF!</v>
      </c>
      <c r="Q674" t="e">
        <f t="shared" si="31"/>
        <v>#REF!</v>
      </c>
      <c r="R674" t="e">
        <f t="shared" si="32"/>
        <v>#REF!</v>
      </c>
    </row>
    <row r="675" spans="1:18" ht="13" hidden="1">
      <c r="A675" s="40" t="e">
        <v>#REF!</v>
      </c>
      <c r="B675" s="48" t="e">
        <v>#REF!</v>
      </c>
      <c r="C675" s="43" t="e">
        <v>#REF!</v>
      </c>
      <c r="D675" s="44" t="e">
        <v>#REF!</v>
      </c>
      <c r="E675" s="45" t="e">
        <v>#REF!</v>
      </c>
      <c r="F675" s="46" t="e">
        <v>#REF!</v>
      </c>
      <c r="G675" s="12" t="e">
        <v>#REF!</v>
      </c>
      <c r="H675" s="12" t="e">
        <v>#REF!</v>
      </c>
      <c r="I675" s="12" t="e">
        <v>#REF!</v>
      </c>
      <c r="J675" s="12" t="e">
        <v>#REF!</v>
      </c>
      <c r="K675" s="12" t="e">
        <v>#REF!</v>
      </c>
      <c r="L675" s="12" t="e">
        <v>#REF!</v>
      </c>
      <c r="M675" s="12" t="e">
        <v>#REF!</v>
      </c>
      <c r="N675" s="12" t="e">
        <v>#REF!</v>
      </c>
      <c r="O675" s="12" t="e">
        <v>#REF!</v>
      </c>
      <c r="P675" t="e">
        <f t="shared" si="30"/>
        <v>#REF!</v>
      </c>
      <c r="Q675" t="e">
        <f t="shared" si="31"/>
        <v>#REF!</v>
      </c>
      <c r="R675" t="e">
        <f t="shared" si="32"/>
        <v>#REF!</v>
      </c>
    </row>
    <row r="676" spans="1:18" ht="13" hidden="1">
      <c r="A676" s="40" t="e">
        <v>#REF!</v>
      </c>
      <c r="B676" s="48" t="e">
        <v>#REF!</v>
      </c>
      <c r="C676" s="43" t="e">
        <v>#REF!</v>
      </c>
      <c r="D676" s="44" t="e">
        <v>#REF!</v>
      </c>
      <c r="E676" s="45" t="e">
        <v>#REF!</v>
      </c>
      <c r="F676" s="46" t="e">
        <v>#REF!</v>
      </c>
      <c r="G676" s="12" t="e">
        <v>#REF!</v>
      </c>
      <c r="H676" s="12" t="e">
        <v>#REF!</v>
      </c>
      <c r="I676" s="12" t="e">
        <v>#REF!</v>
      </c>
      <c r="J676" s="12" t="e">
        <v>#REF!</v>
      </c>
      <c r="K676" s="12" t="e">
        <v>#REF!</v>
      </c>
      <c r="L676" s="12" t="e">
        <v>#REF!</v>
      </c>
      <c r="M676" s="12" t="e">
        <v>#REF!</v>
      </c>
      <c r="N676" s="12" t="e">
        <v>#REF!</v>
      </c>
      <c r="O676" s="12" t="e">
        <v>#REF!</v>
      </c>
      <c r="P676" t="e">
        <f t="shared" si="30"/>
        <v>#REF!</v>
      </c>
      <c r="Q676" t="e">
        <f t="shared" si="31"/>
        <v>#REF!</v>
      </c>
      <c r="R676" t="e">
        <f t="shared" si="32"/>
        <v>#REF!</v>
      </c>
    </row>
    <row r="677" spans="1:18" ht="13">
      <c r="A677" s="21" t="s">
        <v>152</v>
      </c>
      <c r="B677" s="9">
        <v>2017</v>
      </c>
      <c r="C677" s="4">
        <v>0.89432643473967055</v>
      </c>
      <c r="D677" s="10">
        <v>0.84235187339743889</v>
      </c>
      <c r="E677" s="11">
        <v>7.7000000000000002E-3</v>
      </c>
      <c r="F677" s="11">
        <v>3.8E-3</v>
      </c>
      <c r="G677" s="12">
        <v>6.4113649478683254E-2</v>
      </c>
      <c r="H677" s="12">
        <v>-1.123683635528348E-2</v>
      </c>
      <c r="I677" s="12">
        <v>-1.3175316683816676E-2</v>
      </c>
      <c r="J677" s="12">
        <v>4.9367510098586112E-4</v>
      </c>
      <c r="K677" s="12">
        <v>-8.6523639935682798E-5</v>
      </c>
      <c r="L677" s="12">
        <v>-1.0144993846538841E-4</v>
      </c>
      <c r="M677" s="12">
        <v>2.4363186801899637E-4</v>
      </c>
      <c r="N677" s="12">
        <v>-4.2699978150077224E-5</v>
      </c>
      <c r="O677" s="12">
        <v>-5.0066203398503367E-5</v>
      </c>
      <c r="P677">
        <f t="shared" si="30"/>
        <v>5.4006252748715573E-2</v>
      </c>
      <c r="Q677">
        <f t="shared" si="31"/>
        <v>-9.4653701549334886E-3</v>
      </c>
      <c r="R677">
        <f t="shared" si="32"/>
        <v>-1.109825269121751E-2</v>
      </c>
    </row>
    <row r="678" spans="1:18" ht="13">
      <c r="A678" s="23" t="s">
        <v>152</v>
      </c>
      <c r="B678" s="9">
        <v>2018</v>
      </c>
      <c r="C678" s="4">
        <v>0.29285230043730248</v>
      </c>
      <c r="D678" s="10">
        <v>0.81447020422360461</v>
      </c>
      <c r="E678" s="11">
        <v>6.1999999999999998E-3</v>
      </c>
      <c r="F678" s="11">
        <v>0</v>
      </c>
      <c r="G678" s="12">
        <v>3.0534917803657739E-2</v>
      </c>
      <c r="H678" s="12">
        <v>4.4244559304167826E-2</v>
      </c>
      <c r="I678" s="12">
        <v>-8.5498618219146408E-2</v>
      </c>
      <c r="J678" s="12">
        <v>1.8931649038267799E-4</v>
      </c>
      <c r="K678" s="12">
        <v>2.7431626768584049E-4</v>
      </c>
      <c r="L678" s="12">
        <v>-5.3009143295870774E-4</v>
      </c>
      <c r="M678" s="12">
        <v>0</v>
      </c>
      <c r="N678" s="12">
        <v>0</v>
      </c>
      <c r="O678" s="12">
        <v>0</v>
      </c>
      <c r="P678">
        <f t="shared" si="30"/>
        <v>2.4869780739496101E-2</v>
      </c>
      <c r="Q678">
        <f t="shared" si="31"/>
        <v>3.6035875252248953E-2</v>
      </c>
      <c r="R678">
        <f t="shared" si="32"/>
        <v>-6.9636077041784178E-2</v>
      </c>
    </row>
    <row r="679" spans="1:18" ht="13">
      <c r="A679" s="23" t="s">
        <v>152</v>
      </c>
      <c r="B679" s="9">
        <v>2019</v>
      </c>
      <c r="C679" s="4">
        <v>0.29241905575514338</v>
      </c>
      <c r="D679" s="10">
        <v>0.82157247189166638</v>
      </c>
      <c r="E679" s="11">
        <v>5.4000000000000003E-3</v>
      </c>
      <c r="F679" s="11">
        <v>3.3999999999999998E-3</v>
      </c>
      <c r="G679" s="12">
        <v>1.8652113343308647E-2</v>
      </c>
      <c r="H679" s="12">
        <v>4.9415318514210134E-3</v>
      </c>
      <c r="I679" s="12">
        <v>-5.6927291233764714E-2</v>
      </c>
      <c r="J679" s="12">
        <v>1.0072141205386669E-4</v>
      </c>
      <c r="K679" s="12">
        <v>2.6684271997673473E-5</v>
      </c>
      <c r="L679" s="12">
        <v>-3.0740737266232948E-4</v>
      </c>
      <c r="M679" s="12">
        <v>6.3417185367249402E-5</v>
      </c>
      <c r="N679" s="12">
        <v>1.6801208294831443E-5</v>
      </c>
      <c r="O679" s="12">
        <v>-1.9355279019480002E-4</v>
      </c>
      <c r="P679">
        <f t="shared" si="30"/>
        <v>1.5324062865465619E-2</v>
      </c>
      <c r="Q679">
        <f t="shared" si="31"/>
        <v>4.0598265381033647E-3</v>
      </c>
      <c r="R679">
        <f t="shared" si="32"/>
        <v>-4.6769895377020865E-2</v>
      </c>
    </row>
    <row r="680" spans="1:18" ht="13">
      <c r="A680" s="23" t="s">
        <v>152</v>
      </c>
      <c r="B680" s="9">
        <v>2020</v>
      </c>
      <c r="C680" s="4">
        <v>-0.72284886671839677</v>
      </c>
      <c r="D680" s="10">
        <v>0.6716015041193083</v>
      </c>
      <c r="E680" s="11">
        <v>1.01E-2</v>
      </c>
      <c r="F680" s="11">
        <v>9.9000000000000008E-3</v>
      </c>
      <c r="G680" s="12">
        <v>1.1131972108905045E-2</v>
      </c>
      <c r="H680" s="12">
        <v>8.0019359951493743E-3</v>
      </c>
      <c r="I680" s="12">
        <v>-1.8508964614901843E-3</v>
      </c>
      <c r="J680" s="12">
        <v>1.1243291829994095E-4</v>
      </c>
      <c r="K680" s="12">
        <v>8.0819553551008674E-5</v>
      </c>
      <c r="L680" s="12">
        <v>-1.869405426105086E-5</v>
      </c>
      <c r="M680" s="12">
        <v>1.1020652387815995E-4</v>
      </c>
      <c r="N680" s="12">
        <v>7.9219166351978811E-5</v>
      </c>
      <c r="O680" s="12">
        <v>-1.8323874968752827E-5</v>
      </c>
      <c r="P680">
        <f t="shared" si="30"/>
        <v>7.4762492121548171E-3</v>
      </c>
      <c r="Q680">
        <f t="shared" si="31"/>
        <v>5.3741122502087542E-3</v>
      </c>
      <c r="R680">
        <f t="shared" si="32"/>
        <v>-1.2430648475059132E-3</v>
      </c>
    </row>
    <row r="681" spans="1:18" ht="13">
      <c r="A681" s="23" t="s">
        <v>152</v>
      </c>
      <c r="B681" s="9">
        <v>2021</v>
      </c>
      <c r="C681" s="4">
        <v>-0.14728140840957935</v>
      </c>
      <c r="D681" s="10">
        <v>0.65427708296395304</v>
      </c>
      <c r="E681" s="11">
        <v>1.01E-2</v>
      </c>
      <c r="F681" s="11">
        <v>3.3E-3</v>
      </c>
      <c r="G681" s="12">
        <v>-3.7485849892936539E-2</v>
      </c>
      <c r="H681" s="12">
        <v>-9.8573396434854955E-3</v>
      </c>
      <c r="I681" s="12">
        <v>6.8193287052822514E-3</v>
      </c>
      <c r="J681" s="12">
        <v>-3.7860708391865901E-4</v>
      </c>
      <c r="K681" s="12">
        <v>-9.9559130399203507E-5</v>
      </c>
      <c r="L681" s="12">
        <v>6.8875219923350737E-5</v>
      </c>
      <c r="M681" s="12">
        <v>-1.2370330464669057E-4</v>
      </c>
      <c r="N681" s="12">
        <v>-3.2529220823502136E-5</v>
      </c>
      <c r="O681" s="12">
        <v>2.250378472743143E-5</v>
      </c>
      <c r="P681">
        <f t="shared" si="30"/>
        <v>-2.4526132520375131E-2</v>
      </c>
      <c r="Q681">
        <f t="shared" si="31"/>
        <v>-6.4494314277246225E-3</v>
      </c>
      <c r="R681">
        <f t="shared" si="32"/>
        <v>4.4617304930644223E-3</v>
      </c>
    </row>
    <row r="682" spans="1:18" ht="13">
      <c r="A682" s="24" t="s">
        <v>153</v>
      </c>
      <c r="B682" s="9">
        <v>2017</v>
      </c>
      <c r="C682" s="4">
        <v>-1.0925777952562137</v>
      </c>
      <c r="D682" s="10">
        <v>0.62358689242692278</v>
      </c>
      <c r="E682" s="11">
        <v>0.31</v>
      </c>
      <c r="F682" s="11">
        <v>9.8999999999999999E-4</v>
      </c>
      <c r="G682" s="12">
        <v>-1.0249066352174768E-2</v>
      </c>
      <c r="H682" s="12">
        <v>-3.8272540926066329E-2</v>
      </c>
      <c r="I682" s="12">
        <v>8.7046864908881579E-3</v>
      </c>
      <c r="J682" s="12">
        <v>-3.177210569174178E-3</v>
      </c>
      <c r="K682" s="12">
        <v>-1.1864487687080563E-2</v>
      </c>
      <c r="L682" s="12">
        <v>2.6984528121753288E-3</v>
      </c>
      <c r="M682" s="12">
        <v>-1.014657568865302E-5</v>
      </c>
      <c r="N682" s="12">
        <v>-3.7889815516805666E-5</v>
      </c>
      <c r="O682" s="12">
        <v>8.6176396259792763E-6</v>
      </c>
      <c r="P682">
        <f t="shared" si="30"/>
        <v>-6.3911834368300009E-3</v>
      </c>
      <c r="Q682">
        <f t="shared" si="31"/>
        <v>-2.3866254861367921E-2</v>
      </c>
      <c r="R682">
        <f t="shared" si="32"/>
        <v>5.4281283984035618E-3</v>
      </c>
    </row>
    <row r="683" spans="1:18" ht="13">
      <c r="A683" s="24" t="s">
        <v>153</v>
      </c>
      <c r="B683" s="9">
        <v>2018</v>
      </c>
      <c r="C683" s="4">
        <v>-0.45638533418973382</v>
      </c>
      <c r="D683" s="10">
        <v>0.73325356239819384</v>
      </c>
      <c r="E683" s="11">
        <v>0.28149999999999997</v>
      </c>
      <c r="F683" s="11">
        <v>9.1020000000000001E-4</v>
      </c>
      <c r="G683" s="12">
        <v>4.4556725432226003E-2</v>
      </c>
      <c r="H683" s="12">
        <v>-0.14184087445248464</v>
      </c>
      <c r="I683" s="12">
        <v>0.12798868067898458</v>
      </c>
      <c r="J683" s="12">
        <v>1.2542718209171619E-2</v>
      </c>
      <c r="K683" s="12">
        <v>-3.9928206158374419E-2</v>
      </c>
      <c r="L683" s="12">
        <v>3.6028813611134157E-2</v>
      </c>
      <c r="M683" s="12">
        <v>4.0555531488412106E-5</v>
      </c>
      <c r="N683" s="12">
        <v>-1.2910356392665151E-4</v>
      </c>
      <c r="O683" s="12">
        <v>1.1649529715401177E-4</v>
      </c>
      <c r="P683">
        <f t="shared" si="30"/>
        <v>3.2671377651977918E-2</v>
      </c>
      <c r="Q683">
        <f t="shared" si="31"/>
        <v>-0.10400532648595932</v>
      </c>
      <c r="R683">
        <f t="shared" si="32"/>
        <v>9.3848156054510329E-2</v>
      </c>
    </row>
    <row r="684" spans="1:18" ht="13">
      <c r="A684" s="24" t="s">
        <v>153</v>
      </c>
      <c r="B684" s="9">
        <v>2019</v>
      </c>
      <c r="C684" s="4">
        <v>-0.44082575621615955</v>
      </c>
      <c r="D684" s="10">
        <v>0.73076923076923084</v>
      </c>
      <c r="E684" s="11">
        <v>0.25</v>
      </c>
      <c r="F684" s="11">
        <v>1.002E-4</v>
      </c>
      <c r="G684" s="12">
        <v>7.6572657628265553E-2</v>
      </c>
      <c r="H684" s="12">
        <v>-5.3602068682181793E-2</v>
      </c>
      <c r="I684" s="12">
        <v>9.259930560590315E-3</v>
      </c>
      <c r="J684" s="12">
        <v>1.9143164407066388E-2</v>
      </c>
      <c r="K684" s="12">
        <v>-1.3400517170545448E-2</v>
      </c>
      <c r="L684" s="12">
        <v>2.3149826401475788E-3</v>
      </c>
      <c r="M684" s="12">
        <v>7.6725802943522081E-6</v>
      </c>
      <c r="N684" s="12">
        <v>-5.3709272819546153E-6</v>
      </c>
      <c r="O684" s="12">
        <v>9.2784504217114952E-7</v>
      </c>
      <c r="P684">
        <f t="shared" si="30"/>
        <v>5.5956942112963294E-2</v>
      </c>
      <c r="Q684">
        <f t="shared" si="31"/>
        <v>-3.9170742498517465E-2</v>
      </c>
      <c r="R684">
        <f t="shared" si="32"/>
        <v>6.7668723327390769E-3</v>
      </c>
    </row>
    <row r="685" spans="1:18" ht="13">
      <c r="A685" s="24" t="s">
        <v>153</v>
      </c>
      <c r="B685" s="9">
        <v>2020</v>
      </c>
      <c r="C685" s="4">
        <v>-0.61717358740080508</v>
      </c>
      <c r="D685" s="10">
        <v>0.69573749182370026</v>
      </c>
      <c r="E685" s="11">
        <v>0.14000000000000001</v>
      </c>
      <c r="F685" s="11">
        <v>0</v>
      </c>
      <c r="G685" s="12">
        <v>9.3695187544526978E-2</v>
      </c>
      <c r="H685" s="12">
        <v>-2.4605975260704183E-2</v>
      </c>
      <c r="I685" s="12">
        <v>-8.4266924419743108E-2</v>
      </c>
      <c r="J685" s="12">
        <v>1.3117326256233778E-2</v>
      </c>
      <c r="K685" s="12">
        <v>-3.4448365364985857E-3</v>
      </c>
      <c r="L685" s="12">
        <v>-1.1797369418764036E-2</v>
      </c>
      <c r="M685" s="12">
        <v>0</v>
      </c>
      <c r="N685" s="12">
        <v>0</v>
      </c>
      <c r="O685" s="12">
        <v>0</v>
      </c>
      <c r="P685">
        <f t="shared" si="30"/>
        <v>6.5187254778180395E-2</v>
      </c>
      <c r="Q685">
        <f t="shared" si="31"/>
        <v>-1.7119299511758349E-2</v>
      </c>
      <c r="R685">
        <f t="shared" si="32"/>
        <v>-5.8627658639489391E-2</v>
      </c>
    </row>
    <row r="686" spans="1:18" ht="13">
      <c r="A686" s="24" t="s">
        <v>153</v>
      </c>
      <c r="B686" s="9">
        <v>2021</v>
      </c>
      <c r="C686" s="4">
        <v>-0.91388879473045281</v>
      </c>
      <c r="D686" s="10">
        <v>0.65022079728994009</v>
      </c>
      <c r="E686" s="11">
        <v>0.129</v>
      </c>
      <c r="F686" s="11">
        <v>0</v>
      </c>
      <c r="G686" s="12">
        <v>9.7747666001250177E-2</v>
      </c>
      <c r="H686" s="12">
        <v>-6.4751073740245593E-2</v>
      </c>
      <c r="I686" s="12">
        <v>-4.4961990603512587E-2</v>
      </c>
      <c r="J686" s="12">
        <v>1.2609448914161273E-2</v>
      </c>
      <c r="K686" s="12">
        <v>-8.3528885124916821E-3</v>
      </c>
      <c r="L686" s="12">
        <v>-5.8000967878531241E-3</v>
      </c>
      <c r="M686" s="12">
        <v>0</v>
      </c>
      <c r="N686" s="12">
        <v>0</v>
      </c>
      <c r="O686" s="12">
        <v>0</v>
      </c>
      <c r="P686">
        <f t="shared" si="30"/>
        <v>6.3557565320563655E-2</v>
      </c>
      <c r="Q686">
        <f t="shared" si="31"/>
        <v>-4.2102494792762193E-2</v>
      </c>
      <c r="R686">
        <f t="shared" si="32"/>
        <v>-2.923522137795875E-2</v>
      </c>
    </row>
    <row r="687" spans="1:18" ht="13">
      <c r="A687" s="24" t="s">
        <v>154</v>
      </c>
      <c r="B687" s="9">
        <v>2017</v>
      </c>
      <c r="C687" s="4">
        <v>-2.9562944226349805</v>
      </c>
      <c r="D687" s="10">
        <v>0.3036393055699495</v>
      </c>
      <c r="E687" s="11">
        <v>0.45839999999999997</v>
      </c>
      <c r="F687" s="11">
        <v>2.2000000000000001E-3</v>
      </c>
      <c r="G687" s="12">
        <v>3.6737395653293127E-2</v>
      </c>
      <c r="H687" s="12">
        <v>-5.9014184800232683E-2</v>
      </c>
      <c r="I687" s="12">
        <v>0.11605426530223352</v>
      </c>
      <c r="J687" s="12">
        <v>1.684042216746957E-2</v>
      </c>
      <c r="K687" s="12">
        <v>-2.7052102312426659E-2</v>
      </c>
      <c r="L687" s="12">
        <v>5.3199275214543845E-2</v>
      </c>
      <c r="M687" s="12">
        <v>8.0822270437244884E-5</v>
      </c>
      <c r="N687" s="12">
        <v>-1.298312065605119E-4</v>
      </c>
      <c r="O687" s="12">
        <v>2.5531938366491375E-4</v>
      </c>
      <c r="P687">
        <f t="shared" si="30"/>
        <v>1.1154917304614407E-2</v>
      </c>
      <c r="Q687">
        <f t="shared" si="31"/>
        <v>-1.7919026091519321E-2</v>
      </c>
      <c r="R687">
        <f t="shared" si="32"/>
        <v>3.5238636524800873E-2</v>
      </c>
    </row>
    <row r="688" spans="1:18" ht="13">
      <c r="A688" s="24" t="s">
        <v>154</v>
      </c>
      <c r="B688" s="9">
        <v>2018</v>
      </c>
      <c r="C688" s="4">
        <v>-2.4886452175270808</v>
      </c>
      <c r="D688" s="10">
        <v>0.36726049529863597</v>
      </c>
      <c r="E688" s="11">
        <v>0.45579999999999998</v>
      </c>
      <c r="F688" s="11">
        <v>1.14E-2</v>
      </c>
      <c r="G688" s="12">
        <v>8.1664415309230562E-2</v>
      </c>
      <c r="H688" s="12">
        <v>-5.4105681366706397E-2</v>
      </c>
      <c r="I688" s="12">
        <v>0.12286372665872071</v>
      </c>
      <c r="J688" s="12">
        <v>3.7222640497947289E-2</v>
      </c>
      <c r="K688" s="12">
        <v>-2.4661369566944775E-2</v>
      </c>
      <c r="L688" s="12">
        <v>5.60012866110449E-2</v>
      </c>
      <c r="M688" s="12">
        <v>9.3097433452522848E-4</v>
      </c>
      <c r="N688" s="12">
        <v>-6.1680476758045296E-4</v>
      </c>
      <c r="O688" s="12">
        <v>1.4006464839094162E-3</v>
      </c>
      <c r="P688">
        <f t="shared" si="30"/>
        <v>2.9992113614741526E-2</v>
      </c>
      <c r="Q688">
        <f t="shared" si="31"/>
        <v>-1.987087933720677E-2</v>
      </c>
      <c r="R688">
        <f t="shared" si="32"/>
        <v>4.5122993106917988E-2</v>
      </c>
    </row>
    <row r="689" spans="1:18" ht="13">
      <c r="A689" s="24" t="s">
        <v>154</v>
      </c>
      <c r="B689" s="9">
        <v>2019</v>
      </c>
      <c r="C689" s="4">
        <v>-2.0505507539148722</v>
      </c>
      <c r="D689" s="10">
        <v>0.42909178739473547</v>
      </c>
      <c r="E689" s="11">
        <v>0.44429999999999997</v>
      </c>
      <c r="F689" s="11">
        <v>1.55E-2</v>
      </c>
      <c r="G689" s="12">
        <v>-3.753059812068317E-4</v>
      </c>
      <c r="H689" s="12">
        <v>-0.10799150916666281</v>
      </c>
      <c r="I689" s="12">
        <v>7.6396133605213412E-2</v>
      </c>
      <c r="J689" s="12">
        <v>-1.6674844745019531E-4</v>
      </c>
      <c r="K689" s="12">
        <v>-4.798062752274828E-2</v>
      </c>
      <c r="L689" s="12">
        <v>3.3942802160796315E-2</v>
      </c>
      <c r="M689" s="12">
        <v>-5.8172427087058913E-6</v>
      </c>
      <c r="N689" s="12">
        <v>-1.6738683920832734E-3</v>
      </c>
      <c r="O689" s="12">
        <v>1.1841400708808079E-3</v>
      </c>
      <c r="P689">
        <f t="shared" si="30"/>
        <v>-1.6104071429597441E-4</v>
      </c>
      <c r="Q689">
        <f t="shared" si="31"/>
        <v>-4.6338269691778303E-2</v>
      </c>
      <c r="R689">
        <f t="shared" si="32"/>
        <v>3.2780953518708036E-2</v>
      </c>
    </row>
    <row r="690" spans="1:18" ht="13">
      <c r="A690" s="24" t="s">
        <v>154</v>
      </c>
      <c r="B690" s="9">
        <v>2020</v>
      </c>
      <c r="C690" s="4">
        <v>-1.8429773535920655</v>
      </c>
      <c r="D690" s="10">
        <v>0.45545195522348569</v>
      </c>
      <c r="E690" s="11">
        <v>0.37619999999999998</v>
      </c>
      <c r="F690" s="11">
        <v>1.3299999999999999E-2</v>
      </c>
      <c r="G690" s="12">
        <v>-1.9770118998262223E-2</v>
      </c>
      <c r="H690" s="12">
        <v>-3.9448497305117194E-2</v>
      </c>
      <c r="I690" s="12">
        <v>4.4380441590289602E-2</v>
      </c>
      <c r="J690" s="12">
        <v>-7.4375187671462473E-3</v>
      </c>
      <c r="K690" s="12">
        <v>-1.4840524686185087E-2</v>
      </c>
      <c r="L690" s="12">
        <v>1.6695922126266947E-2</v>
      </c>
      <c r="M690" s="12">
        <v>-2.6294258267688754E-4</v>
      </c>
      <c r="N690" s="12">
        <v>-5.2466501415805863E-4</v>
      </c>
      <c r="O690" s="12">
        <v>5.9025987315085163E-4</v>
      </c>
      <c r="P690">
        <f t="shared" si="30"/>
        <v>-9.0043393527595092E-3</v>
      </c>
      <c r="Q690">
        <f t="shared" si="31"/>
        <v>-1.7966895228244031E-2</v>
      </c>
      <c r="R690">
        <f t="shared" si="32"/>
        <v>2.0213158895979102E-2</v>
      </c>
    </row>
    <row r="691" spans="1:18" ht="13">
      <c r="A691" s="24" t="s">
        <v>154</v>
      </c>
      <c r="B691" s="9">
        <v>2021</v>
      </c>
      <c r="C691" s="4">
        <v>-1.6353804111763279</v>
      </c>
      <c r="D691" s="10">
        <v>0.49549384647128908</v>
      </c>
      <c r="E691" s="11">
        <v>7.9799999999999996E-2</v>
      </c>
      <c r="F691" s="11">
        <v>0</v>
      </c>
      <c r="G691" s="12">
        <v>-9.4995307476753707E-2</v>
      </c>
      <c r="H691" s="12">
        <v>5.3681800331471859E-2</v>
      </c>
      <c r="I691" s="12">
        <v>9.5577047238067356E-2</v>
      </c>
      <c r="J691" s="12">
        <v>-7.5806255366449452E-3</v>
      </c>
      <c r="K691" s="12">
        <v>4.2838076664514545E-3</v>
      </c>
      <c r="L691" s="12">
        <v>7.6270483695977742E-3</v>
      </c>
      <c r="M691" s="12">
        <v>0</v>
      </c>
      <c r="N691" s="12">
        <v>0</v>
      </c>
      <c r="O691" s="12">
        <v>0</v>
      </c>
      <c r="P691">
        <f t="shared" si="30"/>
        <v>-4.7069590298379503E-2</v>
      </c>
      <c r="Q691">
        <f t="shared" si="31"/>
        <v>2.6599001731744714E-2</v>
      </c>
      <c r="R691">
        <f t="shared" si="32"/>
        <v>4.7357838770358089E-2</v>
      </c>
    </row>
    <row r="692" spans="1:18" ht="13">
      <c r="A692" s="24" t="s">
        <v>155</v>
      </c>
      <c r="B692" s="9">
        <v>2017</v>
      </c>
      <c r="C692" s="4">
        <v>-1.3736850232952915</v>
      </c>
      <c r="D692" s="10">
        <v>0.54713644051839705</v>
      </c>
      <c r="E692" s="11">
        <v>0.37830000000000003</v>
      </c>
      <c r="F692" s="11">
        <v>0.24540000000000001</v>
      </c>
      <c r="G692" s="12">
        <v>-2.8951827956297062E-2</v>
      </c>
      <c r="H692" s="12">
        <v>-0.14400597382909247</v>
      </c>
      <c r="I692" s="12">
        <v>0.19690461668198209</v>
      </c>
      <c r="J692" s="12">
        <v>-1.095247651586718E-2</v>
      </c>
      <c r="K692" s="12">
        <v>-5.4477459899545687E-2</v>
      </c>
      <c r="L692" s="12">
        <v>7.4489016490793827E-2</v>
      </c>
      <c r="M692" s="12">
        <v>-7.1047785804752989E-3</v>
      </c>
      <c r="N692" s="12">
        <v>-3.5339065977659297E-2</v>
      </c>
      <c r="O692" s="12">
        <v>4.8320392933758408E-2</v>
      </c>
      <c r="P692">
        <f t="shared" si="30"/>
        <v>-1.5840600094509393E-2</v>
      </c>
      <c r="Q692">
        <f t="shared" si="31"/>
        <v>-7.8790915934235095E-2</v>
      </c>
      <c r="R692">
        <f t="shared" si="32"/>
        <v>0.10773369109301906</v>
      </c>
    </row>
    <row r="693" spans="1:18" ht="13">
      <c r="A693" s="24" t="s">
        <v>155</v>
      </c>
      <c r="B693" s="9">
        <v>2018</v>
      </c>
      <c r="C693" s="4">
        <v>-1.775828636285024</v>
      </c>
      <c r="D693" s="10">
        <v>0.50291424318355105</v>
      </c>
      <c r="E693" s="11">
        <v>0.36349999999999999</v>
      </c>
      <c r="F693" s="11">
        <v>0.25594</v>
      </c>
      <c r="G693" s="12">
        <v>7.7786418186696502E-2</v>
      </c>
      <c r="H693" s="12">
        <v>-8.1113733551011008E-2</v>
      </c>
      <c r="I693" s="12">
        <v>2.3611054266315594E-2</v>
      </c>
      <c r="J693" s="12">
        <v>2.8275363010864179E-2</v>
      </c>
      <c r="K693" s="12">
        <v>-2.94848421457925E-2</v>
      </c>
      <c r="L693" s="12">
        <v>8.5826182258057181E-3</v>
      </c>
      <c r="M693" s="12">
        <v>1.9908655870703104E-2</v>
      </c>
      <c r="N693" s="12">
        <v>-2.0760248965045757E-2</v>
      </c>
      <c r="O693" s="12">
        <v>6.0430132289208127E-3</v>
      </c>
      <c r="P693">
        <f t="shared" si="30"/>
        <v>3.9119897632321682E-2</v>
      </c>
      <c r="Q693">
        <f t="shared" si="31"/>
        <v>-4.0793251920598912E-2</v>
      </c>
      <c r="R693">
        <f t="shared" si="32"/>
        <v>1.1874335487109861E-2</v>
      </c>
    </row>
    <row r="694" spans="1:18" ht="13">
      <c r="A694" s="24" t="s">
        <v>155</v>
      </c>
      <c r="B694" s="9">
        <v>2019</v>
      </c>
      <c r="C694" s="4">
        <v>-1.3430987322138346</v>
      </c>
      <c r="D694" s="10">
        <v>0.55566379003473121</v>
      </c>
      <c r="E694" s="11">
        <v>0.28000000000000003</v>
      </c>
      <c r="F694" s="11">
        <v>0.24867</v>
      </c>
      <c r="G694" s="12">
        <v>-4.0110495377185126E-2</v>
      </c>
      <c r="H694" s="12">
        <v>-0.11501597059870503</v>
      </c>
      <c r="I694" s="12">
        <v>0.13905725363427326</v>
      </c>
      <c r="J694" s="12">
        <v>-1.1230938705611836E-2</v>
      </c>
      <c r="K694" s="12">
        <v>-3.220447176763741E-2</v>
      </c>
      <c r="L694" s="12">
        <v>3.8936031017596517E-2</v>
      </c>
      <c r="M694" s="12">
        <v>-9.9742768854446263E-3</v>
      </c>
      <c r="N694" s="12">
        <v>-2.8601021408779979E-2</v>
      </c>
      <c r="O694" s="12">
        <v>3.4579367261234735E-2</v>
      </c>
      <c r="P694">
        <f t="shared" si="30"/>
        <v>-2.2287949881457252E-2</v>
      </c>
      <c r="Q694">
        <f t="shared" si="31"/>
        <v>-6.3910210137399642E-2</v>
      </c>
      <c r="R694">
        <f t="shared" si="32"/>
        <v>7.7269080586241184E-2</v>
      </c>
    </row>
    <row r="695" spans="1:18" ht="13">
      <c r="A695" s="24" t="s">
        <v>155</v>
      </c>
      <c r="B695" s="9">
        <v>2020</v>
      </c>
      <c r="C695" s="4">
        <v>-1.3701049206862914</v>
      </c>
      <c r="D695" s="10">
        <v>0.55515045697172183</v>
      </c>
      <c r="E695" s="11">
        <v>0.1386</v>
      </c>
      <c r="F695" s="11">
        <v>0.24998000000000001</v>
      </c>
      <c r="G695" s="12">
        <v>5.9003867867598987E-2</v>
      </c>
      <c r="H695" s="12">
        <v>-7.9872818320280328E-2</v>
      </c>
      <c r="I695" s="12">
        <v>0.10567383625871715</v>
      </c>
      <c r="J695" s="12">
        <v>8.1779360864492195E-3</v>
      </c>
      <c r="K695" s="12">
        <v>-1.1070372619190853E-2</v>
      </c>
      <c r="L695" s="12">
        <v>1.4646393705458198E-2</v>
      </c>
      <c r="M695" s="12">
        <v>1.4749786889542395E-2</v>
      </c>
      <c r="N695" s="12">
        <v>-1.9966607123703677E-2</v>
      </c>
      <c r="O695" s="12">
        <v>2.6416345587954113E-2</v>
      </c>
      <c r="P695">
        <f t="shared" si="30"/>
        <v>3.2756024209796675E-2</v>
      </c>
      <c r="Q695">
        <f t="shared" si="31"/>
        <v>-4.4341431590122937E-2</v>
      </c>
      <c r="R695">
        <f t="shared" si="32"/>
        <v>5.8664878488981734E-2</v>
      </c>
    </row>
    <row r="696" spans="1:18" ht="13">
      <c r="A696" s="24" t="s">
        <v>155</v>
      </c>
      <c r="B696" s="9">
        <v>2021</v>
      </c>
      <c r="C696" s="4">
        <v>-0.70440144880590627</v>
      </c>
      <c r="D696" s="10">
        <v>0.66389326506498625</v>
      </c>
      <c r="E696" s="11">
        <v>5.1999999999999998E-2</v>
      </c>
      <c r="F696" s="11">
        <v>0.25163999999999997</v>
      </c>
      <c r="G696" s="12">
        <v>4.9895542579242082E-3</v>
      </c>
      <c r="H696" s="12">
        <v>-0.26485896107676765</v>
      </c>
      <c r="I696" s="12">
        <v>0.3040663475863486</v>
      </c>
      <c r="J696" s="12">
        <v>2.5945682141205879E-4</v>
      </c>
      <c r="K696" s="12">
        <v>-1.3772665975991917E-2</v>
      </c>
      <c r="L696" s="12">
        <v>1.5811450074490127E-2</v>
      </c>
      <c r="M696" s="12">
        <v>1.2555714334640477E-3</v>
      </c>
      <c r="N696" s="12">
        <v>-6.6649108965357806E-2</v>
      </c>
      <c r="O696" s="12">
        <v>7.651525570662876E-2</v>
      </c>
      <c r="P696">
        <f t="shared" si="30"/>
        <v>3.312531467512207E-3</v>
      </c>
      <c r="Q696">
        <f t="shared" si="31"/>
        <v>-0.17583808045097538</v>
      </c>
      <c r="R696">
        <f t="shared" si="32"/>
        <v>0.20186760029548598</v>
      </c>
    </row>
    <row r="697" spans="1:18" ht="13">
      <c r="A697" s="24" t="s">
        <v>156</v>
      </c>
      <c r="B697" s="9">
        <v>2017</v>
      </c>
      <c r="C697" s="4">
        <v>-0.86312443133807126</v>
      </c>
      <c r="D697" s="10">
        <v>0.62519700551615442</v>
      </c>
      <c r="E697" s="27">
        <v>1.9099999999999999E-2</v>
      </c>
      <c r="F697" s="11">
        <v>9.3600000000000003E-3</v>
      </c>
      <c r="G697" s="12">
        <v>0.75950551615445239</v>
      </c>
      <c r="H697" s="12">
        <v>-0.3556934594168637</v>
      </c>
      <c r="I697" s="12">
        <v>-2.22123719464145E-2</v>
      </c>
      <c r="J697" s="12">
        <v>1.4506555358550039E-2</v>
      </c>
      <c r="K697" s="12">
        <v>-6.793745074862096E-3</v>
      </c>
      <c r="L697" s="12">
        <v>-4.2425630417651695E-4</v>
      </c>
      <c r="M697" s="12">
        <v>7.1089716312056749E-3</v>
      </c>
      <c r="N697" s="12">
        <v>-3.3292907801418443E-3</v>
      </c>
      <c r="O697" s="12">
        <v>-2.0790780141843974E-4</v>
      </c>
      <c r="P697">
        <f t="shared" si="30"/>
        <v>0.47484057437276489</v>
      </c>
      <c r="Q697">
        <f t="shared" si="31"/>
        <v>-0.22237848570910498</v>
      </c>
      <c r="R697">
        <f t="shared" si="32"/>
        <v>-1.3887108426309381E-2</v>
      </c>
    </row>
    <row r="698" spans="1:18" ht="13">
      <c r="A698" s="24" t="s">
        <v>156</v>
      </c>
      <c r="B698" s="9">
        <v>2018</v>
      </c>
      <c r="C698" s="4">
        <v>-1.4838770357891859</v>
      </c>
      <c r="D698" s="10">
        <v>0.51005379098360659</v>
      </c>
      <c r="E698" s="11">
        <v>1.9099999999999999E-2</v>
      </c>
      <c r="F698" s="11">
        <v>4.7600000000000003E-3</v>
      </c>
      <c r="G698" s="12">
        <v>0.92078637295081966</v>
      </c>
      <c r="H698" s="12">
        <v>-0.4282146516393443</v>
      </c>
      <c r="I698" s="12">
        <v>-0.68019979508196726</v>
      </c>
      <c r="J698" s="12">
        <v>1.7587019723360655E-2</v>
      </c>
      <c r="K698" s="12">
        <v>-8.1788998463114757E-3</v>
      </c>
      <c r="L698" s="12">
        <v>-1.2991816086065575E-2</v>
      </c>
      <c r="M698" s="12">
        <v>4.3829431352459015E-3</v>
      </c>
      <c r="N698" s="12">
        <v>-2.0383017418032791E-3</v>
      </c>
      <c r="O698" s="12">
        <v>-3.2377510245901642E-3</v>
      </c>
      <c r="P698">
        <f t="shared" si="30"/>
        <v>0.46965058020961059</v>
      </c>
      <c r="Q698">
        <f t="shared" si="31"/>
        <v>-0.21841250642337204</v>
      </c>
      <c r="R698">
        <f t="shared" si="32"/>
        <v>-0.34693848410782979</v>
      </c>
    </row>
    <row r="699" spans="1:18" ht="13">
      <c r="A699" s="24" t="s">
        <v>156</v>
      </c>
      <c r="B699" s="9">
        <v>2019</v>
      </c>
      <c r="C699" s="4">
        <v>-0.20924385994647204</v>
      </c>
      <c r="D699" s="10">
        <v>0.71880082803489576</v>
      </c>
      <c r="E699" s="11">
        <v>2.8999999999999998E-3</v>
      </c>
      <c r="F699" s="11">
        <v>9.3600000000000003E-3</v>
      </c>
      <c r="G699" s="12">
        <v>0.73598994529055151</v>
      </c>
      <c r="H699" s="12">
        <v>-0.24652521070530831</v>
      </c>
      <c r="I699" s="12">
        <v>-0.2446399526837203</v>
      </c>
      <c r="J699" s="12">
        <v>2.1343708413425993E-3</v>
      </c>
      <c r="K699" s="12">
        <v>-7.1492311104539403E-4</v>
      </c>
      <c r="L699" s="12">
        <v>-7.0945586278278879E-4</v>
      </c>
      <c r="M699" s="12">
        <v>6.8888658879195626E-3</v>
      </c>
      <c r="N699" s="12">
        <v>-2.3074759722016857E-3</v>
      </c>
      <c r="O699" s="12">
        <v>-2.289829957119622E-3</v>
      </c>
      <c r="P699">
        <f t="shared" si="30"/>
        <v>0.52903018210020603</v>
      </c>
      <c r="Q699">
        <f t="shared" si="31"/>
        <v>-0.17720252558645275</v>
      </c>
      <c r="R699">
        <f t="shared" si="32"/>
        <v>-0.17584740055947587</v>
      </c>
    </row>
    <row r="700" spans="1:18" ht="13">
      <c r="A700" s="24" t="s">
        <v>156</v>
      </c>
      <c r="B700" s="9">
        <v>2020</v>
      </c>
      <c r="C700" s="4">
        <v>1.7478385307385793</v>
      </c>
      <c r="D700" s="10">
        <v>0.82300709031873309</v>
      </c>
      <c r="E700" s="11">
        <v>1.9E-3</v>
      </c>
      <c r="F700" s="11">
        <v>4.7600000000000003E-3</v>
      </c>
      <c r="G700" s="12">
        <v>1.2319925783579617</v>
      </c>
      <c r="H700" s="12">
        <v>-1.0493671724869129</v>
      </c>
      <c r="I700" s="12">
        <v>-0.46246106951162952</v>
      </c>
      <c r="J700" s="12">
        <v>2.3407858988801272E-3</v>
      </c>
      <c r="K700" s="12">
        <v>-1.9937976277251347E-3</v>
      </c>
      <c r="L700" s="12">
        <v>-8.7867603207209607E-4</v>
      </c>
      <c r="M700" s="12">
        <v>5.8642846729838986E-3</v>
      </c>
      <c r="N700" s="12">
        <v>-4.9949877410377062E-3</v>
      </c>
      <c r="O700" s="12">
        <v>-2.2013146908753567E-3</v>
      </c>
      <c r="P700">
        <f t="shared" si="30"/>
        <v>1.0139386272086599</v>
      </c>
      <c r="Q700">
        <f t="shared" si="31"/>
        <v>-0.86363662330445035</v>
      </c>
      <c r="R700">
        <f t="shared" si="32"/>
        <v>-0.38060873920445559</v>
      </c>
    </row>
    <row r="701" spans="1:18" ht="13">
      <c r="A701" s="24" t="s">
        <v>156</v>
      </c>
      <c r="B701" s="9">
        <v>2021</v>
      </c>
      <c r="C701" s="4">
        <v>0.14044088420952172</v>
      </c>
      <c r="D701" s="10">
        <v>0.80219084404482999</v>
      </c>
      <c r="E701" s="11">
        <v>2.8999999999999998E-3</v>
      </c>
      <c r="F701" s="11">
        <v>4.7600000000000003E-3</v>
      </c>
      <c r="G701" s="12">
        <v>1.4280377382384599</v>
      </c>
      <c r="H701" s="12">
        <v>-1.1479136326220476</v>
      </c>
      <c r="I701" s="12">
        <v>-0.26708035205470776</v>
      </c>
      <c r="J701" s="12">
        <v>4.1413094408915335E-3</v>
      </c>
      <c r="K701" s="12">
        <v>-3.3289495346039378E-3</v>
      </c>
      <c r="L701" s="12">
        <v>-7.7453302095865245E-4</v>
      </c>
      <c r="M701" s="12">
        <v>6.7974596340150701E-3</v>
      </c>
      <c r="N701" s="12">
        <v>-5.4640688912809474E-3</v>
      </c>
      <c r="O701" s="12">
        <v>-1.271302475780409E-3</v>
      </c>
      <c r="P701">
        <f t="shared" si="30"/>
        <v>1.1455587985653801</v>
      </c>
      <c r="Q701">
        <f t="shared" si="31"/>
        <v>-0.92084580584364728</v>
      </c>
      <c r="R701">
        <f t="shared" si="32"/>
        <v>-0.21424941304255635</v>
      </c>
    </row>
    <row r="702" spans="1:18" ht="13">
      <c r="A702" s="24" t="s">
        <v>157</v>
      </c>
      <c r="B702" s="9">
        <v>2017</v>
      </c>
      <c r="C702" s="4">
        <v>-0.44766200854206739</v>
      </c>
      <c r="D702" s="10">
        <v>0.71585789728672433</v>
      </c>
      <c r="E702" s="11">
        <v>1.6199999999999999E-2</v>
      </c>
      <c r="F702" s="11">
        <v>0.61175000000000002</v>
      </c>
      <c r="G702" s="12">
        <v>0.32710883458004231</v>
      </c>
      <c r="H702" s="12">
        <v>-1.276528165035994E-4</v>
      </c>
      <c r="I702" s="12">
        <v>-0.32752194723817601</v>
      </c>
      <c r="J702" s="12">
        <v>5.299163120196685E-3</v>
      </c>
      <c r="K702" s="12">
        <v>-2.0679756273583099E-6</v>
      </c>
      <c r="L702" s="12">
        <v>-5.3058555452584512E-3</v>
      </c>
      <c r="M702" s="12">
        <v>0.20010882955434089</v>
      </c>
      <c r="N702" s="12">
        <v>-7.8091610496076931E-5</v>
      </c>
      <c r="O702" s="12">
        <v>-0.20036155122295418</v>
      </c>
      <c r="P702">
        <f t="shared" si="30"/>
        <v>0.23416344250638002</v>
      </c>
      <c r="Q702">
        <f t="shared" si="31"/>
        <v>-9.1381276804994722E-5</v>
      </c>
      <c r="R702">
        <f t="shared" si="32"/>
        <v>-0.23445917246517414</v>
      </c>
    </row>
    <row r="703" spans="1:18" ht="13">
      <c r="A703" s="24" t="s">
        <v>157</v>
      </c>
      <c r="B703" s="9">
        <v>2018</v>
      </c>
      <c r="C703" s="4">
        <v>-0.71268045428568905</v>
      </c>
      <c r="D703" s="10">
        <v>0.682418970773498</v>
      </c>
      <c r="E703" s="27">
        <v>5.8099999999999999E-2</v>
      </c>
      <c r="F703" s="11">
        <v>0.61170999999999998</v>
      </c>
      <c r="G703" s="12">
        <v>2.9172239842350345E-2</v>
      </c>
      <c r="H703" s="12">
        <v>-2.0807728378113177E-2</v>
      </c>
      <c r="I703" s="12">
        <v>-4.268622998291647E-3</v>
      </c>
      <c r="J703" s="12">
        <v>1.694907134840555E-3</v>
      </c>
      <c r="K703" s="12">
        <v>-1.2089290187683756E-3</v>
      </c>
      <c r="L703" s="12">
        <v>-2.4800699620074467E-4</v>
      </c>
      <c r="M703" s="12">
        <v>1.7844950833964129E-2</v>
      </c>
      <c r="N703" s="12">
        <v>-1.2728295526175611E-2</v>
      </c>
      <c r="O703" s="12">
        <v>-2.6111593742849833E-3</v>
      </c>
      <c r="P703">
        <f t="shared" si="30"/>
        <v>1.9907689888374352E-2</v>
      </c>
      <c r="Q703">
        <f t="shared" si="31"/>
        <v>-1.4199588583926502E-2</v>
      </c>
      <c r="R703">
        <f t="shared" si="32"/>
        <v>-2.9129893131142688E-3</v>
      </c>
    </row>
    <row r="704" spans="1:18" ht="13">
      <c r="A704" s="24" t="s">
        <v>157</v>
      </c>
      <c r="B704" s="9">
        <v>2019</v>
      </c>
      <c r="C704" s="4">
        <v>-0.67892928378880968</v>
      </c>
      <c r="D704" s="10">
        <v>0.68707033258889894</v>
      </c>
      <c r="E704" s="27">
        <v>6.1199999999999997E-2</v>
      </c>
      <c r="F704" s="11">
        <v>0.61280199999999996</v>
      </c>
      <c r="G704" s="12">
        <v>-7.2899670376424114E-2</v>
      </c>
      <c r="H704" s="12">
        <v>-4.9932743038295646E-2</v>
      </c>
      <c r="I704" s="12">
        <v>0.15556485103908069</v>
      </c>
      <c r="J704" s="12">
        <v>-4.4614598270371559E-3</v>
      </c>
      <c r="K704" s="12">
        <v>-3.0558838739436936E-3</v>
      </c>
      <c r="L704" s="12">
        <v>9.5205688835917381E-3</v>
      </c>
      <c r="M704" s="12">
        <v>-4.4673063806013449E-2</v>
      </c>
      <c r="N704" s="12">
        <v>-3.0598884799353646E-2</v>
      </c>
      <c r="O704" s="12">
        <v>9.5330451846450712E-2</v>
      </c>
      <c r="P704">
        <f t="shared" si="30"/>
        <v>-5.0087200771150822E-2</v>
      </c>
      <c r="Q704">
        <f t="shared" si="31"/>
        <v>-3.4307306366397818E-2</v>
      </c>
      <c r="R704">
        <f t="shared" si="32"/>
        <v>0.10688399394256369</v>
      </c>
    </row>
    <row r="705" spans="1:18" ht="13">
      <c r="A705" s="24" t="s">
        <v>157</v>
      </c>
      <c r="B705" s="9">
        <v>2020</v>
      </c>
      <c r="C705" s="4">
        <v>-0.85735222338057293</v>
      </c>
      <c r="D705" s="10">
        <v>0.66740622212660283</v>
      </c>
      <c r="E705" s="27">
        <v>7.9000000000000008E-3</v>
      </c>
      <c r="F705" s="11">
        <v>1.2099999999999999E-3</v>
      </c>
      <c r="G705" s="12">
        <v>0.28075766336331892</v>
      </c>
      <c r="H705" s="12">
        <v>-0.2748854009190978</v>
      </c>
      <c r="I705" s="12">
        <v>-4.385339769706912E-2</v>
      </c>
      <c r="J705" s="12">
        <v>2.2179855405702197E-3</v>
      </c>
      <c r="K705" s="12">
        <v>-2.1715946672608726E-3</v>
      </c>
      <c r="L705" s="12">
        <v>-3.4644184180684609E-4</v>
      </c>
      <c r="M705" s="12">
        <v>3.397167726696159E-4</v>
      </c>
      <c r="N705" s="12">
        <v>-3.3261133511210833E-4</v>
      </c>
      <c r="O705" s="12">
        <v>-5.306261121345363E-5</v>
      </c>
      <c r="P705">
        <f t="shared" si="30"/>
        <v>0.1873794114384052</v>
      </c>
      <c r="Q705">
        <f t="shared" si="31"/>
        <v>-0.18346022694517167</v>
      </c>
      <c r="R705">
        <f t="shared" si="32"/>
        <v>-2.9268030484416365E-2</v>
      </c>
    </row>
    <row r="706" spans="1:18" ht="13">
      <c r="A706" s="24" t="s">
        <v>157</v>
      </c>
      <c r="B706" s="9">
        <v>2021</v>
      </c>
      <c r="C706" s="4">
        <v>-1.2732764430115768</v>
      </c>
      <c r="D706" s="10">
        <v>0.60370973361074509</v>
      </c>
      <c r="E706" s="11">
        <v>7.9000000000000008E-3</v>
      </c>
      <c r="F706" s="11">
        <v>5.3899999999999998E-3</v>
      </c>
      <c r="G706" s="12">
        <v>3.8778934092647481E-2</v>
      </c>
      <c r="H706" s="12">
        <v>-0.13395806125765625</v>
      </c>
      <c r="I706" s="12">
        <v>0.11663069266655897</v>
      </c>
      <c r="J706" s="12">
        <v>3.0635357933191511E-4</v>
      </c>
      <c r="K706" s="12">
        <v>-1.0582686839354844E-3</v>
      </c>
      <c r="L706" s="12">
        <v>9.213824720658159E-4</v>
      </c>
      <c r="M706" s="12">
        <v>2.0901845475936991E-4</v>
      </c>
      <c r="N706" s="12">
        <v>-7.2203395017876712E-4</v>
      </c>
      <c r="O706" s="12">
        <v>6.2863943347275287E-4</v>
      </c>
      <c r="P706">
        <f t="shared" si="30"/>
        <v>2.3411219970780852E-2</v>
      </c>
      <c r="Q706">
        <f t="shared" si="31"/>
        <v>-8.087178547687153E-2</v>
      </c>
      <c r="R706">
        <f t="shared" si="32"/>
        <v>7.0411084400564997E-2</v>
      </c>
    </row>
    <row r="707" spans="1:18" ht="13">
      <c r="A707" s="24" t="s">
        <v>158</v>
      </c>
      <c r="B707" s="9">
        <v>2017</v>
      </c>
      <c r="C707" s="4">
        <v>-0.85268410257000737</v>
      </c>
      <c r="D707" s="10">
        <v>0.65724658715270401</v>
      </c>
      <c r="E707" s="11">
        <v>9.4200000000000006E-2</v>
      </c>
      <c r="F707" s="11">
        <v>7.5000000000000002E-4</v>
      </c>
      <c r="G707" s="12">
        <v>4.8657172936370056E-2</v>
      </c>
      <c r="H707" s="12">
        <v>-0.10832297167910787</v>
      </c>
      <c r="I707" s="12">
        <v>6.4167161282216806E-2</v>
      </c>
      <c r="J707" s="12">
        <v>4.5835056906060592E-3</v>
      </c>
      <c r="K707" s="12">
        <v>-1.0204023932171962E-2</v>
      </c>
      <c r="L707" s="12">
        <v>6.0445465927848234E-3</v>
      </c>
      <c r="M707" s="12">
        <v>3.6492879702277544E-5</v>
      </c>
      <c r="N707" s="12">
        <v>-8.1242228759330901E-5</v>
      </c>
      <c r="O707" s="12">
        <v>4.8125370961662603E-5</v>
      </c>
      <c r="P707">
        <f t="shared" ref="P707:P770" si="33">G707*D707</f>
        <v>3.1979760852928134E-2</v>
      </c>
      <c r="Q707">
        <f t="shared" ref="Q707:Q770" si="34">H707*D707</f>
        <v>-7.1194903446332655E-2</v>
      </c>
      <c r="R707">
        <f t="shared" ref="R707:R770" si="35">I707*D707</f>
        <v>4.2173647760014123E-2</v>
      </c>
    </row>
    <row r="708" spans="1:18" ht="13">
      <c r="A708" s="24" t="s">
        <v>158</v>
      </c>
      <c r="B708" s="9">
        <v>2018</v>
      </c>
      <c r="C708" s="4">
        <v>-1.3856956956578705</v>
      </c>
      <c r="D708" s="10">
        <v>0.57307061576305429</v>
      </c>
      <c r="E708" s="11">
        <v>9.4200000000000006E-2</v>
      </c>
      <c r="F708" s="11">
        <v>7.5000000000000002E-4</v>
      </c>
      <c r="G708" s="12">
        <v>1.8533887966721996E-2</v>
      </c>
      <c r="H708" s="12">
        <v>0.15075095494270344</v>
      </c>
      <c r="I708" s="12">
        <v>-0.17761434313941166</v>
      </c>
      <c r="J708" s="12">
        <v>1.7458922464652121E-3</v>
      </c>
      <c r="K708" s="12">
        <v>1.4200739955602665E-2</v>
      </c>
      <c r="L708" s="12">
        <v>-1.6731271123732579E-2</v>
      </c>
      <c r="M708" s="12">
        <v>1.3900415975041497E-5</v>
      </c>
      <c r="N708" s="12">
        <v>1.1306321620702758E-4</v>
      </c>
      <c r="O708" s="12">
        <v>-1.3321075735455874E-4</v>
      </c>
      <c r="P708">
        <f t="shared" si="33"/>
        <v>1.0621226589572836E-2</v>
      </c>
      <c r="Q708">
        <f t="shared" si="34"/>
        <v>8.6390942575883506E-2</v>
      </c>
      <c r="R708">
        <f t="shared" si="35"/>
        <v>-0.10178556099125305</v>
      </c>
    </row>
    <row r="709" spans="1:18" ht="13">
      <c r="A709" s="24" t="s">
        <v>158</v>
      </c>
      <c r="B709" s="9">
        <v>2019</v>
      </c>
      <c r="C709" s="4">
        <v>-1.4343897130145176</v>
      </c>
      <c r="D709" s="10">
        <v>0.56521979624470742</v>
      </c>
      <c r="E709" s="11">
        <v>8.5999999999999993E-2</v>
      </c>
      <c r="F709" s="11">
        <v>7.5000000000000002E-4</v>
      </c>
      <c r="G709" s="12">
        <v>0.11541942815765389</v>
      </c>
      <c r="H709" s="12">
        <v>9.8558828557923422E-4</v>
      </c>
      <c r="I709" s="12">
        <v>-0.122253175505114</v>
      </c>
      <c r="J709" s="12">
        <v>9.9260708215582333E-3</v>
      </c>
      <c r="K709" s="12">
        <v>8.4760592559814132E-5</v>
      </c>
      <c r="L709" s="12">
        <v>-1.0513773093439803E-2</v>
      </c>
      <c r="M709" s="12">
        <v>8.6564571118240421E-5</v>
      </c>
      <c r="N709" s="12">
        <v>7.391912141844257E-7</v>
      </c>
      <c r="O709" s="12">
        <v>-9.1689881628835497E-5</v>
      </c>
      <c r="P709">
        <f t="shared" si="33"/>
        <v>6.5237345665949784E-2</v>
      </c>
      <c r="Q709">
        <f t="shared" si="34"/>
        <v>5.5707400995626526E-4</v>
      </c>
      <c r="R709">
        <f t="shared" si="35"/>
        <v>-6.9099914949268995E-2</v>
      </c>
    </row>
    <row r="710" spans="1:18" ht="13">
      <c r="A710" s="24" t="s">
        <v>158</v>
      </c>
      <c r="B710" s="9">
        <v>2020</v>
      </c>
      <c r="C710" s="4">
        <v>-1.2378725112541238</v>
      </c>
      <c r="D710" s="10">
        <v>0.59004223393929867</v>
      </c>
      <c r="E710" s="11">
        <v>8.5999999999999993E-2</v>
      </c>
      <c r="F710" s="11">
        <v>1.3999999999999999E-4</v>
      </c>
      <c r="G710" s="12">
        <v>0.10136670076860524</v>
      </c>
      <c r="H710" s="12">
        <v>-1.1201175205267439E-2</v>
      </c>
      <c r="I710" s="12">
        <v>-8.4331470842842537E-2</v>
      </c>
      <c r="J710" s="12">
        <v>8.7175362661000497E-3</v>
      </c>
      <c r="K710" s="12">
        <v>-9.633010676529997E-4</v>
      </c>
      <c r="L710" s="12">
        <v>-7.2525064924844574E-3</v>
      </c>
      <c r="M710" s="12">
        <v>1.4191338107604733E-5</v>
      </c>
      <c r="N710" s="12">
        <v>-1.5681645287374414E-6</v>
      </c>
      <c r="O710" s="12">
        <v>-1.1806405917997953E-5</v>
      </c>
      <c r="P710">
        <f t="shared" si="33"/>
        <v>5.981063456856426E-2</v>
      </c>
      <c r="Q710">
        <f t="shared" si="34"/>
        <v>-6.6091664408614824E-3</v>
      </c>
      <c r="R710">
        <f t="shared" si="35"/>
        <v>-4.9759129447497642E-2</v>
      </c>
    </row>
    <row r="711" spans="1:18" ht="13">
      <c r="A711" s="24" t="s">
        <v>158</v>
      </c>
      <c r="B711" s="9">
        <v>2021</v>
      </c>
      <c r="C711" s="4">
        <v>-0.87800921056955561</v>
      </c>
      <c r="D711" s="10">
        <v>0.6421365694113188</v>
      </c>
      <c r="E711" s="11">
        <v>3.4500000000000003E-2</v>
      </c>
      <c r="F711" s="11">
        <v>1.3999999999999999E-4</v>
      </c>
      <c r="G711" s="12">
        <v>3.3773680503206831E-2</v>
      </c>
      <c r="H711" s="12">
        <v>-0.16275956385445886</v>
      </c>
      <c r="I711" s="12">
        <v>0.13118555957868375</v>
      </c>
      <c r="J711" s="12">
        <v>1.1651919773606357E-3</v>
      </c>
      <c r="K711" s="12">
        <v>-5.6152049529788308E-3</v>
      </c>
      <c r="L711" s="12">
        <v>4.5259018054645897E-3</v>
      </c>
      <c r="M711" s="12">
        <v>4.7283152704489561E-6</v>
      </c>
      <c r="N711" s="12">
        <v>-2.2786338939624239E-5</v>
      </c>
      <c r="O711" s="12">
        <v>1.8365978341015722E-5</v>
      </c>
      <c r="P711">
        <f t="shared" si="33"/>
        <v>2.1687315334723178E-2</v>
      </c>
      <c r="Q711">
        <f t="shared" si="34"/>
        <v>-0.1045138679723847</v>
      </c>
      <c r="R711">
        <f t="shared" si="35"/>
        <v>8.4239045184160158E-2</v>
      </c>
    </row>
    <row r="712" spans="1:18" ht="13">
      <c r="A712" s="24" t="s">
        <v>159</v>
      </c>
      <c r="B712" s="9">
        <v>2017</v>
      </c>
      <c r="C712" s="4">
        <v>4.5770673287360862E-2</v>
      </c>
      <c r="D712" s="10">
        <v>0.77891907697859186</v>
      </c>
      <c r="E712" s="11">
        <v>4.1000000000000003E-3</v>
      </c>
      <c r="F712" s="11">
        <v>0.15790000000000001</v>
      </c>
      <c r="G712" s="12">
        <v>-0.33136941387269575</v>
      </c>
      <c r="H712" s="12">
        <v>1.1279575444992628E-2</v>
      </c>
      <c r="I712" s="12">
        <v>0.28896990661531863</v>
      </c>
      <c r="J712" s="12">
        <v>-1.3586145968780526E-3</v>
      </c>
      <c r="K712" s="12">
        <v>4.624625932446978E-5</v>
      </c>
      <c r="L712" s="12">
        <v>1.1847766171228064E-3</v>
      </c>
      <c r="M712" s="12">
        <v>-5.2323230450498665E-2</v>
      </c>
      <c r="N712" s="12">
        <v>1.781044962764336E-3</v>
      </c>
      <c r="O712" s="12">
        <v>4.5628348254558818E-2</v>
      </c>
      <c r="P712">
        <f t="shared" si="33"/>
        <v>-0.25810995799265718</v>
      </c>
      <c r="Q712">
        <f t="shared" si="34"/>
        <v>8.7858764943240467E-3</v>
      </c>
      <c r="R712">
        <f t="shared" si="35"/>
        <v>0.22508417293539387</v>
      </c>
    </row>
    <row r="713" spans="1:18" ht="13">
      <c r="A713" s="24" t="s">
        <v>159</v>
      </c>
      <c r="B713" s="9">
        <v>2018</v>
      </c>
      <c r="C713" s="4">
        <v>0.30673670136779069</v>
      </c>
      <c r="D713" s="10">
        <v>0.83106573184284493</v>
      </c>
      <c r="E713" s="11">
        <v>0</v>
      </c>
      <c r="F713" s="11">
        <v>0.15529999999999999</v>
      </c>
      <c r="G713" s="12">
        <v>-0.20987775380793619</v>
      </c>
      <c r="H713" s="12">
        <v>-1.6506504543374518E-3</v>
      </c>
      <c r="I713" s="12">
        <v>0.25029008956004445</v>
      </c>
      <c r="J713" s="12">
        <v>0</v>
      </c>
      <c r="K713" s="12">
        <v>0</v>
      </c>
      <c r="L713" s="12">
        <v>0</v>
      </c>
      <c r="M713" s="12">
        <v>-3.2594015166372489E-2</v>
      </c>
      <c r="N713" s="12">
        <v>-2.5634601555860623E-4</v>
      </c>
      <c r="O713" s="12">
        <v>3.8870050908674902E-2</v>
      </c>
      <c r="P713">
        <f t="shared" si="33"/>
        <v>-0.17442220906592493</v>
      </c>
      <c r="Q713">
        <f t="shared" si="34"/>
        <v>-1.3717990278506789E-3</v>
      </c>
      <c r="R713">
        <f t="shared" si="35"/>
        <v>0.20800751645322954</v>
      </c>
    </row>
    <row r="714" spans="1:18" ht="13">
      <c r="A714" s="24" t="s">
        <v>159</v>
      </c>
      <c r="B714" s="9">
        <v>2019</v>
      </c>
      <c r="C714" s="4">
        <v>0.1637035638195487</v>
      </c>
      <c r="D714" s="10">
        <v>0.80894975648336997</v>
      </c>
      <c r="E714" s="11">
        <v>0</v>
      </c>
      <c r="F714" s="11">
        <v>0.16192000000000001</v>
      </c>
      <c r="G714" s="12">
        <v>0.12259917578986802</v>
      </c>
      <c r="H714" s="12">
        <v>1.6858843608208798E-3</v>
      </c>
      <c r="I714" s="12">
        <v>-0.14338342421845729</v>
      </c>
      <c r="J714" s="12">
        <v>0</v>
      </c>
      <c r="K714" s="12">
        <v>0</v>
      </c>
      <c r="L714" s="12">
        <v>0</v>
      </c>
      <c r="M714" s="12">
        <v>1.9851258543895432E-2</v>
      </c>
      <c r="N714" s="12">
        <v>2.7297839570411688E-4</v>
      </c>
      <c r="O714" s="12">
        <v>-2.3216644049452607E-2</v>
      </c>
      <c r="P714">
        <f t="shared" si="33"/>
        <v>9.9176573400275608E-2</v>
      </c>
      <c r="Q714">
        <f t="shared" si="34"/>
        <v>1.3637957431451725E-3</v>
      </c>
      <c r="R714">
        <f t="shared" si="35"/>
        <v>-0.11598998610527275</v>
      </c>
    </row>
    <row r="715" spans="1:18" ht="13">
      <c r="A715" s="24" t="s">
        <v>159</v>
      </c>
      <c r="B715" s="9">
        <v>2020</v>
      </c>
      <c r="C715" s="4">
        <v>0.25187779087631529</v>
      </c>
      <c r="D715" s="10">
        <v>0.80316445722615082</v>
      </c>
      <c r="E715" s="11">
        <v>0</v>
      </c>
      <c r="F715" s="11">
        <v>0.1108</v>
      </c>
      <c r="G715" s="12">
        <v>0.14171607540331316</v>
      </c>
      <c r="H715" s="12">
        <v>-5.984694782043453E-2</v>
      </c>
      <c r="I715" s="12">
        <v>-0.10217759568223453</v>
      </c>
      <c r="J715" s="12">
        <v>0</v>
      </c>
      <c r="K715" s="12">
        <v>0</v>
      </c>
      <c r="L715" s="12">
        <v>0</v>
      </c>
      <c r="M715" s="12">
        <v>1.5702141154687096E-2</v>
      </c>
      <c r="N715" s="12">
        <v>-6.6310418185041454E-3</v>
      </c>
      <c r="O715" s="12">
        <v>-1.1321277601591585E-2</v>
      </c>
      <c r="P715">
        <f t="shared" si="33"/>
        <v>0.11382131478152227</v>
      </c>
      <c r="Q715">
        <f t="shared" si="34"/>
        <v>-4.8066941362841072E-2</v>
      </c>
      <c r="R715">
        <f t="shared" si="35"/>
        <v>-8.2065413176794985E-2</v>
      </c>
    </row>
    <row r="716" spans="1:18" ht="13">
      <c r="A716" s="24" t="s">
        <v>159</v>
      </c>
      <c r="B716" s="9">
        <v>2021</v>
      </c>
      <c r="C716" s="4">
        <v>-0.31574034403918089</v>
      </c>
      <c r="D716" s="10">
        <v>0.71740843011451316</v>
      </c>
      <c r="E716" s="11">
        <v>1.5599999999999999E-2</v>
      </c>
      <c r="F716" s="11">
        <v>2.01E-2</v>
      </c>
      <c r="G716" s="12">
        <v>-9.6467148542191183E-2</v>
      </c>
      <c r="H716" s="12">
        <v>4.4871274262974093E-3</v>
      </c>
      <c r="I716" s="12">
        <v>8.126370502720702E-2</v>
      </c>
      <c r="J716" s="12">
        <v>-1.5048875172581824E-3</v>
      </c>
      <c r="K716" s="12">
        <v>6.9999187850239587E-5</v>
      </c>
      <c r="L716" s="12">
        <v>1.2677137984244294E-3</v>
      </c>
      <c r="M716" s="12">
        <v>-1.9389896856980427E-3</v>
      </c>
      <c r="N716" s="12">
        <v>9.019126126857793E-5</v>
      </c>
      <c r="O716" s="12">
        <v>1.6334004710468612E-3</v>
      </c>
      <c r="P716">
        <f t="shared" si="33"/>
        <v>-6.920634559327693E-2</v>
      </c>
      <c r="Q716">
        <f t="shared" si="34"/>
        <v>3.2191030426238004E-3</v>
      </c>
      <c r="R716">
        <f t="shared" si="35"/>
        <v>5.8299267048857462E-2</v>
      </c>
    </row>
    <row r="717" spans="1:18" ht="13">
      <c r="A717" s="24" t="s">
        <v>160</v>
      </c>
      <c r="B717" s="9">
        <v>2017</v>
      </c>
      <c r="C717" s="4">
        <v>-2.150064552904833</v>
      </c>
      <c r="D717" s="10">
        <v>0.43861961061880966</v>
      </c>
      <c r="E717" s="11">
        <v>0.1106</v>
      </c>
      <c r="F717" s="11">
        <v>6.9999999999999999E-4</v>
      </c>
      <c r="G717" s="12">
        <v>2.6819432738380725E-2</v>
      </c>
      <c r="H717" s="12">
        <v>2.516402717565925E-2</v>
      </c>
      <c r="I717" s="12">
        <v>-6.4246499434228471E-2</v>
      </c>
      <c r="J717" s="12">
        <v>2.9662292608649081E-3</v>
      </c>
      <c r="K717" s="12">
        <v>2.783141405627913E-3</v>
      </c>
      <c r="L717" s="12">
        <v>-7.1056628374256692E-3</v>
      </c>
      <c r="M717" s="12">
        <v>1.8773602916866509E-5</v>
      </c>
      <c r="N717" s="12">
        <v>1.7614819022961476E-5</v>
      </c>
      <c r="O717" s="12">
        <v>-4.4972549603959927E-5</v>
      </c>
      <c r="P717">
        <f t="shared" si="33"/>
        <v>1.176352914472591E-2</v>
      </c>
      <c r="Q717">
        <f t="shared" si="34"/>
        <v>1.1037435801388804E-2</v>
      </c>
      <c r="R717">
        <f t="shared" si="35"/>
        <v>-2.8179774565462869E-2</v>
      </c>
    </row>
    <row r="718" spans="1:18" ht="13">
      <c r="A718" s="24" t="s">
        <v>160</v>
      </c>
      <c r="B718" s="9">
        <v>2018</v>
      </c>
      <c r="C718" s="4">
        <v>-2.1866646568398975</v>
      </c>
      <c r="D718" s="10">
        <v>0.47185851910530674</v>
      </c>
      <c r="E718" s="11">
        <v>6.6900000000000001E-2</v>
      </c>
      <c r="F718" s="11">
        <v>6.9999999999999999E-4</v>
      </c>
      <c r="G718" s="12">
        <v>9.2079735342507754E-2</v>
      </c>
      <c r="H718" s="12">
        <v>-1.4284506804158567E-2</v>
      </c>
      <c r="I718" s="12">
        <v>-5.3873053251902274E-2</v>
      </c>
      <c r="J718" s="12">
        <v>6.1601342944137688E-3</v>
      </c>
      <c r="K718" s="12">
        <v>-9.5563350519820814E-4</v>
      </c>
      <c r="L718" s="12">
        <v>-3.6041072625522621E-3</v>
      </c>
      <c r="M718" s="12">
        <v>6.445581473975543E-5</v>
      </c>
      <c r="N718" s="12">
        <v>-9.9991547629109966E-6</v>
      </c>
      <c r="O718" s="12">
        <v>-3.771113727633159E-5</v>
      </c>
      <c r="P718">
        <f t="shared" si="33"/>
        <v>4.3448607558324283E-2</v>
      </c>
      <c r="Q718">
        <f t="shared" si="34"/>
        <v>-6.7402662267599389E-3</v>
      </c>
      <c r="R718">
        <f t="shared" si="35"/>
        <v>-2.5420459127123936E-2</v>
      </c>
    </row>
    <row r="719" spans="1:18" ht="13">
      <c r="A719" s="24" t="s">
        <v>160</v>
      </c>
      <c r="B719" s="9">
        <v>2019</v>
      </c>
      <c r="C719" s="4">
        <v>-1.5148551968989814</v>
      </c>
      <c r="D719" s="10">
        <v>0.55569979383415513</v>
      </c>
      <c r="E719" s="11">
        <v>5.74E-2</v>
      </c>
      <c r="F719" s="11">
        <v>1.34E-3</v>
      </c>
      <c r="G719" s="12">
        <v>0.10950873770819419</v>
      </c>
      <c r="H719" s="12">
        <v>-9.2048694083706403E-3</v>
      </c>
      <c r="I719" s="12">
        <v>-4.7826376588305422E-2</v>
      </c>
      <c r="J719" s="12">
        <v>6.2858015444503465E-3</v>
      </c>
      <c r="K719" s="12">
        <v>-5.2835950404047478E-4</v>
      </c>
      <c r="L719" s="12">
        <v>-2.7452340161687313E-3</v>
      </c>
      <c r="M719" s="12">
        <v>1.4674170852898023E-4</v>
      </c>
      <c r="N719" s="12">
        <v>-1.2334525007216658E-5</v>
      </c>
      <c r="O719" s="12">
        <v>-6.4087344628329263E-5</v>
      </c>
      <c r="P719">
        <f t="shared" si="33"/>
        <v>6.0853982967482081E-2</v>
      </c>
      <c r="Q719">
        <f t="shared" si="34"/>
        <v>-5.115144032501886E-3</v>
      </c>
      <c r="R719">
        <f t="shared" si="35"/>
        <v>-2.6577107609955988E-2</v>
      </c>
    </row>
    <row r="720" spans="1:18" ht="13">
      <c r="A720" s="24" t="s">
        <v>160</v>
      </c>
      <c r="B720" s="9">
        <v>2020</v>
      </c>
      <c r="C720" s="4">
        <v>-2.271652610844181</v>
      </c>
      <c r="D720" s="10">
        <v>0.49360291913649351</v>
      </c>
      <c r="E720" s="11">
        <v>0.85899999999999999</v>
      </c>
      <c r="F720" s="11">
        <v>1.6999999999999999E-3</v>
      </c>
      <c r="G720" s="12">
        <v>0.11984700837447161</v>
      </c>
      <c r="H720" s="12">
        <v>-0.11488135655429338</v>
      </c>
      <c r="I720" s="12">
        <v>-4.2074226324836518E-2</v>
      </c>
      <c r="J720" s="12">
        <v>0.10294858019367112</v>
      </c>
      <c r="K720" s="12">
        <v>-9.8683085280138014E-2</v>
      </c>
      <c r="L720" s="12">
        <v>-3.6141760413034567E-2</v>
      </c>
      <c r="M720" s="12">
        <v>2.0373991423660172E-4</v>
      </c>
      <c r="N720" s="12">
        <v>-1.9529830614229874E-4</v>
      </c>
      <c r="O720" s="12">
        <v>-7.1526184752222072E-5</v>
      </c>
      <c r="P720">
        <f t="shared" si="33"/>
        <v>5.915683318341497E-2</v>
      </c>
      <c r="Q720">
        <f t="shared" si="34"/>
        <v>-5.6705772949559551E-2</v>
      </c>
      <c r="R720">
        <f t="shared" si="35"/>
        <v>-2.0767960934348805E-2</v>
      </c>
    </row>
    <row r="721" spans="1:18" ht="13">
      <c r="A721" s="24" t="s">
        <v>160</v>
      </c>
      <c r="B721" s="9">
        <v>2021</v>
      </c>
      <c r="C721" s="4">
        <v>-1.932936649521998</v>
      </c>
      <c r="D721" s="10">
        <v>0.48413327846983945</v>
      </c>
      <c r="E721" s="11">
        <v>0.14710000000000001</v>
      </c>
      <c r="F721" s="11">
        <v>1.6999999999999999E-3</v>
      </c>
      <c r="G721" s="12">
        <v>4.2237700511690568E-2</v>
      </c>
      <c r="H721" s="12">
        <v>5.2264114629306399E-2</v>
      </c>
      <c r="I721" s="12">
        <v>-0.14237906249792603</v>
      </c>
      <c r="J721" s="12">
        <v>6.2131657452696833E-3</v>
      </c>
      <c r="K721" s="12">
        <v>7.6880512619709714E-3</v>
      </c>
      <c r="L721" s="12">
        <v>-2.094396009344492E-2</v>
      </c>
      <c r="M721" s="12">
        <v>7.1804090869873955E-5</v>
      </c>
      <c r="N721" s="12">
        <v>8.8848994869820871E-5</v>
      </c>
      <c r="O721" s="12">
        <v>-2.4204440624647425E-4</v>
      </c>
      <c r="P721">
        <f t="shared" si="33"/>
        <v>2.044867642375197E-2</v>
      </c>
      <c r="Q721">
        <f t="shared" si="34"/>
        <v>2.5302797161809606E-2</v>
      </c>
      <c r="R721">
        <f t="shared" si="35"/>
        <v>-6.8930442312583093E-2</v>
      </c>
    </row>
    <row r="722" spans="1:18" ht="13">
      <c r="A722" s="24" t="s">
        <v>161</v>
      </c>
      <c r="B722" s="9">
        <v>2017</v>
      </c>
      <c r="C722" s="4">
        <v>0.37054371163545607</v>
      </c>
      <c r="D722" s="10">
        <v>0.75879380442118094</v>
      </c>
      <c r="E722" s="27">
        <v>8.2000000000000007E-3</v>
      </c>
      <c r="F722" s="11">
        <v>8.8800000000000004E-2</v>
      </c>
      <c r="G722" s="12">
        <v>0.13648708705742926</v>
      </c>
      <c r="H722" s="12">
        <v>-2.6731190229289086E-2</v>
      </c>
      <c r="I722" s="12">
        <v>-6.3404276332032994E-2</v>
      </c>
      <c r="J722" s="12">
        <v>1.1191941138709201E-3</v>
      </c>
      <c r="K722" s="12">
        <v>-2.1919575988017052E-4</v>
      </c>
      <c r="L722" s="12">
        <v>-5.1991506592267056E-4</v>
      </c>
      <c r="M722" s="12">
        <v>1.212005333069972E-2</v>
      </c>
      <c r="N722" s="12">
        <v>-2.3737296923608711E-3</v>
      </c>
      <c r="O722" s="12">
        <v>-5.6302997382845299E-3</v>
      </c>
      <c r="P722">
        <f t="shared" si="33"/>
        <v>0.10356555604267167</v>
      </c>
      <c r="Q722">
        <f t="shared" si="34"/>
        <v>-2.0283461530788565E-2</v>
      </c>
      <c r="R722">
        <f t="shared" si="35"/>
        <v>-4.8110772054555155E-2</v>
      </c>
    </row>
    <row r="723" spans="1:18" ht="13">
      <c r="A723" s="24" t="s">
        <v>161</v>
      </c>
      <c r="B723" s="9">
        <v>2018</v>
      </c>
      <c r="C723" s="4">
        <v>0.10789993654060848</v>
      </c>
      <c r="D723" s="10">
        <v>0.7130530520278574</v>
      </c>
      <c r="E723" s="27">
        <v>7.9000000000000008E-3</v>
      </c>
      <c r="F723" s="11">
        <v>8.9300000000000004E-2</v>
      </c>
      <c r="G723" s="12">
        <v>0.35374846374436703</v>
      </c>
      <c r="H723" s="12">
        <v>-3.8662433428922572E-3</v>
      </c>
      <c r="I723" s="12">
        <v>-0.42252150757886114</v>
      </c>
      <c r="J723" s="12">
        <v>2.7946128635804998E-3</v>
      </c>
      <c r="K723" s="12">
        <v>-3.0543322408848834E-5</v>
      </c>
      <c r="L723" s="12">
        <v>-3.3379199098730033E-3</v>
      </c>
      <c r="M723" s="12">
        <v>3.1589737812371975E-2</v>
      </c>
      <c r="N723" s="12">
        <v>-3.4525553052027857E-4</v>
      </c>
      <c r="O723" s="12">
        <v>-3.77311706267923E-2</v>
      </c>
      <c r="P723">
        <f t="shared" si="33"/>
        <v>0.25224142172308678</v>
      </c>
      <c r="Q723">
        <f t="shared" si="34"/>
        <v>-2.7568366155317102E-3</v>
      </c>
      <c r="R723">
        <f t="shared" si="35"/>
        <v>-0.30128025052651841</v>
      </c>
    </row>
    <row r="724" spans="1:18" ht="13">
      <c r="A724" s="24" t="s">
        <v>161</v>
      </c>
      <c r="B724" s="9">
        <v>2019</v>
      </c>
      <c r="C724" s="4">
        <v>-0.9860697660877733</v>
      </c>
      <c r="D724" s="10">
        <v>0.59995284448785746</v>
      </c>
      <c r="E724" s="11">
        <v>7.7999999999999996E-3</v>
      </c>
      <c r="F724" s="11">
        <v>6.4500000000000002E-2</v>
      </c>
      <c r="G724" s="12">
        <v>0.22779480615716258</v>
      </c>
      <c r="H724" s="12">
        <v>8.0568560746404408E-2</v>
      </c>
      <c r="I724" s="12">
        <v>-0.32062380006062852</v>
      </c>
      <c r="J724" s="12">
        <v>1.7767994880258681E-3</v>
      </c>
      <c r="K724" s="12">
        <v>6.284347738219543E-4</v>
      </c>
      <c r="L724" s="12">
        <v>-2.5008656404729023E-3</v>
      </c>
      <c r="M724" s="12">
        <v>1.4692764997136986E-2</v>
      </c>
      <c r="N724" s="12">
        <v>5.1966721681430848E-3</v>
      </c>
      <c r="O724" s="12">
        <v>-2.0680235103910542E-2</v>
      </c>
      <c r="P724">
        <f t="shared" si="33"/>
        <v>0.13666614191354978</v>
      </c>
      <c r="Q724">
        <f t="shared" si="34"/>
        <v>4.8337337196098062E-2</v>
      </c>
      <c r="R724">
        <f t="shared" si="35"/>
        <v>-0.19235916085688015</v>
      </c>
    </row>
    <row r="725" spans="1:18" ht="13">
      <c r="A725" s="24" t="s">
        <v>161</v>
      </c>
      <c r="B725" s="9">
        <v>2020</v>
      </c>
      <c r="C725" s="4">
        <v>-0.69333552961309386</v>
      </c>
      <c r="D725" s="10">
        <v>0.63790826128722378</v>
      </c>
      <c r="E725" s="11">
        <v>7.7000000000000002E-3</v>
      </c>
      <c r="F725" s="11">
        <v>7.0199999999999999E-2</v>
      </c>
      <c r="G725" s="12">
        <v>-0.11497358309317962</v>
      </c>
      <c r="H725" s="12">
        <v>9.3059558117195007E-4</v>
      </c>
      <c r="I725" s="12">
        <v>0.10572766570605187</v>
      </c>
      <c r="J725" s="12">
        <v>-8.8529658981748309E-4</v>
      </c>
      <c r="K725" s="12">
        <v>7.165585975024016E-6</v>
      </c>
      <c r="L725" s="12">
        <v>8.1410302593659938E-4</v>
      </c>
      <c r="M725" s="12">
        <v>-8.0711455331412101E-3</v>
      </c>
      <c r="N725" s="12">
        <v>6.53278097982709E-5</v>
      </c>
      <c r="O725" s="12">
        <v>7.422082132564841E-3</v>
      </c>
      <c r="P725">
        <f t="shared" si="33"/>
        <v>-7.3342598484932353E-2</v>
      </c>
      <c r="Q725">
        <f t="shared" si="34"/>
        <v>5.9363460914697223E-4</v>
      </c>
      <c r="R725">
        <f t="shared" si="35"/>
        <v>6.7444551400504385E-2</v>
      </c>
    </row>
    <row r="726" spans="1:18" ht="13">
      <c r="A726" s="24" t="s">
        <v>161</v>
      </c>
      <c r="B726" s="9">
        <v>2021</v>
      </c>
      <c r="C726" s="4">
        <v>-0.51889912034648022</v>
      </c>
      <c r="D726" s="10">
        <v>0.65057645631067962</v>
      </c>
      <c r="E726" s="11">
        <v>8.5000000000000006E-3</v>
      </c>
      <c r="F726" s="11">
        <v>6.6299999999999998E-2</v>
      </c>
      <c r="G726" s="12">
        <v>2.8883495145631065E-2</v>
      </c>
      <c r="H726" s="12">
        <v>6.0679611650485432E-4</v>
      </c>
      <c r="I726" s="12">
        <v>-1.7415048543689318E-2</v>
      </c>
      <c r="J726" s="12">
        <v>2.4550970873786406E-4</v>
      </c>
      <c r="K726" s="12">
        <v>5.1577669902912623E-6</v>
      </c>
      <c r="L726" s="12">
        <v>-1.4802791262135922E-4</v>
      </c>
      <c r="M726" s="12">
        <v>1.9149757281553396E-3</v>
      </c>
      <c r="N726" s="12">
        <v>4.023058252427184E-5</v>
      </c>
      <c r="O726" s="12">
        <v>-1.1546177184466018E-3</v>
      </c>
      <c r="P726">
        <f t="shared" si="33"/>
        <v>1.8790921917711374E-2</v>
      </c>
      <c r="Q726">
        <f t="shared" si="34"/>
        <v>3.947672671788104E-4</v>
      </c>
      <c r="R726">
        <f t="shared" si="35"/>
        <v>-1.1329820568031859E-2</v>
      </c>
    </row>
    <row r="727" spans="1:18" ht="13">
      <c r="A727" s="24" t="s">
        <v>162</v>
      </c>
      <c r="B727" s="9">
        <v>2017</v>
      </c>
      <c r="C727" s="4">
        <v>-1.8165293692149007</v>
      </c>
      <c r="D727" s="10">
        <v>0.49972730075170146</v>
      </c>
      <c r="E727" s="11">
        <v>0.15540000000000001</v>
      </c>
      <c r="F727" s="11">
        <v>9.9000000000000008E-3</v>
      </c>
      <c r="G727" s="12">
        <v>0.11925256692988073</v>
      </c>
      <c r="H727" s="12">
        <v>-0.50546584145502838</v>
      </c>
      <c r="I727" s="12">
        <v>0.27801095539588816</v>
      </c>
      <c r="J727" s="12">
        <v>1.8531848900903466E-2</v>
      </c>
      <c r="K727" s="12">
        <v>-7.8549391762111412E-2</v>
      </c>
      <c r="L727" s="12">
        <v>4.3202902468521022E-2</v>
      </c>
      <c r="M727" s="12">
        <v>1.1806004126058193E-3</v>
      </c>
      <c r="N727" s="12">
        <v>-5.0041118304047817E-3</v>
      </c>
      <c r="O727" s="12">
        <v>2.7523084584192932E-3</v>
      </c>
      <c r="P727">
        <f t="shared" si="33"/>
        <v>5.9593763379580916E-2</v>
      </c>
      <c r="Q727">
        <f t="shared" si="34"/>
        <v>-0.25259508057250879</v>
      </c>
      <c r="R727">
        <f t="shared" si="35"/>
        <v>0.13892966431938886</v>
      </c>
    </row>
    <row r="728" spans="1:18" ht="13">
      <c r="A728" s="24" t="s">
        <v>162</v>
      </c>
      <c r="B728" s="9">
        <v>2018</v>
      </c>
      <c r="C728" s="4">
        <v>-2.2048800775395057</v>
      </c>
      <c r="D728" s="10">
        <v>0.44187176994320215</v>
      </c>
      <c r="E728" s="11">
        <v>0.1547</v>
      </c>
      <c r="F728" s="11">
        <v>1.3188E-2</v>
      </c>
      <c r="G728" s="12">
        <v>0.1858977639052346</v>
      </c>
      <c r="H728" s="12">
        <v>-8.8522744716778377E-3</v>
      </c>
      <c r="I728" s="12">
        <v>-0.16650463081410222</v>
      </c>
      <c r="J728" s="12">
        <v>2.8758384076139794E-2</v>
      </c>
      <c r="K728" s="12">
        <v>-1.3694468607685615E-3</v>
      </c>
      <c r="L728" s="12">
        <v>-2.5758266386941613E-2</v>
      </c>
      <c r="M728" s="12">
        <v>2.4516197103822339E-3</v>
      </c>
      <c r="N728" s="12">
        <v>-1.1674379573248732E-4</v>
      </c>
      <c r="O728" s="12">
        <v>-2.19586307117638E-3</v>
      </c>
      <c r="P728">
        <f t="shared" si="33"/>
        <v>8.2142973965289537E-2</v>
      </c>
      <c r="Q728">
        <f t="shared" si="34"/>
        <v>-3.9115701888233108E-3</v>
      </c>
      <c r="R728">
        <f t="shared" si="35"/>
        <v>-7.357369592156679E-2</v>
      </c>
    </row>
    <row r="729" spans="1:18" ht="13">
      <c r="A729" s="24" t="s">
        <v>162</v>
      </c>
      <c r="B729" s="9">
        <v>2019</v>
      </c>
      <c r="C729" s="4">
        <v>-1.1679051460019607</v>
      </c>
      <c r="D729" s="10">
        <v>0.59775252433860515</v>
      </c>
      <c r="E729" s="11">
        <v>2.7799999999999998E-2</v>
      </c>
      <c r="F729" s="11">
        <v>1.3188E-2</v>
      </c>
      <c r="G729" s="12">
        <v>0.16354818862871412</v>
      </c>
      <c r="H729" s="12">
        <v>-0.38925482248199489</v>
      </c>
      <c r="I729" s="12">
        <v>0.19241069812891318</v>
      </c>
      <c r="J729" s="12">
        <v>4.5466396438782518E-3</v>
      </c>
      <c r="K729" s="12">
        <v>-1.0821284064999458E-2</v>
      </c>
      <c r="L729" s="12">
        <v>5.3490174079837858E-3</v>
      </c>
      <c r="M729" s="12">
        <v>2.1568735116354819E-3</v>
      </c>
      <c r="N729" s="12">
        <v>-5.1334925988925483E-3</v>
      </c>
      <c r="O729" s="12">
        <v>2.5375122869241069E-3</v>
      </c>
      <c r="P729">
        <f t="shared" si="33"/>
        <v>9.7761342603820217E-2</v>
      </c>
      <c r="Q729">
        <f t="shared" si="34"/>
        <v>-0.23267805274958808</v>
      </c>
      <c r="R729">
        <f t="shared" si="35"/>
        <v>0.11501398051631118</v>
      </c>
    </row>
    <row r="730" spans="1:18" ht="13">
      <c r="A730" s="24" t="s">
        <v>162</v>
      </c>
      <c r="B730" s="9">
        <v>2020</v>
      </c>
      <c r="C730" s="4">
        <v>-1.4240328396875774</v>
      </c>
      <c r="D730" s="10">
        <v>0.54757983530829479</v>
      </c>
      <c r="E730" s="11">
        <v>2.3300000000000001E-2</v>
      </c>
      <c r="F730" s="11">
        <v>9.7999999999999997E-3</v>
      </c>
      <c r="G730" s="12">
        <v>0.13824061056437037</v>
      </c>
      <c r="H730" s="12">
        <v>7.6722233380196823E-3</v>
      </c>
      <c r="I730" s="12">
        <v>-0.12165093392247441</v>
      </c>
      <c r="J730" s="12">
        <v>3.22100622614983E-3</v>
      </c>
      <c r="K730" s="12">
        <v>1.787628037758586E-4</v>
      </c>
      <c r="L730" s="12">
        <v>-2.8344667603936538E-3</v>
      </c>
      <c r="M730" s="12">
        <v>1.3547579835308295E-3</v>
      </c>
      <c r="N730" s="12">
        <v>7.5187788712592887E-5</v>
      </c>
      <c r="O730" s="12">
        <v>-1.192179152440249E-3</v>
      </c>
      <c r="P730">
        <f t="shared" si="33"/>
        <v>7.5697770765756039E-2</v>
      </c>
      <c r="Q730">
        <f t="shared" si="34"/>
        <v>4.2011547918812736E-3</v>
      </c>
      <c r="R730">
        <f t="shared" si="35"/>
        <v>-6.6613598362368784E-2</v>
      </c>
    </row>
    <row r="731" spans="1:18" ht="13">
      <c r="A731" s="24" t="s">
        <v>162</v>
      </c>
      <c r="B731" s="9">
        <v>2021</v>
      </c>
      <c r="C731" s="4">
        <v>-2.0094108969451177</v>
      </c>
      <c r="D731" s="10">
        <v>0.43510877719429852</v>
      </c>
      <c r="E731" s="11">
        <v>1.26E-2</v>
      </c>
      <c r="F731" s="11">
        <v>0.01</v>
      </c>
      <c r="G731" s="12">
        <v>0.12820705176294073</v>
      </c>
      <c r="H731" s="12">
        <v>-0.16909227306826705</v>
      </c>
      <c r="I731" s="12">
        <v>2.439984996249062E-2</v>
      </c>
      <c r="J731" s="12">
        <v>1.6154088522130532E-3</v>
      </c>
      <c r="K731" s="12">
        <v>-2.1305626406601646E-3</v>
      </c>
      <c r="L731" s="12">
        <v>3.0743810952738179E-4</v>
      </c>
      <c r="M731" s="12">
        <v>1.2820705176294074E-3</v>
      </c>
      <c r="N731" s="12">
        <v>-1.6909227306826705E-3</v>
      </c>
      <c r="O731" s="12">
        <v>2.4399849962490619E-4</v>
      </c>
      <c r="P731">
        <f t="shared" si="33"/>
        <v>5.5784013520259274E-2</v>
      </c>
      <c r="Q731">
        <f t="shared" si="34"/>
        <v>-7.3573532167738084E-2</v>
      </c>
      <c r="R731">
        <f t="shared" si="35"/>
        <v>1.0616588880903645E-2</v>
      </c>
    </row>
    <row r="732" spans="1:18" ht="13">
      <c r="A732" s="24" t="s">
        <v>163</v>
      </c>
      <c r="B732" s="9">
        <v>2017</v>
      </c>
      <c r="C732" s="4">
        <v>-1.0473608920447635</v>
      </c>
      <c r="D732" s="10">
        <v>0.62142891603012906</v>
      </c>
      <c r="E732" s="11">
        <v>0.1037</v>
      </c>
      <c r="F732" s="11">
        <v>9.4000000000000008E-4</v>
      </c>
      <c r="G732" s="12">
        <v>2.8767800578477318E-2</v>
      </c>
      <c r="H732" s="12">
        <v>-3.694131009926329E-2</v>
      </c>
      <c r="I732" s="12">
        <v>5.5452357539518972E-2</v>
      </c>
      <c r="J732" s="12">
        <v>2.9832209199880978E-3</v>
      </c>
      <c r="K732" s="12">
        <v>-3.830813857293603E-3</v>
      </c>
      <c r="L732" s="12">
        <v>5.7504094768481171E-3</v>
      </c>
      <c r="M732" s="12">
        <v>2.704173254376868E-5</v>
      </c>
      <c r="N732" s="12">
        <v>-3.4724831493307497E-5</v>
      </c>
      <c r="O732" s="12">
        <v>5.2125216087147836E-5</v>
      </c>
      <c r="P732">
        <f t="shared" si="33"/>
        <v>1.787714313005408E-2</v>
      </c>
      <c r="Q732">
        <f t="shared" si="34"/>
        <v>-2.2956398291718045E-2</v>
      </c>
      <c r="R732">
        <f t="shared" si="35"/>
        <v>3.4459698437098431E-2</v>
      </c>
    </row>
    <row r="733" spans="1:18" ht="13">
      <c r="A733" s="24" t="s">
        <v>163</v>
      </c>
      <c r="B733" s="9">
        <v>2018</v>
      </c>
      <c r="C733" s="4">
        <v>-1.2752029428528977</v>
      </c>
      <c r="D733" s="10">
        <v>0.589712332933924</v>
      </c>
      <c r="E733" s="11">
        <v>0.1096</v>
      </c>
      <c r="F733" s="11">
        <v>1.32E-3</v>
      </c>
      <c r="G733" s="12">
        <v>7.7666092427001204E-2</v>
      </c>
      <c r="H733" s="12">
        <v>-5.9779202005858949E-2</v>
      </c>
      <c r="I733" s="12">
        <v>-8.8998619834863443E-2</v>
      </c>
      <c r="J733" s="12">
        <v>8.512203729999333E-3</v>
      </c>
      <c r="K733" s="12">
        <v>-6.5518005398421406E-3</v>
      </c>
      <c r="L733" s="12">
        <v>-9.7542487339010338E-3</v>
      </c>
      <c r="M733" s="12">
        <v>1.0251924200364159E-4</v>
      </c>
      <c r="N733" s="12">
        <v>-7.8908546647733817E-5</v>
      </c>
      <c r="O733" s="12">
        <v>-1.1747817818201975E-4</v>
      </c>
      <c r="P733">
        <f t="shared" si="33"/>
        <v>4.580065255498865E-2</v>
      </c>
      <c r="Q733">
        <f t="shared" si="34"/>
        <v>-3.5252532675803389E-2</v>
      </c>
      <c r="R733">
        <f t="shared" si="35"/>
        <v>-5.2483583730716724E-2</v>
      </c>
    </row>
    <row r="734" spans="1:18" ht="13">
      <c r="A734" s="24" t="s">
        <v>163</v>
      </c>
      <c r="B734" s="9">
        <v>2019</v>
      </c>
      <c r="C734" s="4">
        <v>-1.3377106117173818</v>
      </c>
      <c r="D734" s="10">
        <v>0.58027350292839919</v>
      </c>
      <c r="E734" s="11">
        <v>0.13400000000000001</v>
      </c>
      <c r="F734" s="11">
        <v>1.32E-3</v>
      </c>
      <c r="G734" s="12">
        <v>6.7686963640181785E-2</v>
      </c>
      <c r="H734" s="12">
        <v>-3.9945818176460403E-2</v>
      </c>
      <c r="I734" s="12">
        <v>-1.0715579265770232E-2</v>
      </c>
      <c r="J734" s="12">
        <v>9.0700531277843593E-3</v>
      </c>
      <c r="K734" s="12">
        <v>-5.3527396356456945E-3</v>
      </c>
      <c r="L734" s="12">
        <v>-1.435887621613211E-3</v>
      </c>
      <c r="M734" s="12">
        <v>8.9346792005039956E-5</v>
      </c>
      <c r="N734" s="12">
        <v>-5.2728479992927729E-5</v>
      </c>
      <c r="O734" s="12">
        <v>-1.4144564630816705E-5</v>
      </c>
      <c r="P734">
        <f t="shared" si="33"/>
        <v>3.9276951494075472E-2</v>
      </c>
      <c r="Q734">
        <f t="shared" si="34"/>
        <v>-2.3179499840595596E-2</v>
      </c>
      <c r="R734">
        <f t="shared" si="35"/>
        <v>-6.2179667164554159E-3</v>
      </c>
    </row>
    <row r="735" spans="1:18" ht="13">
      <c r="A735" s="24" t="s">
        <v>163</v>
      </c>
      <c r="B735" s="9">
        <v>2020</v>
      </c>
      <c r="C735" s="4">
        <v>-0.94702858216692531</v>
      </c>
      <c r="D735" s="10">
        <v>0.60517269848678223</v>
      </c>
      <c r="E735" s="11">
        <v>0.157</v>
      </c>
      <c r="F735" s="11">
        <v>1.32E-3</v>
      </c>
      <c r="G735" s="12">
        <v>8.7542002686797293E-2</v>
      </c>
      <c r="H735" s="12">
        <v>-6.2882643187983672E-2</v>
      </c>
      <c r="I735" s="12">
        <v>-3.5529613111335165E-2</v>
      </c>
      <c r="J735" s="12">
        <v>1.3744094421827176E-2</v>
      </c>
      <c r="K735" s="12">
        <v>-9.8725749805134363E-3</v>
      </c>
      <c r="L735" s="12">
        <v>-5.5781492584796206E-3</v>
      </c>
      <c r="M735" s="12">
        <v>1.1555544354657242E-4</v>
      </c>
      <c r="N735" s="12">
        <v>-8.3005089008138447E-5</v>
      </c>
      <c r="O735" s="12">
        <v>-4.6899089306962419E-5</v>
      </c>
      <c r="P735">
        <f t="shared" si="33"/>
        <v>5.2978029996906262E-2</v>
      </c>
      <c r="Q735">
        <f t="shared" si="34"/>
        <v>-3.8054858866053552E-2</v>
      </c>
      <c r="R735">
        <f t="shared" si="35"/>
        <v>-2.150155184277806E-2</v>
      </c>
    </row>
    <row r="736" spans="1:18" ht="13">
      <c r="A736" s="24" t="s">
        <v>163</v>
      </c>
      <c r="B736" s="9">
        <v>2021</v>
      </c>
      <c r="C736" s="4">
        <v>-1.3078338190469654</v>
      </c>
      <c r="D736" s="10">
        <v>0.56382699266135372</v>
      </c>
      <c r="E736" s="11">
        <v>0.17019999999999999</v>
      </c>
      <c r="F736" s="11">
        <v>1.32E-3</v>
      </c>
      <c r="G736" s="12">
        <v>-1.0129764455812238E-2</v>
      </c>
      <c r="H736" s="12">
        <v>-6.8601712206773635E-2</v>
      </c>
      <c r="I736" s="12">
        <v>1.0585381604056351E-2</v>
      </c>
      <c r="J736" s="12">
        <v>-1.7240859103792429E-3</v>
      </c>
      <c r="K736" s="12">
        <v>-1.1676011417592872E-2</v>
      </c>
      <c r="L736" s="12">
        <v>1.8016319490103908E-3</v>
      </c>
      <c r="M736" s="12">
        <v>-1.3371289081672154E-5</v>
      </c>
      <c r="N736" s="12">
        <v>-9.0554260112941197E-5</v>
      </c>
      <c r="O736" s="12">
        <v>1.3972703717354384E-5</v>
      </c>
      <c r="P736">
        <f t="shared" si="33"/>
        <v>-5.7114346294884887E-3</v>
      </c>
      <c r="Q736">
        <f t="shared" si="34"/>
        <v>-3.8679497084964862E-2</v>
      </c>
      <c r="R736">
        <f t="shared" si="35"/>
        <v>5.9683238759879092E-3</v>
      </c>
    </row>
    <row r="737" spans="1:18" ht="13">
      <c r="A737" s="24" t="s">
        <v>164</v>
      </c>
      <c r="B737" s="9">
        <v>2017</v>
      </c>
      <c r="C737" s="4">
        <v>-1.0175785034439326</v>
      </c>
      <c r="D737" s="10">
        <v>0.60496174247758527</v>
      </c>
      <c r="E737" s="11">
        <v>2.0000000000000001E-4</v>
      </c>
      <c r="F737" s="11">
        <v>0.15359999999999999</v>
      </c>
      <c r="G737" s="12">
        <v>2.1303728739301194E-2</v>
      </c>
      <c r="H737" s="12">
        <v>-4.0064779608505845E-2</v>
      </c>
      <c r="I737" s="12">
        <v>1.9762474768811905E-2</v>
      </c>
      <c r="J737" s="12">
        <v>4.2607457478602388E-6</v>
      </c>
      <c r="K737" s="12">
        <v>-8.0129559217011695E-6</v>
      </c>
      <c r="L737" s="12">
        <v>3.952494953762381E-6</v>
      </c>
      <c r="M737" s="12">
        <v>3.272252734356663E-3</v>
      </c>
      <c r="N737" s="12">
        <v>-6.1539501478664969E-3</v>
      </c>
      <c r="O737" s="12">
        <v>3.0355161244895084E-3</v>
      </c>
      <c r="P737">
        <f t="shared" si="33"/>
        <v>1.2887940859397462E-2</v>
      </c>
      <c r="Q737">
        <f t="shared" si="34"/>
        <v>-2.4237658883942123E-2</v>
      </c>
      <c r="R737">
        <f t="shared" si="35"/>
        <v>1.1955541171809764E-2</v>
      </c>
    </row>
    <row r="738" spans="1:18" ht="13">
      <c r="A738" s="24" t="s">
        <v>164</v>
      </c>
      <c r="B738" s="9">
        <v>2018</v>
      </c>
      <c r="C738" s="4">
        <v>-0.95298447749552539</v>
      </c>
      <c r="D738" s="10">
        <v>0.63973247799085509</v>
      </c>
      <c r="E738" s="11">
        <v>8.3999999999999995E-3</v>
      </c>
      <c r="F738" s="11">
        <v>0.15359999999999999</v>
      </c>
      <c r="G738" s="12">
        <v>7.3629215101951072E-3</v>
      </c>
      <c r="H738" s="12">
        <v>-0.1493133753421749</v>
      </c>
      <c r="I738" s="12">
        <v>0.1449456690704217</v>
      </c>
      <c r="J738" s="12">
        <v>6.1848540685638902E-5</v>
      </c>
      <c r="K738" s="12">
        <v>-1.254232352874269E-3</v>
      </c>
      <c r="L738" s="12">
        <v>1.2175436201915422E-3</v>
      </c>
      <c r="M738" s="12">
        <v>1.1309447439659683E-3</v>
      </c>
      <c r="N738" s="12">
        <v>-2.2934534452558063E-2</v>
      </c>
      <c r="O738" s="12">
        <v>2.2263654769216771E-2</v>
      </c>
      <c r="P738">
        <f t="shared" si="33"/>
        <v>4.7103000229692851E-3</v>
      </c>
      <c r="Q738">
        <f t="shared" si="34"/>
        <v>-9.5520615604828191E-2</v>
      </c>
      <c r="R738">
        <f t="shared" si="35"/>
        <v>9.2726452048463318E-2</v>
      </c>
    </row>
    <row r="739" spans="1:18" ht="13">
      <c r="A739" s="24" t="s">
        <v>164</v>
      </c>
      <c r="B739" s="9">
        <v>2019</v>
      </c>
      <c r="C739" s="4">
        <v>-0.95566445518015197</v>
      </c>
      <c r="D739" s="10">
        <v>0.62019366933254216</v>
      </c>
      <c r="E739" s="27">
        <v>1.11E-2</v>
      </c>
      <c r="F739" s="11">
        <v>0.15359999999999999</v>
      </c>
      <c r="G739" s="12">
        <v>-3.3932593361835274E-2</v>
      </c>
      <c r="H739" s="12">
        <v>-6.0757684060042888E-3</v>
      </c>
      <c r="I739" s="12">
        <v>4.7061917542179726E-2</v>
      </c>
      <c r="J739" s="12">
        <v>-3.7665178631637154E-4</v>
      </c>
      <c r="K739" s="12">
        <v>-6.7441029306647611E-5</v>
      </c>
      <c r="L739" s="12">
        <v>5.2238728471819501E-4</v>
      </c>
      <c r="M739" s="12">
        <v>-5.2120463403778974E-3</v>
      </c>
      <c r="N739" s="12">
        <v>-9.3323802716225863E-4</v>
      </c>
      <c r="O739" s="12">
        <v>7.2287105344788051E-3</v>
      </c>
      <c r="P739">
        <f t="shared" si="33"/>
        <v>-2.1044779587045682E-2</v>
      </c>
      <c r="Q739">
        <f t="shared" si="34"/>
        <v>-3.7681531017345307E-3</v>
      </c>
      <c r="R739">
        <f t="shared" si="35"/>
        <v>2.9187503326309979E-2</v>
      </c>
    </row>
    <row r="740" spans="1:18" ht="13">
      <c r="A740" s="24" t="s">
        <v>164</v>
      </c>
      <c r="B740" s="9">
        <v>2020</v>
      </c>
      <c r="C740" s="4">
        <v>-1.6456564808226022</v>
      </c>
      <c r="D740" s="10">
        <v>0.46960312768701634</v>
      </c>
      <c r="E740" s="11">
        <v>3.5999999999999999E-3</v>
      </c>
      <c r="F740" s="11">
        <v>0.15359999999999999</v>
      </c>
      <c r="G740" s="12">
        <v>2.2120861994840927E-2</v>
      </c>
      <c r="H740" s="12">
        <v>2.4834748495270849E-2</v>
      </c>
      <c r="I740" s="12">
        <v>-2.2087274290627686E-2</v>
      </c>
      <c r="J740" s="12">
        <v>7.9635103181427329E-5</v>
      </c>
      <c r="K740" s="12">
        <v>8.9405094582975053E-5</v>
      </c>
      <c r="L740" s="12">
        <v>-7.951418744625967E-5</v>
      </c>
      <c r="M740" s="12">
        <v>3.3977644024075662E-3</v>
      </c>
      <c r="N740" s="12">
        <v>3.814617368873602E-3</v>
      </c>
      <c r="O740" s="12">
        <v>-3.392605331040412E-3</v>
      </c>
      <c r="P740">
        <f t="shared" si="33"/>
        <v>1.0388025979910152E-2</v>
      </c>
      <c r="Q740">
        <f t="shared" si="34"/>
        <v>1.1662475568699614E-2</v>
      </c>
      <c r="R740">
        <f t="shared" si="35"/>
        <v>-1.0372253088959787E-2</v>
      </c>
    </row>
    <row r="741" spans="1:18" ht="13">
      <c r="A741" s="24" t="s">
        <v>164</v>
      </c>
      <c r="B741" s="9">
        <v>2021</v>
      </c>
      <c r="C741" s="4">
        <v>-0.47347615271602889</v>
      </c>
      <c r="D741" s="10">
        <v>0.62251460637831102</v>
      </c>
      <c r="E741" s="27">
        <v>3.5999999999999999E-3</v>
      </c>
      <c r="F741" s="11">
        <v>0.15359999999999999</v>
      </c>
      <c r="G741" s="12">
        <v>-2.8231300371798721E-3</v>
      </c>
      <c r="H741" s="12">
        <v>-0.1815289933722837</v>
      </c>
      <c r="I741" s="12">
        <v>0.18062258965891512</v>
      </c>
      <c r="J741" s="12">
        <v>-1.0163268133847539E-5</v>
      </c>
      <c r="K741" s="12">
        <v>-6.5350437614022136E-4</v>
      </c>
      <c r="L741" s="12">
        <v>6.502413227720944E-4</v>
      </c>
      <c r="M741" s="12">
        <v>-4.336327737108283E-4</v>
      </c>
      <c r="N741" s="12">
        <v>-2.7882853381982774E-2</v>
      </c>
      <c r="O741" s="12">
        <v>2.7743629771609359E-2</v>
      </c>
      <c r="P741">
        <f t="shared" si="33"/>
        <v>-1.7574396838498146E-3</v>
      </c>
      <c r="Q741">
        <f t="shared" si="34"/>
        <v>-0.11300444985539822</v>
      </c>
      <c r="R741">
        <f t="shared" si="35"/>
        <v>0.11244020030455074</v>
      </c>
    </row>
    <row r="742" spans="1:18" ht="13">
      <c r="A742" s="24" t="s">
        <v>165</v>
      </c>
      <c r="B742" s="9">
        <v>2017</v>
      </c>
      <c r="C742" s="4">
        <v>3.473839035411274E-2</v>
      </c>
      <c r="D742" s="10">
        <v>0.9531765593222622</v>
      </c>
      <c r="E742" s="11">
        <v>0.15989999999999999</v>
      </c>
      <c r="F742" s="11">
        <v>0.18709999999999999</v>
      </c>
      <c r="G742" s="12">
        <v>0.14564898245046937</v>
      </c>
      <c r="H742" s="12">
        <v>-0.33604051342141766</v>
      </c>
      <c r="I742" s="12">
        <v>0.20486349616819532</v>
      </c>
      <c r="J742" s="12">
        <v>2.328927229383005E-2</v>
      </c>
      <c r="K742" s="12">
        <v>-5.373287809608468E-2</v>
      </c>
      <c r="L742" s="12">
        <v>3.2757673037294432E-2</v>
      </c>
      <c r="M742" s="12">
        <v>2.7250924616482815E-2</v>
      </c>
      <c r="N742" s="12">
        <v>-6.2873180061147241E-2</v>
      </c>
      <c r="O742" s="12">
        <v>3.8329960133069343E-2</v>
      </c>
      <c r="P742">
        <f t="shared" si="33"/>
        <v>0.13882919596092694</v>
      </c>
      <c r="Q742">
        <f t="shared" si="34"/>
        <v>-0.32030594037591337</v>
      </c>
      <c r="R742">
        <f t="shared" si="35"/>
        <v>0.19527108240832985</v>
      </c>
    </row>
    <row r="743" spans="1:18" ht="13">
      <c r="A743" s="24" t="s">
        <v>165</v>
      </c>
      <c r="B743" s="9">
        <v>2018</v>
      </c>
      <c r="C743" s="4">
        <v>1.5349855077018513</v>
      </c>
      <c r="D743" s="10">
        <v>1.2058101072856444</v>
      </c>
      <c r="E743" s="27">
        <v>0.158</v>
      </c>
      <c r="F743" s="11">
        <v>0.1822</v>
      </c>
      <c r="G743" s="12">
        <v>8.61679178531366E-2</v>
      </c>
      <c r="H743" s="12">
        <v>-0.25917105301003823</v>
      </c>
      <c r="I743" s="12">
        <v>0.17954957287082579</v>
      </c>
      <c r="J743" s="12">
        <v>1.3614531020795583E-2</v>
      </c>
      <c r="K743" s="12">
        <v>-4.0949026375586041E-2</v>
      </c>
      <c r="L743" s="12">
        <v>2.8368832513590476E-2</v>
      </c>
      <c r="M743" s="12">
        <v>1.5699794632841487E-2</v>
      </c>
      <c r="N743" s="12">
        <v>-4.7220965858428963E-2</v>
      </c>
      <c r="O743" s="12">
        <v>3.2713932177064461E-2</v>
      </c>
      <c r="P743">
        <f t="shared" si="33"/>
        <v>0.10390214627107124</v>
      </c>
      <c r="Q743">
        <f t="shared" si="34"/>
        <v>-0.31251107523536764</v>
      </c>
      <c r="R743">
        <f t="shared" si="35"/>
        <v>0.21650268972646208</v>
      </c>
    </row>
    <row r="744" spans="1:18" ht="13">
      <c r="A744" s="24" t="s">
        <v>165</v>
      </c>
      <c r="B744" s="9">
        <v>2019</v>
      </c>
      <c r="C744" s="4">
        <v>0.47086219630238679</v>
      </c>
      <c r="D744" s="10">
        <v>0.98285665960582813</v>
      </c>
      <c r="E744" s="28">
        <v>0.23</v>
      </c>
      <c r="F744" s="11">
        <v>0.1832</v>
      </c>
      <c r="G744" s="12">
        <v>8.9920988410022634E-2</v>
      </c>
      <c r="H744" s="12">
        <v>-0.2016849362510974</v>
      </c>
      <c r="I744" s="12">
        <v>0.13568891502025629</v>
      </c>
      <c r="J744" s="12">
        <v>2.0681827334305208E-2</v>
      </c>
      <c r="K744" s="12">
        <v>-4.6387535337752403E-2</v>
      </c>
      <c r="L744" s="12">
        <v>3.1208450454658948E-2</v>
      </c>
      <c r="M744" s="12">
        <v>1.6473525076716147E-2</v>
      </c>
      <c r="N744" s="12">
        <v>-3.6948680321201043E-2</v>
      </c>
      <c r="O744" s="12">
        <v>2.4858209231710952E-2</v>
      </c>
      <c r="P744">
        <f t="shared" si="33"/>
        <v>8.8379442297129227E-2</v>
      </c>
      <c r="Q744">
        <f t="shared" si="34"/>
        <v>-0.19822738273656798</v>
      </c>
      <c r="R744">
        <f t="shared" si="35"/>
        <v>0.13336275376234819</v>
      </c>
    </row>
    <row r="745" spans="1:18" ht="13">
      <c r="A745" s="24" t="s">
        <v>165</v>
      </c>
      <c r="B745" s="9">
        <v>2020</v>
      </c>
      <c r="C745" s="4">
        <v>0.69114499844043853</v>
      </c>
      <c r="D745" s="10">
        <v>0.98386708490081309</v>
      </c>
      <c r="E745" s="11">
        <v>0.17269999999999999</v>
      </c>
      <c r="F745" s="11">
        <v>0.19320000000000001</v>
      </c>
      <c r="G745" s="12">
        <v>0.29812836626388273</v>
      </c>
      <c r="H745" s="12">
        <v>-0.17878072529849484</v>
      </c>
      <c r="I745" s="12">
        <v>-0.10454775738107815</v>
      </c>
      <c r="J745" s="12">
        <v>5.1486768853772548E-2</v>
      </c>
      <c r="K745" s="12">
        <v>-3.0875431259050058E-2</v>
      </c>
      <c r="L745" s="12">
        <v>-1.8055397699712195E-2</v>
      </c>
      <c r="M745" s="12">
        <v>5.7598400362182146E-2</v>
      </c>
      <c r="N745" s="12">
        <v>-3.4540436127669202E-2</v>
      </c>
      <c r="O745" s="12">
        <v>-2.01986267260243E-2</v>
      </c>
      <c r="P745">
        <f t="shared" si="33"/>
        <v>0.29331868664228822</v>
      </c>
      <c r="Q745">
        <f t="shared" si="34"/>
        <v>-0.17589647103588316</v>
      </c>
      <c r="R745">
        <f t="shared" si="35"/>
        <v>-0.10286109728743882</v>
      </c>
    </row>
    <row r="746" spans="1:18" ht="13">
      <c r="A746" s="24" t="s">
        <v>165</v>
      </c>
      <c r="B746" s="9">
        <v>2021</v>
      </c>
      <c r="C746" s="4">
        <v>0.88015387737313877</v>
      </c>
      <c r="D746" s="10">
        <v>1.0459518311656701</v>
      </c>
      <c r="E746" s="27">
        <v>0.215</v>
      </c>
      <c r="F746" s="11">
        <v>0.2029</v>
      </c>
      <c r="G746" s="12">
        <v>5.2474557092765467E-2</v>
      </c>
      <c r="H746" s="12">
        <v>-0.11941226390889893</v>
      </c>
      <c r="I746" s="12">
        <v>5.6471083568519875E-2</v>
      </c>
      <c r="J746" s="12">
        <v>1.1282029774944574E-2</v>
      </c>
      <c r="K746" s="12">
        <v>-2.5673636740413269E-2</v>
      </c>
      <c r="L746" s="12">
        <v>1.2141282967231774E-2</v>
      </c>
      <c r="M746" s="12">
        <v>1.0647087634122114E-2</v>
      </c>
      <c r="N746" s="12">
        <v>-2.4228748347115595E-2</v>
      </c>
      <c r="O746" s="12">
        <v>1.1457982856052682E-2</v>
      </c>
      <c r="P746">
        <f t="shared" si="33"/>
        <v>5.4885859080785547E-2</v>
      </c>
      <c r="Q746">
        <f t="shared" si="34"/>
        <v>-0.1248994760991511</v>
      </c>
      <c r="R746">
        <f t="shared" si="35"/>
        <v>5.9066033266402952E-2</v>
      </c>
    </row>
    <row r="747" spans="1:18" ht="13">
      <c r="A747" s="24" t="s">
        <v>166</v>
      </c>
      <c r="B747" s="9">
        <v>2017</v>
      </c>
      <c r="C747" s="4">
        <v>-0.87707971636340076</v>
      </c>
      <c r="D747" s="10">
        <v>0.6057898197636189</v>
      </c>
      <c r="E747" s="11">
        <v>4.1999999999999997E-3</v>
      </c>
      <c r="F747" s="11">
        <v>0</v>
      </c>
      <c r="G747" s="12">
        <v>-4.2943130279374818E-2</v>
      </c>
      <c r="H747" s="12">
        <v>-7.7928208932575738E-2</v>
      </c>
      <c r="I747" s="12">
        <v>8.4790342432263827E-2</v>
      </c>
      <c r="J747" s="12">
        <v>-1.8036114717337421E-4</v>
      </c>
      <c r="K747" s="12">
        <v>-3.2729847751681809E-4</v>
      </c>
      <c r="L747" s="12">
        <v>3.5611943821550805E-4</v>
      </c>
      <c r="M747" s="12">
        <v>0</v>
      </c>
      <c r="N747" s="12">
        <v>0</v>
      </c>
      <c r="O747" s="12">
        <v>0</v>
      </c>
      <c r="P747">
        <f t="shared" si="33"/>
        <v>-2.6014511152028075E-2</v>
      </c>
      <c r="Q747">
        <f t="shared" si="34"/>
        <v>-4.7208115643766695E-2</v>
      </c>
      <c r="R747">
        <f t="shared" si="35"/>
        <v>5.1365126259736632E-2</v>
      </c>
    </row>
    <row r="748" spans="1:18" ht="13">
      <c r="A748" s="24" t="s">
        <v>166</v>
      </c>
      <c r="B748" s="9">
        <v>2018</v>
      </c>
      <c r="C748" s="4">
        <v>-0.12906800185754524</v>
      </c>
      <c r="D748" s="10">
        <v>0.64535958299586738</v>
      </c>
      <c r="E748" s="11">
        <v>3.3999999999999998E-3</v>
      </c>
      <c r="F748" s="11">
        <v>0</v>
      </c>
      <c r="G748" s="12">
        <v>-0.15976159325483358</v>
      </c>
      <c r="H748" s="12">
        <v>-2.8471746308641209E-2</v>
      </c>
      <c r="I748" s="12">
        <v>0.13789379685585532</v>
      </c>
      <c r="J748" s="12">
        <v>-5.4318941706643414E-4</v>
      </c>
      <c r="K748" s="12">
        <v>-9.6803937449380101E-5</v>
      </c>
      <c r="L748" s="12">
        <v>4.6883890930990804E-4</v>
      </c>
      <c r="M748" s="12">
        <v>0</v>
      </c>
      <c r="N748" s="12">
        <v>0</v>
      </c>
      <c r="O748" s="12">
        <v>0</v>
      </c>
      <c r="P748">
        <f t="shared" si="33"/>
        <v>-0.10310367520169478</v>
      </c>
      <c r="Q748">
        <f t="shared" si="34"/>
        <v>-1.8374514324908817E-2</v>
      </c>
      <c r="R748">
        <f t="shared" si="35"/>
        <v>8.8991083236611632E-2</v>
      </c>
    </row>
    <row r="749" spans="1:18" ht="13">
      <c r="A749" s="24" t="s">
        <v>166</v>
      </c>
      <c r="B749" s="9">
        <v>2019</v>
      </c>
      <c r="C749" s="4">
        <v>-4.1483772317247016</v>
      </c>
      <c r="D749" s="10">
        <v>0.19491611248016744</v>
      </c>
      <c r="E749" s="11">
        <v>3.0999999999999999E-3</v>
      </c>
      <c r="F749" s="11">
        <v>0</v>
      </c>
      <c r="G749" s="12">
        <v>0.96985450494548153</v>
      </c>
      <c r="H749" s="12">
        <v>-9.4959997299395735E-2</v>
      </c>
      <c r="I749" s="12">
        <v>-0.87432062924079257</v>
      </c>
      <c r="J749" s="12">
        <v>3.0065489653309926E-3</v>
      </c>
      <c r="K749" s="12">
        <v>-2.9437599162812677E-4</v>
      </c>
      <c r="L749" s="12">
        <v>-2.7103939506464567E-3</v>
      </c>
      <c r="M749" s="12">
        <v>0</v>
      </c>
      <c r="N749" s="12">
        <v>0</v>
      </c>
      <c r="O749" s="12">
        <v>0</v>
      </c>
      <c r="P749">
        <f t="shared" si="33"/>
        <v>0.18904026977535057</v>
      </c>
      <c r="Q749">
        <f t="shared" si="34"/>
        <v>-1.8509233514725415E-2</v>
      </c>
      <c r="R749">
        <f t="shared" si="35"/>
        <v>-0.17041917811282908</v>
      </c>
    </row>
    <row r="750" spans="1:18" ht="13">
      <c r="A750" s="24" t="s">
        <v>166</v>
      </c>
      <c r="B750" s="9">
        <v>2020</v>
      </c>
      <c r="C750" s="4">
        <v>-4.3953568657497248</v>
      </c>
      <c r="D750" s="10">
        <v>0.13701465081137901</v>
      </c>
      <c r="E750" s="11">
        <v>3.3E-3</v>
      </c>
      <c r="F750" s="11">
        <v>0</v>
      </c>
      <c r="G750" s="12">
        <v>-0.10012482754089744</v>
      </c>
      <c r="H750" s="12">
        <v>0.13333552329019119</v>
      </c>
      <c r="I750" s="12">
        <v>-3.133828263583207E-2</v>
      </c>
      <c r="J750" s="12">
        <v>-3.3041193088496153E-4</v>
      </c>
      <c r="K750" s="12">
        <v>4.400072268576309E-4</v>
      </c>
      <c r="L750" s="12">
        <v>-1.0341633269824583E-4</v>
      </c>
      <c r="M750" s="12">
        <v>0</v>
      </c>
      <c r="N750" s="12">
        <v>0</v>
      </c>
      <c r="O750" s="12">
        <v>0</v>
      </c>
      <c r="P750">
        <f t="shared" si="33"/>
        <v>-1.3718568283065606E-2</v>
      </c>
      <c r="Q750">
        <f t="shared" si="34"/>
        <v>1.8268920164358039E-2</v>
      </c>
      <c r="R750">
        <f t="shared" si="35"/>
        <v>-4.2938038523768329E-3</v>
      </c>
    </row>
    <row r="751" spans="1:18" ht="13">
      <c r="A751" s="24" t="s">
        <v>166</v>
      </c>
      <c r="B751" s="9">
        <v>2021</v>
      </c>
      <c r="C751" s="4">
        <v>-2.6125716183485617</v>
      </c>
      <c r="D751" s="10">
        <v>0.37756932238045704</v>
      </c>
      <c r="E751" s="11">
        <v>3.8E-3</v>
      </c>
      <c r="F751" s="11">
        <v>0</v>
      </c>
      <c r="G751" s="12">
        <v>8.4639667109086339E-2</v>
      </c>
      <c r="H751" s="12">
        <v>1.4707464935251283E-3</v>
      </c>
      <c r="I751" s="12">
        <v>4.7045951859956241E-2</v>
      </c>
      <c r="J751" s="12">
        <v>3.2163073501452808E-4</v>
      </c>
      <c r="K751" s="12">
        <v>5.5888366753954872E-6</v>
      </c>
      <c r="L751" s="12">
        <v>1.7877461706783371E-4</v>
      </c>
      <c r="M751" s="12">
        <v>0</v>
      </c>
      <c r="N751" s="12">
        <v>0</v>
      </c>
      <c r="O751" s="12">
        <v>0</v>
      </c>
      <c r="P751">
        <f t="shared" si="33"/>
        <v>3.1957341756885187E-2</v>
      </c>
      <c r="Q751">
        <f t="shared" si="34"/>
        <v>5.5530875695371598E-4</v>
      </c>
      <c r="R751">
        <f t="shared" si="35"/>
        <v>1.7763108164507279E-2</v>
      </c>
    </row>
    <row r="752" spans="1:18" ht="13">
      <c r="A752" s="24" t="s">
        <v>167</v>
      </c>
      <c r="B752" s="9">
        <v>2017</v>
      </c>
      <c r="C752" s="4">
        <v>-0.8317922583443168</v>
      </c>
      <c r="D752" s="10">
        <v>0.6288236313412906</v>
      </c>
      <c r="E752" s="11">
        <v>0</v>
      </c>
      <c r="F752" s="11">
        <v>0</v>
      </c>
      <c r="G752" s="12">
        <v>6.7490936766319759E-2</v>
      </c>
      <c r="H752" s="12">
        <v>7.8509518518896038E-2</v>
      </c>
      <c r="I752" s="12">
        <v>-9.4794459110970675E-2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>
        <f t="shared" si="33"/>
        <v>4.2439895940022614E-2</v>
      </c>
      <c r="Q752">
        <f t="shared" si="34"/>
        <v>4.9368640529908511E-2</v>
      </c>
      <c r="R752">
        <f t="shared" si="35"/>
        <v>-5.9608996009194067E-2</v>
      </c>
    </row>
    <row r="753" spans="1:18" ht="13">
      <c r="A753" s="24" t="s">
        <v>167</v>
      </c>
      <c r="B753" s="9">
        <v>2018</v>
      </c>
      <c r="C753" s="4">
        <v>-1.4292043088226283</v>
      </c>
      <c r="D753" s="10">
        <v>0.55502209574941563</v>
      </c>
      <c r="E753" s="11">
        <v>1E-4</v>
      </c>
      <c r="F753" s="11">
        <v>0</v>
      </c>
      <c r="G753" s="12">
        <v>7.8861324202993535E-2</v>
      </c>
      <c r="H753" s="12">
        <v>9.689888522475985E-3</v>
      </c>
      <c r="I753" s="12">
        <v>-9.3450476434121035E-2</v>
      </c>
      <c r="J753" s="12">
        <v>7.8861324202993542E-6</v>
      </c>
      <c r="K753" s="12">
        <v>9.6898885224759849E-7</v>
      </c>
      <c r="L753" s="12">
        <v>-9.3450476434121032E-6</v>
      </c>
      <c r="M753" s="12">
        <v>0</v>
      </c>
      <c r="N753" s="12">
        <v>0</v>
      </c>
      <c r="O753" s="12">
        <v>0</v>
      </c>
      <c r="P753">
        <f t="shared" si="33"/>
        <v>4.3769777432719585E-2</v>
      </c>
      <c r="Q753">
        <f t="shared" si="34"/>
        <v>5.3781022353228299E-3</v>
      </c>
      <c r="R753">
        <f t="shared" si="35"/>
        <v>-5.1867079279247233E-2</v>
      </c>
    </row>
    <row r="754" spans="1:18" ht="13">
      <c r="A754" s="24" t="s">
        <v>167</v>
      </c>
      <c r="B754" s="9">
        <v>2019</v>
      </c>
      <c r="C754" s="4">
        <v>-1.763337920772587</v>
      </c>
      <c r="D754" s="10">
        <v>0.49165659194689787</v>
      </c>
      <c r="E754" s="11">
        <v>1E-4</v>
      </c>
      <c r="F754" s="11">
        <v>0</v>
      </c>
      <c r="G754" s="12">
        <v>0.12472759754510521</v>
      </c>
      <c r="H754" s="12">
        <v>-0.2542949107906024</v>
      </c>
      <c r="I754" s="12">
        <v>-4.0723685730346591E-2</v>
      </c>
      <c r="J754" s="12">
        <v>1.2472759754510522E-5</v>
      </c>
      <c r="K754" s="12">
        <v>-2.5429491079060242E-5</v>
      </c>
      <c r="L754" s="12">
        <v>-4.0723685730346593E-6</v>
      </c>
      <c r="M754" s="12">
        <v>0</v>
      </c>
      <c r="N754" s="12">
        <v>0</v>
      </c>
      <c r="O754" s="12">
        <v>0</v>
      </c>
      <c r="P754">
        <f t="shared" si="33"/>
        <v>6.1323145530750689E-2</v>
      </c>
      <c r="Q754">
        <f t="shared" si="34"/>
        <v>-0.125025769188748</v>
      </c>
      <c r="R754">
        <f t="shared" si="35"/>
        <v>-2.0022068537698723E-2</v>
      </c>
    </row>
    <row r="755" spans="1:18" ht="13">
      <c r="A755" s="24" t="s">
        <v>167</v>
      </c>
      <c r="B755" s="9">
        <v>2020</v>
      </c>
      <c r="C755" s="4">
        <v>-2.5048139602862509</v>
      </c>
      <c r="D755" s="10">
        <v>0.39273742080386176</v>
      </c>
      <c r="E755" s="11">
        <v>3.5999999999999999E-3</v>
      </c>
      <c r="F755" s="11">
        <v>0</v>
      </c>
      <c r="G755" s="12">
        <v>0.15862274144346486</v>
      </c>
      <c r="H755" s="12">
        <v>0.12307666521403909</v>
      </c>
      <c r="I755" s="12">
        <v>-0.2266308538097952</v>
      </c>
      <c r="J755" s="12">
        <v>5.7104186919647347E-4</v>
      </c>
      <c r="K755" s="12">
        <v>4.430759947705407E-4</v>
      </c>
      <c r="L755" s="12">
        <v>-8.1587107371526265E-4</v>
      </c>
      <c r="M755" s="12">
        <v>0</v>
      </c>
      <c r="N755" s="12">
        <v>0</v>
      </c>
      <c r="O755" s="12">
        <v>0</v>
      </c>
      <c r="P755">
        <f t="shared" si="33"/>
        <v>6.2297086355344221E-2</v>
      </c>
      <c r="Q755">
        <f t="shared" si="34"/>
        <v>4.8336812057302087E-2</v>
      </c>
      <c r="R755">
        <f t="shared" si="35"/>
        <v>-8.9006416999836011E-2</v>
      </c>
    </row>
    <row r="756" spans="1:18" ht="13">
      <c r="A756" s="24" t="s">
        <v>167</v>
      </c>
      <c r="B756" s="9">
        <v>2021</v>
      </c>
      <c r="C756" s="4">
        <v>-2.7998624282680962</v>
      </c>
      <c r="D756" s="10">
        <v>0.33118460916547493</v>
      </c>
      <c r="E756" s="11">
        <v>3.5999999999999999E-3</v>
      </c>
      <c r="F756" s="11">
        <v>0</v>
      </c>
      <c r="G756" s="12">
        <v>7.9562199261928451E-2</v>
      </c>
      <c r="H756" s="12">
        <v>4.2263071646838415E-2</v>
      </c>
      <c r="I756" s="12">
        <v>-9.3806371409073316E-2</v>
      </c>
      <c r="J756" s="12">
        <v>2.8642391734294239E-4</v>
      </c>
      <c r="K756" s="12">
        <v>1.521470579286183E-4</v>
      </c>
      <c r="L756" s="12">
        <v>-3.3770293707266393E-4</v>
      </c>
      <c r="M756" s="12">
        <v>0</v>
      </c>
      <c r="N756" s="12">
        <v>0</v>
      </c>
      <c r="O756" s="12">
        <v>0</v>
      </c>
      <c r="P756">
        <f t="shared" si="33"/>
        <v>2.6349775866907413E-2</v>
      </c>
      <c r="Q756">
        <f t="shared" si="34"/>
        <v>1.3996878865490645E-2</v>
      </c>
      <c r="R756">
        <f t="shared" si="35"/>
        <v>-3.1067226452345328E-2</v>
      </c>
    </row>
    <row r="757" spans="1:18" ht="13">
      <c r="A757" s="24" t="s">
        <v>168</v>
      </c>
      <c r="B757" s="9">
        <v>2017</v>
      </c>
      <c r="C757" s="4">
        <v>-0.77916028092821721</v>
      </c>
      <c r="D757" s="10">
        <v>0.68968645651763028</v>
      </c>
      <c r="E757" s="27">
        <v>4.6199999999999998E-2</v>
      </c>
      <c r="F757" s="11">
        <v>2.802E-2</v>
      </c>
      <c r="G757" s="12">
        <v>1.5171052355251275E-2</v>
      </c>
      <c r="H757" s="12">
        <v>-1.3360774513304072E-2</v>
      </c>
      <c r="I757" s="12">
        <v>1.3348173971480774E-2</v>
      </c>
      <c r="J757" s="12">
        <v>7.0090261881260889E-4</v>
      </c>
      <c r="K757" s="12">
        <v>-6.1726778251464803E-4</v>
      </c>
      <c r="L757" s="12">
        <v>6.1668563748241176E-4</v>
      </c>
      <c r="M757" s="12">
        <v>4.2509288699414075E-4</v>
      </c>
      <c r="N757" s="12">
        <v>-3.7436890186278007E-4</v>
      </c>
      <c r="O757" s="12">
        <v>3.740158346808913E-4</v>
      </c>
      <c r="P757">
        <f t="shared" si="33"/>
        <v>1.0463269340536702E-2</v>
      </c>
      <c r="Q757">
        <f t="shared" si="34"/>
        <v>-9.2147452304117521E-3</v>
      </c>
      <c r="R757">
        <f t="shared" si="35"/>
        <v>9.2060548073714388E-3</v>
      </c>
    </row>
    <row r="758" spans="1:18" ht="13">
      <c r="A758" s="24" t="s">
        <v>168</v>
      </c>
      <c r="B758" s="9">
        <v>2018</v>
      </c>
      <c r="C758" s="4">
        <v>-0.65084410869471188</v>
      </c>
      <c r="D758" s="10">
        <v>0.69996970570737171</v>
      </c>
      <c r="E758" s="27">
        <v>2.9899999999999999E-2</v>
      </c>
      <c r="F758" s="11">
        <v>2.802E-2</v>
      </c>
      <c r="G758" s="12">
        <v>-1.7110800462809196E-2</v>
      </c>
      <c r="H758" s="12">
        <v>3.5020932261231701E-2</v>
      </c>
      <c r="I758" s="12">
        <v>4.3543483259665889E-3</v>
      </c>
      <c r="J758" s="12">
        <v>-5.1161293383799494E-4</v>
      </c>
      <c r="K758" s="12">
        <v>1.0471258746108279E-3</v>
      </c>
      <c r="L758" s="12">
        <v>1.3019501494640099E-4</v>
      </c>
      <c r="M758" s="12">
        <v>-4.7944462896791365E-4</v>
      </c>
      <c r="N758" s="12">
        <v>9.8128652195971226E-4</v>
      </c>
      <c r="O758" s="12">
        <v>1.2200884009358382E-4</v>
      </c>
      <c r="P758">
        <f t="shared" si="33"/>
        <v>-1.1977041964370112E-2</v>
      </c>
      <c r="Q758">
        <f t="shared" si="34"/>
        <v>2.4513591648492154E-2</v>
      </c>
      <c r="R758">
        <f t="shared" si="35"/>
        <v>3.0479119162742201E-3</v>
      </c>
    </row>
    <row r="759" spans="1:18" ht="13">
      <c r="A759" s="24" t="s">
        <v>168</v>
      </c>
      <c r="B759" s="9">
        <v>2019</v>
      </c>
      <c r="C759" s="4">
        <v>-0.36967097579525604</v>
      </c>
      <c r="D759" s="10">
        <v>0.72318490606092767</v>
      </c>
      <c r="E759" s="11">
        <v>0.03</v>
      </c>
      <c r="F759" s="11">
        <v>1.9300000000000001E-2</v>
      </c>
      <c r="G759" s="12">
        <v>2.3249256979089271E-2</v>
      </c>
      <c r="H759" s="12">
        <v>-2.5106809255917632E-2</v>
      </c>
      <c r="I759" s="12">
        <v>2.8871669674132263E-2</v>
      </c>
      <c r="J759" s="12">
        <v>6.9747770937267806E-4</v>
      </c>
      <c r="K759" s="12">
        <v>-7.5320427767752891E-4</v>
      </c>
      <c r="L759" s="12">
        <v>8.6615009022396783E-4</v>
      </c>
      <c r="M759" s="12">
        <v>4.4871065969642293E-4</v>
      </c>
      <c r="N759" s="12">
        <v>-4.8456141863921032E-4</v>
      </c>
      <c r="O759" s="12">
        <v>5.5722322471075275E-4</v>
      </c>
      <c r="P759">
        <f t="shared" si="33"/>
        <v>1.6813511724409043E-2</v>
      </c>
      <c r="Q759">
        <f t="shared" si="34"/>
        <v>-1.8156865493230423E-2</v>
      </c>
      <c r="R759">
        <f t="shared" si="35"/>
        <v>2.0879555721109475E-2</v>
      </c>
    </row>
    <row r="760" spans="1:18" ht="13">
      <c r="A760" s="24" t="s">
        <v>168</v>
      </c>
      <c r="B760" s="9">
        <v>2020</v>
      </c>
      <c r="C760" s="4">
        <v>-0.50879391726566248</v>
      </c>
      <c r="D760" s="10">
        <v>0.73191571804342259</v>
      </c>
      <c r="E760" s="11">
        <v>2.0199999999999999E-2</v>
      </c>
      <c r="F760" s="11">
        <v>2.06E-2</v>
      </c>
      <c r="G760" s="12">
        <v>2.0342721453747007E-3</v>
      </c>
      <c r="H760" s="12">
        <v>-2.0655686399189271E-2</v>
      </c>
      <c r="I760" s="12">
        <v>9.8531796990072057E-2</v>
      </c>
      <c r="J760" s="12">
        <v>4.1092297336568953E-5</v>
      </c>
      <c r="K760" s="12">
        <v>-4.1724486526362328E-4</v>
      </c>
      <c r="L760" s="12">
        <v>1.9903422991994556E-3</v>
      </c>
      <c r="M760" s="12">
        <v>4.1906006194718832E-5</v>
      </c>
      <c r="N760" s="12">
        <v>-4.2550713982329898E-4</v>
      </c>
      <c r="O760" s="12">
        <v>2.0297550179954843E-3</v>
      </c>
      <c r="P760">
        <f t="shared" si="33"/>
        <v>1.4889157579776578E-3</v>
      </c>
      <c r="Q760">
        <f t="shared" si="34"/>
        <v>-1.5118221542542373E-2</v>
      </c>
      <c r="R760">
        <f t="shared" si="35"/>
        <v>7.2116970944097331E-2</v>
      </c>
    </row>
    <row r="761" spans="1:18" ht="13">
      <c r="A761" s="24" t="s">
        <v>168</v>
      </c>
      <c r="B761" s="9">
        <v>2021</v>
      </c>
      <c r="C761" s="4">
        <v>-0.38450460332008424</v>
      </c>
      <c r="D761" s="10">
        <v>0.74610277618085041</v>
      </c>
      <c r="E761" s="11">
        <v>4.1700000000000001E-2</v>
      </c>
      <c r="F761" s="11">
        <v>1.9199999999999998E-2</v>
      </c>
      <c r="G761" s="12">
        <v>-4.4198208556645587E-2</v>
      </c>
      <c r="H761" s="12">
        <v>-3.9699200712126549E-2</v>
      </c>
      <c r="I761" s="12">
        <v>7.8369156018767497E-2</v>
      </c>
      <c r="J761" s="12">
        <v>-1.843065296812121E-3</v>
      </c>
      <c r="K761" s="12">
        <v>-1.6554566696956772E-3</v>
      </c>
      <c r="L761" s="12">
        <v>3.2679938059826047E-3</v>
      </c>
      <c r="M761" s="12">
        <v>-8.4860560428759522E-4</v>
      </c>
      <c r="N761" s="12">
        <v>-7.6222465367282966E-4</v>
      </c>
      <c r="O761" s="12">
        <v>1.5046877955603357E-3</v>
      </c>
      <c r="P761">
        <f t="shared" si="33"/>
        <v>-3.297640610633349E-2</v>
      </c>
      <c r="Q761">
        <f t="shared" si="34"/>
        <v>-2.9619683863478411E-2</v>
      </c>
      <c r="R761">
        <f t="shared" si="35"/>
        <v>5.8471444872552632E-2</v>
      </c>
    </row>
    <row r="762" spans="1:18" ht="13">
      <c r="A762" s="24" t="s">
        <v>169</v>
      </c>
      <c r="B762" s="9">
        <v>2017</v>
      </c>
      <c r="C762" s="4">
        <v>-0.39784423849349237</v>
      </c>
      <c r="D762" s="10">
        <v>0.65723815021486764</v>
      </c>
      <c r="E762" s="11">
        <v>2.8E-3</v>
      </c>
      <c r="F762" s="11">
        <v>0.64359999999999995</v>
      </c>
      <c r="G762" s="12">
        <v>-2.6566608941055739E-2</v>
      </c>
      <c r="H762" s="12">
        <v>-0.15532037714065808</v>
      </c>
      <c r="I762" s="12">
        <v>0.15367199025078573</v>
      </c>
      <c r="J762" s="12">
        <v>-7.4386505034956064E-5</v>
      </c>
      <c r="K762" s="12">
        <v>-4.348970559938426E-4</v>
      </c>
      <c r="L762" s="12">
        <v>4.3028157270220003E-4</v>
      </c>
      <c r="M762" s="12">
        <v>-1.7098269514463471E-2</v>
      </c>
      <c r="N762" s="12">
        <v>-9.9964194727727537E-2</v>
      </c>
      <c r="O762" s="12">
        <v>9.8903292925405686E-2</v>
      </c>
      <c r="P762">
        <f t="shared" si="33"/>
        <v>-1.7460588917901237E-2</v>
      </c>
      <c r="Q762">
        <f t="shared" si="34"/>
        <v>-0.10208247736260173</v>
      </c>
      <c r="R762">
        <f t="shared" si="35"/>
        <v>0.10099909461226358</v>
      </c>
    </row>
    <row r="763" spans="1:18" ht="13">
      <c r="A763" s="24" t="s">
        <v>169</v>
      </c>
      <c r="B763" s="9">
        <v>2018</v>
      </c>
      <c r="C763" s="4">
        <v>-0.3921680814238846</v>
      </c>
      <c r="D763" s="10">
        <v>0.69164578960435141</v>
      </c>
      <c r="E763" s="11">
        <v>5.0000000000000001E-3</v>
      </c>
      <c r="F763" s="11">
        <v>0.64149999999999996</v>
      </c>
      <c r="G763" s="12">
        <v>2.6948337734443766E-2</v>
      </c>
      <c r="H763" s="12">
        <v>-0.10705983253210555</v>
      </c>
      <c r="I763" s="12">
        <v>8.6521317173358619E-2</v>
      </c>
      <c r="J763" s="12">
        <v>1.3474168867221882E-4</v>
      </c>
      <c r="K763" s="12">
        <v>-5.3529916266052777E-4</v>
      </c>
      <c r="L763" s="12">
        <v>4.3260658586679311E-4</v>
      </c>
      <c r="M763" s="12">
        <v>1.7287358656645675E-2</v>
      </c>
      <c r="N763" s="12">
        <v>-6.8678882569345706E-2</v>
      </c>
      <c r="O763" s="12">
        <v>5.5503424966709548E-2</v>
      </c>
      <c r="P763">
        <f t="shared" si="33"/>
        <v>1.8638704330864096E-2</v>
      </c>
      <c r="Q763">
        <f t="shared" si="34"/>
        <v>-7.4047482406577769E-2</v>
      </c>
      <c r="R763">
        <f t="shared" si="35"/>
        <v>5.9842104733976151E-2</v>
      </c>
    </row>
    <row r="764" spans="1:18" ht="13">
      <c r="A764" s="24" t="s">
        <v>169</v>
      </c>
      <c r="B764" s="9">
        <v>2019</v>
      </c>
      <c r="C764" s="4">
        <v>-0.38111455534088123</v>
      </c>
      <c r="D764" s="10">
        <v>0.712517938739754</v>
      </c>
      <c r="E764" s="11">
        <v>4.7000000000000002E-3</v>
      </c>
      <c r="F764" s="11">
        <v>0.64149999999999996</v>
      </c>
      <c r="G764" s="12">
        <v>-6.9179704351960275E-2</v>
      </c>
      <c r="H764" s="12">
        <v>-3.0559688680325058E-2</v>
      </c>
      <c r="I764" s="12">
        <v>0.10696771467058752</v>
      </c>
      <c r="J764" s="12">
        <v>-3.251446104542133E-4</v>
      </c>
      <c r="K764" s="12">
        <v>-1.4363053679752777E-4</v>
      </c>
      <c r="L764" s="12">
        <v>5.0274825895176142E-4</v>
      </c>
      <c r="M764" s="12">
        <v>-4.4378780341782512E-2</v>
      </c>
      <c r="N764" s="12">
        <v>-1.9604040288428524E-2</v>
      </c>
      <c r="O764" s="12">
        <v>6.8619788961181885E-2</v>
      </c>
      <c r="P764">
        <f t="shared" si="33"/>
        <v>-4.9291780347484326E-2</v>
      </c>
      <c r="Q764">
        <f t="shared" si="34"/>
        <v>-2.1774326387033804E-2</v>
      </c>
      <c r="R764">
        <f t="shared" si="35"/>
        <v>7.6216415568789164E-2</v>
      </c>
    </row>
    <row r="765" spans="1:18" ht="13">
      <c r="A765" s="24" t="s">
        <v>169</v>
      </c>
      <c r="B765" s="9">
        <v>2020</v>
      </c>
      <c r="C765" s="4">
        <v>0.16672723435231429</v>
      </c>
      <c r="D765" s="10">
        <v>0.78544390994100122</v>
      </c>
      <c r="E765" s="11">
        <v>6.7999999999999996E-3</v>
      </c>
      <c r="F765" s="11">
        <v>0.64149999999999996</v>
      </c>
      <c r="G765" s="12">
        <v>1.3433785398138953E-2</v>
      </c>
      <c r="H765" s="12">
        <v>-1.6477556195332275E-4</v>
      </c>
      <c r="I765" s="12">
        <v>-1.8894264437314342E-2</v>
      </c>
      <c r="J765" s="12">
        <v>9.1349740707344875E-5</v>
      </c>
      <c r="K765" s="12">
        <v>-1.1204738212825947E-6</v>
      </c>
      <c r="L765" s="12">
        <v>-1.2848099817373753E-4</v>
      </c>
      <c r="M765" s="12">
        <v>8.6177733329061371E-3</v>
      </c>
      <c r="N765" s="12">
        <v>-1.0570352299305654E-4</v>
      </c>
      <c r="O765" s="12">
        <v>-1.2120670636537149E-2</v>
      </c>
      <c r="P765">
        <f t="shared" si="33"/>
        <v>1.0551484928422589E-2</v>
      </c>
      <c r="Q765">
        <f t="shared" si="34"/>
        <v>-1.2942196164334349E-4</v>
      </c>
      <c r="R765">
        <f t="shared" si="35"/>
        <v>-1.4840384935103389E-2</v>
      </c>
    </row>
    <row r="766" spans="1:18" ht="13">
      <c r="A766" s="24" t="s">
        <v>169</v>
      </c>
      <c r="B766" s="9">
        <v>2021</v>
      </c>
      <c r="C766" s="4">
        <v>2.38639685006308E-2</v>
      </c>
      <c r="D766" s="10">
        <v>0.77260476145480406</v>
      </c>
      <c r="E766" s="11">
        <v>4.7999999999999996E-3</v>
      </c>
      <c r="F766" s="11">
        <v>0.64149999999999996</v>
      </c>
      <c r="G766" s="12">
        <v>-2.1552984795921585E-3</v>
      </c>
      <c r="H766" s="12">
        <v>4.2880990627376337E-3</v>
      </c>
      <c r="I766" s="12">
        <v>-2.0698064730947658E-4</v>
      </c>
      <c r="J766" s="12">
        <v>-1.034543270204236E-5</v>
      </c>
      <c r="K766" s="12">
        <v>2.058287550114064E-5</v>
      </c>
      <c r="L766" s="12">
        <v>-9.9350710708548759E-7</v>
      </c>
      <c r="M766" s="12">
        <v>-1.3826239746583696E-3</v>
      </c>
      <c r="N766" s="12">
        <v>2.7508155487461919E-3</v>
      </c>
      <c r="O766" s="12">
        <v>-1.3277808524902923E-4</v>
      </c>
      <c r="P766">
        <f t="shared" si="33"/>
        <v>-1.6651938676892014E-3</v>
      </c>
      <c r="Q766">
        <f t="shared" si="34"/>
        <v>3.3130057534609784E-3</v>
      </c>
      <c r="R766">
        <f t="shared" si="35"/>
        <v>-1.599142336402991E-4</v>
      </c>
    </row>
    <row r="767" spans="1:18" ht="13">
      <c r="A767" s="24" t="s">
        <v>170</v>
      </c>
      <c r="B767" s="9">
        <v>2017</v>
      </c>
      <c r="C767" s="4">
        <v>-1.525580246198198</v>
      </c>
      <c r="D767" s="10">
        <v>0.57287293845494325</v>
      </c>
      <c r="E767" s="11">
        <v>4.7000000000000002E-3</v>
      </c>
      <c r="F767" s="11">
        <v>0</v>
      </c>
      <c r="G767" s="12">
        <v>0.16819134049970477</v>
      </c>
      <c r="H767" s="12">
        <v>1.0417930487814744E-2</v>
      </c>
      <c r="I767" s="12">
        <v>-0.14475908535746929</v>
      </c>
      <c r="J767" s="12">
        <v>7.9049930034861247E-4</v>
      </c>
      <c r="K767" s="12">
        <v>4.8964273292729302E-5</v>
      </c>
      <c r="L767" s="12">
        <v>-6.803677011801057E-4</v>
      </c>
      <c r="M767" s="12">
        <v>0</v>
      </c>
      <c r="N767" s="12">
        <v>0</v>
      </c>
      <c r="O767" s="12">
        <v>0</v>
      </c>
      <c r="P767">
        <f t="shared" si="33"/>
        <v>9.6352267454741777E-2</v>
      </c>
      <c r="Q767">
        <f t="shared" si="34"/>
        <v>5.968150451173773E-3</v>
      </c>
      <c r="R767">
        <f t="shared" si="35"/>
        <v>-8.2928562596783384E-2</v>
      </c>
    </row>
    <row r="768" spans="1:18" ht="13">
      <c r="A768" s="24" t="s">
        <v>170</v>
      </c>
      <c r="B768" s="9">
        <v>2018</v>
      </c>
      <c r="C768" s="4">
        <v>-1.5657036814782312</v>
      </c>
      <c r="D768" s="10">
        <v>0.57277212732227789</v>
      </c>
      <c r="E768" s="11">
        <v>2.9999999999999997E-4</v>
      </c>
      <c r="F768" s="11">
        <v>0</v>
      </c>
      <c r="G768" s="12">
        <v>0.14387880515131546</v>
      </c>
      <c r="H768" s="12">
        <v>-8.9061470226750512E-6</v>
      </c>
      <c r="I768" s="12">
        <v>-0.2219589960991076</v>
      </c>
      <c r="J768" s="12">
        <v>4.3163641545394635E-5</v>
      </c>
      <c r="K768" s="12">
        <v>-2.6718441068025152E-9</v>
      </c>
      <c r="L768" s="12">
        <v>-6.6587698829732273E-5</v>
      </c>
      <c r="M768" s="12">
        <v>0</v>
      </c>
      <c r="N768" s="12">
        <v>0</v>
      </c>
      <c r="O768" s="12">
        <v>0</v>
      </c>
      <c r="P768">
        <f t="shared" si="33"/>
        <v>8.2409769303106464E-2</v>
      </c>
      <c r="Q768">
        <f t="shared" si="34"/>
        <v>-5.1011927764225606E-6</v>
      </c>
      <c r="R768">
        <f t="shared" si="35"/>
        <v>-0.12713192637400303</v>
      </c>
    </row>
    <row r="769" spans="1:18" ht="13">
      <c r="A769" s="24" t="s">
        <v>170</v>
      </c>
      <c r="B769" s="9">
        <v>2019</v>
      </c>
      <c r="C769" s="4">
        <v>-1.823290690332902</v>
      </c>
      <c r="D769" s="10">
        <v>0.51759918241831082</v>
      </c>
      <c r="E769" s="11">
        <v>4.8000000000000001E-4</v>
      </c>
      <c r="F769" s="11">
        <v>0</v>
      </c>
      <c r="G769" s="12">
        <v>0.15198917256681982</v>
      </c>
      <c r="H769" s="12">
        <v>5.2479905720309713E-4</v>
      </c>
      <c r="I769" s="12">
        <v>-0.13409076261589309</v>
      </c>
      <c r="J769" s="12">
        <v>7.2954802832073519E-5</v>
      </c>
      <c r="K769" s="12">
        <v>2.5190354745748665E-7</v>
      </c>
      <c r="L769" s="12">
        <v>-6.4363566055628687E-5</v>
      </c>
      <c r="M769" s="12">
        <v>0</v>
      </c>
      <c r="N769" s="12">
        <v>0</v>
      </c>
      <c r="O769" s="12">
        <v>0</v>
      </c>
      <c r="P769">
        <f t="shared" si="33"/>
        <v>7.8669471457021495E-2</v>
      </c>
      <c r="Q769">
        <f t="shared" si="34"/>
        <v>2.7163556294222343E-4</v>
      </c>
      <c r="R769">
        <f t="shared" si="35"/>
        <v>-6.9405269099834063E-2</v>
      </c>
    </row>
    <row r="770" spans="1:18" ht="13">
      <c r="A770" s="24" t="s">
        <v>170</v>
      </c>
      <c r="B770" s="9">
        <v>2020</v>
      </c>
      <c r="C770" s="4">
        <v>-1.9291782485466671</v>
      </c>
      <c r="D770" s="10">
        <v>0.48341059992928143</v>
      </c>
      <c r="E770" s="11">
        <v>3.4000000000000002E-4</v>
      </c>
      <c r="F770" s="11">
        <v>0</v>
      </c>
      <c r="G770" s="12">
        <v>0.14184968373079793</v>
      </c>
      <c r="H770" s="12">
        <v>-1.4831257612069305E-3</v>
      </c>
      <c r="I770" s="12">
        <v>-0.15523710368129495</v>
      </c>
      <c r="J770" s="12">
        <v>4.8228892468471297E-5</v>
      </c>
      <c r="K770" s="12">
        <v>-5.0426275881035641E-7</v>
      </c>
      <c r="L770" s="12">
        <v>-5.278061525164029E-5</v>
      </c>
      <c r="M770" s="12">
        <v>0</v>
      </c>
      <c r="N770" s="12">
        <v>0</v>
      </c>
      <c r="O770" s="12">
        <v>0</v>
      </c>
      <c r="P770">
        <f t="shared" si="33"/>
        <v>6.8571640712083853E-2</v>
      </c>
      <c r="Q770">
        <f t="shared" si="34"/>
        <v>-7.1695871399561444E-4</v>
      </c>
      <c r="R770">
        <f t="shared" si="35"/>
        <v>-7.5043261421858853E-2</v>
      </c>
    </row>
    <row r="771" spans="1:18" ht="13">
      <c r="A771" s="24" t="s">
        <v>170</v>
      </c>
      <c r="B771" s="9">
        <v>2021</v>
      </c>
      <c r="C771" s="4">
        <v>-2.5814318673909606</v>
      </c>
      <c r="D771" s="10">
        <v>0.41469512010725484</v>
      </c>
      <c r="E771" s="11">
        <v>5.9000000000000003E-4</v>
      </c>
      <c r="F771" s="11">
        <v>0</v>
      </c>
      <c r="G771" s="12">
        <v>0.20037700472767961</v>
      </c>
      <c r="H771" s="12">
        <v>-3.9313327217926873E-3</v>
      </c>
      <c r="I771" s="12">
        <v>-0.17136578530891203</v>
      </c>
      <c r="J771" s="12">
        <v>1.1822243278933098E-4</v>
      </c>
      <c r="K771" s="12">
        <v>-2.3194863058576858E-6</v>
      </c>
      <c r="L771" s="12">
        <v>-1.011058133322581E-4</v>
      </c>
      <c r="M771" s="12">
        <v>0</v>
      </c>
      <c r="N771" s="12">
        <v>0</v>
      </c>
      <c r="O771" s="12">
        <v>0</v>
      </c>
      <c r="P771">
        <f t="shared" ref="P771:P834" si="36">G771*D771</f>
        <v>8.3095366042277061E-2</v>
      </c>
      <c r="Q771">
        <f t="shared" ref="Q771:Q834" si="37">H771*D771</f>
        <v>-1.6303044952453995E-3</v>
      </c>
      <c r="R771">
        <f t="shared" ref="R771:R834" si="38">I771*D771</f>
        <v>-7.1064554920953316E-2</v>
      </c>
    </row>
    <row r="772" spans="1:18" ht="13">
      <c r="A772" s="24" t="s">
        <v>171</v>
      </c>
      <c r="B772" s="9">
        <v>2017</v>
      </c>
      <c r="C772" s="4">
        <v>-2.2296356244402191</v>
      </c>
      <c r="D772" s="10">
        <v>0.38424277389949807</v>
      </c>
      <c r="E772" s="11">
        <v>5.2999999999999999E-2</v>
      </c>
      <c r="F772" s="11">
        <v>6.3369999999999996E-2</v>
      </c>
      <c r="G772" s="12">
        <v>-0.11747072059078059</v>
      </c>
      <c r="H772" s="12">
        <v>1.1785611261755034E-2</v>
      </c>
      <c r="I772" s="12">
        <v>9.7836496855708763E-2</v>
      </c>
      <c r="J772" s="12">
        <v>-6.2259481913113715E-3</v>
      </c>
      <c r="K772" s="12">
        <v>6.2463739687301681E-4</v>
      </c>
      <c r="L772" s="12">
        <v>5.1853343333525641E-3</v>
      </c>
      <c r="M772" s="12">
        <v>-7.4441195638377654E-3</v>
      </c>
      <c r="N772" s="12">
        <v>7.4685418565741644E-4</v>
      </c>
      <c r="O772" s="12">
        <v>6.1998988057462637E-3</v>
      </c>
      <c r="P772">
        <f t="shared" si="36"/>
        <v>-4.5137275531774421E-2</v>
      </c>
      <c r="Q772">
        <f t="shared" si="37"/>
        <v>4.5285359633179178E-3</v>
      </c>
      <c r="R772">
        <f t="shared" si="38"/>
        <v>3.7592966940447059E-2</v>
      </c>
    </row>
    <row r="773" spans="1:18" ht="13">
      <c r="A773" s="24" t="s">
        <v>171</v>
      </c>
      <c r="B773" s="9">
        <v>2018</v>
      </c>
      <c r="C773" s="4">
        <v>-1.8850891100897675</v>
      </c>
      <c r="D773" s="10">
        <v>0.44202541660485584</v>
      </c>
      <c r="E773" s="30">
        <v>2.1299999999999999E-2</v>
      </c>
      <c r="F773" s="11">
        <v>0</v>
      </c>
      <c r="G773" s="12">
        <v>4.2941205558027988E-2</v>
      </c>
      <c r="H773" s="12">
        <v>-9.1201107649705779E-2</v>
      </c>
      <c r="I773" s="12">
        <v>5.4597240765465058E-2</v>
      </c>
      <c r="J773" s="12">
        <v>9.1464767838599613E-4</v>
      </c>
      <c r="K773" s="12">
        <v>-1.9425835929387329E-3</v>
      </c>
      <c r="L773" s="12">
        <v>1.1629212283044057E-3</v>
      </c>
      <c r="M773" s="12">
        <v>0</v>
      </c>
      <c r="N773" s="12">
        <v>0</v>
      </c>
      <c r="O773" s="12">
        <v>0</v>
      </c>
      <c r="P773">
        <f t="shared" si="36"/>
        <v>1.8981104276302074E-2</v>
      </c>
      <c r="Q773">
        <f t="shared" si="37"/>
        <v>-4.0313207603685501E-2</v>
      </c>
      <c r="R773">
        <f t="shared" si="38"/>
        <v>2.4133368094830309E-2</v>
      </c>
    </row>
    <row r="774" spans="1:18" ht="13">
      <c r="A774" s="24" t="s">
        <v>171</v>
      </c>
      <c r="B774" s="9">
        <v>2019</v>
      </c>
      <c r="C774" s="4">
        <v>-1.8469263233680362</v>
      </c>
      <c r="D774" s="10">
        <v>0.44628992082042784</v>
      </c>
      <c r="E774" s="27">
        <v>1.6299999999999999E-2</v>
      </c>
      <c r="F774" s="11">
        <v>0</v>
      </c>
      <c r="G774" s="12">
        <v>0.22889536244900155</v>
      </c>
      <c r="H774" s="12">
        <v>1.4164430985580338E-2</v>
      </c>
      <c r="I774" s="12">
        <v>-0.22178148280348653</v>
      </c>
      <c r="J774" s="12">
        <v>3.7309944079187249E-3</v>
      </c>
      <c r="K774" s="12">
        <v>2.3088022506495949E-4</v>
      </c>
      <c r="L774" s="12">
        <v>-3.61503816969683E-3</v>
      </c>
      <c r="M774" s="12">
        <v>0</v>
      </c>
      <c r="N774" s="12">
        <v>0</v>
      </c>
      <c r="O774" s="12">
        <v>0</v>
      </c>
      <c r="P774">
        <f t="shared" si="36"/>
        <v>0.10215369318352803</v>
      </c>
      <c r="Q774">
        <f t="shared" si="37"/>
        <v>6.3214427830210638E-3</v>
      </c>
      <c r="R774">
        <f t="shared" si="38"/>
        <v>-9.8978840399805076E-2</v>
      </c>
    </row>
    <row r="775" spans="1:18" ht="13">
      <c r="A775" s="24" t="s">
        <v>171</v>
      </c>
      <c r="B775" s="9">
        <v>2020</v>
      </c>
      <c r="C775" s="4">
        <v>-2.1699971186465112</v>
      </c>
      <c r="D775" s="10">
        <v>0.38829402529591278</v>
      </c>
      <c r="E775" s="27">
        <v>8.0999999999999996E-3</v>
      </c>
      <c r="F775" s="11">
        <v>0</v>
      </c>
      <c r="G775" s="12">
        <v>-9.6175624900774415E-2</v>
      </c>
      <c r="H775" s="12">
        <v>5.4490289121346298E-3</v>
      </c>
      <c r="I775" s="12">
        <v>0.10386847536559123</v>
      </c>
      <c r="J775" s="12">
        <v>-7.790225616962727E-4</v>
      </c>
      <c r="K775" s="12">
        <v>4.4137134188290499E-5</v>
      </c>
      <c r="L775" s="12">
        <v>8.4133465046128889E-4</v>
      </c>
      <c r="M775" s="12">
        <v>0</v>
      </c>
      <c r="N775" s="12">
        <v>0</v>
      </c>
      <c r="O775" s="12">
        <v>0</v>
      </c>
      <c r="P775">
        <f t="shared" si="36"/>
        <v>-3.734442052807152E-2</v>
      </c>
      <c r="Q775">
        <f t="shared" si="37"/>
        <v>2.1158253702465639E-3</v>
      </c>
      <c r="R775">
        <f t="shared" si="38"/>
        <v>4.0331508401054775E-2</v>
      </c>
    </row>
    <row r="776" spans="1:18" ht="13">
      <c r="A776" s="24" t="s">
        <v>171</v>
      </c>
      <c r="B776" s="9">
        <v>2021</v>
      </c>
      <c r="C776" s="4">
        <v>-2.1707284983165538</v>
      </c>
      <c r="D776" s="10">
        <v>0.39073075036782734</v>
      </c>
      <c r="E776" s="11">
        <v>8.0999999999999996E-3</v>
      </c>
      <c r="F776" s="11">
        <v>0</v>
      </c>
      <c r="G776" s="12">
        <v>-0.13840117704757235</v>
      </c>
      <c r="H776" s="12">
        <v>-3.2632583539891041E-2</v>
      </c>
      <c r="I776" s="12">
        <v>0.24288403165303607</v>
      </c>
      <c r="J776" s="12">
        <v>-1.1210495340853359E-3</v>
      </c>
      <c r="K776" s="12">
        <v>-2.6432392667311743E-4</v>
      </c>
      <c r="L776" s="12">
        <v>1.967360656389592E-3</v>
      </c>
      <c r="M776" s="12">
        <v>0</v>
      </c>
      <c r="N776" s="12">
        <v>0</v>
      </c>
      <c r="O776" s="12">
        <v>0</v>
      </c>
      <c r="P776">
        <f t="shared" si="36"/>
        <v>-5.4077595759588468E-2</v>
      </c>
      <c r="Q776">
        <f t="shared" si="37"/>
        <v>-1.2750553852982438E-2</v>
      </c>
      <c r="R776">
        <f t="shared" si="38"/>
        <v>9.4902259940153916E-2</v>
      </c>
    </row>
    <row r="777" spans="1:18" ht="13">
      <c r="A777" s="24" t="s">
        <v>172</v>
      </c>
      <c r="B777" s="9">
        <v>2017</v>
      </c>
      <c r="C777" s="4">
        <v>-3.6949479393214726</v>
      </c>
      <c r="D777" s="10">
        <v>0.25208000261019936</v>
      </c>
      <c r="E777" s="11">
        <v>0.17299999999999999</v>
      </c>
      <c r="F777" s="11">
        <v>1.1270000000000001E-2</v>
      </c>
      <c r="G777" s="12">
        <v>0.20077327155861527</v>
      </c>
      <c r="H777" s="12">
        <v>-7.1209501125648472E-2</v>
      </c>
      <c r="I777" s="12">
        <v>-0.20899539952363863</v>
      </c>
      <c r="J777" s="12">
        <v>3.473377597964044E-2</v>
      </c>
      <c r="K777" s="12">
        <v>-1.2319243694737185E-2</v>
      </c>
      <c r="L777" s="12">
        <v>-3.6156204117589477E-2</v>
      </c>
      <c r="M777" s="12">
        <v>2.262714770465594E-3</v>
      </c>
      <c r="N777" s="12">
        <v>-8.0253107768605831E-4</v>
      </c>
      <c r="O777" s="12">
        <v>-2.3553781526314075E-3</v>
      </c>
      <c r="P777">
        <f t="shared" si="36"/>
        <v>5.0610926818554003E-2</v>
      </c>
      <c r="Q777">
        <f t="shared" si="37"/>
        <v>-1.7950491229624461E-2</v>
      </c>
      <c r="R777">
        <f t="shared" si="38"/>
        <v>-5.2683560857438486E-2</v>
      </c>
    </row>
    <row r="778" spans="1:18" ht="13">
      <c r="A778" s="24" t="s">
        <v>172</v>
      </c>
      <c r="B778" s="9">
        <v>2018</v>
      </c>
      <c r="C778" s="4">
        <v>-2.7870117490857917</v>
      </c>
      <c r="D778" s="10">
        <v>0.32539098037516789</v>
      </c>
      <c r="E778" s="11">
        <v>6.83E-2</v>
      </c>
      <c r="F778" s="11">
        <v>1.1599999999999999E-2</v>
      </c>
      <c r="G778" s="12">
        <v>-5.539430172276856E-2</v>
      </c>
      <c r="H778" s="12">
        <v>-9.2448988433045956E-2</v>
      </c>
      <c r="I778" s="12">
        <v>7.5957775563546036E-3</v>
      </c>
      <c r="J778" s="12">
        <v>-3.7834308076650927E-3</v>
      </c>
      <c r="K778" s="12">
        <v>-6.3142659099770385E-3</v>
      </c>
      <c r="L778" s="12">
        <v>5.1879160709901939E-4</v>
      </c>
      <c r="M778" s="12">
        <v>-6.4257389998411524E-4</v>
      </c>
      <c r="N778" s="12">
        <v>-1.0724082658233329E-3</v>
      </c>
      <c r="O778" s="12">
        <v>8.8111019653713401E-5</v>
      </c>
      <c r="P778">
        <f t="shared" si="36"/>
        <v>-1.8024806144769513E-2</v>
      </c>
      <c r="Q778">
        <f t="shared" si="37"/>
        <v>-3.008206698092138E-2</v>
      </c>
      <c r="R778">
        <f t="shared" si="38"/>
        <v>2.4715975057739217E-3</v>
      </c>
    </row>
    <row r="779" spans="1:18" ht="13">
      <c r="A779" s="24" t="s">
        <v>172</v>
      </c>
      <c r="B779" s="9">
        <v>2019</v>
      </c>
      <c r="C779" s="4">
        <v>-2.8836112240064229</v>
      </c>
      <c r="D779" s="10">
        <v>0.31189575451870533</v>
      </c>
      <c r="E779" s="11">
        <v>8.9800000000000005E-2</v>
      </c>
      <c r="F779" s="11">
        <v>1.1560000000000001E-2</v>
      </c>
      <c r="G779" s="12">
        <v>6.4228667507356035E-2</v>
      </c>
      <c r="H779" s="12">
        <v>-9.1354911027042157E-3</v>
      </c>
      <c r="I779" s="12">
        <v>-9.4731679977581612E-2</v>
      </c>
      <c r="J779" s="12">
        <v>5.7677343421605725E-3</v>
      </c>
      <c r="K779" s="12">
        <v>-8.2036710102283866E-4</v>
      </c>
      <c r="L779" s="12">
        <v>-8.50690486198683E-3</v>
      </c>
      <c r="M779" s="12">
        <v>7.4248339638503585E-4</v>
      </c>
      <c r="N779" s="12">
        <v>-1.0560627714726074E-4</v>
      </c>
      <c r="O779" s="12">
        <v>-1.0950982205408435E-3</v>
      </c>
      <c r="P779">
        <f t="shared" si="36"/>
        <v>2.0032648713937864E-2</v>
      </c>
      <c r="Q779">
        <f t="shared" si="37"/>
        <v>-2.8493208903768506E-3</v>
      </c>
      <c r="R779">
        <f t="shared" si="38"/>
        <v>-2.9546408803432348E-2</v>
      </c>
    </row>
    <row r="780" spans="1:18" ht="13">
      <c r="A780" s="24" t="s">
        <v>172</v>
      </c>
      <c r="B780" s="9">
        <v>2020</v>
      </c>
      <c r="C780" s="4">
        <v>-2.281242059334907</v>
      </c>
      <c r="D780" s="10">
        <v>0.4145161835830487</v>
      </c>
      <c r="E780" s="11">
        <v>0.1154</v>
      </c>
      <c r="F780" s="11">
        <v>1.1039999999999999E-2</v>
      </c>
      <c r="G780" s="12">
        <v>-8.1036290458957619E-2</v>
      </c>
      <c r="H780" s="12">
        <v>-6.0450276772527928E-2</v>
      </c>
      <c r="I780" s="12">
        <v>0.12977305780092671</v>
      </c>
      <c r="J780" s="12">
        <v>-9.3515879189637087E-3</v>
      </c>
      <c r="K780" s="12">
        <v>-6.9759619395497229E-3</v>
      </c>
      <c r="L780" s="12">
        <v>1.4975810870226943E-2</v>
      </c>
      <c r="M780" s="12">
        <v>-8.9464064666689206E-4</v>
      </c>
      <c r="N780" s="12">
        <v>-6.6737105556870832E-4</v>
      </c>
      <c r="O780" s="12">
        <v>1.4326945581222309E-3</v>
      </c>
      <c r="P780">
        <f t="shared" si="36"/>
        <v>-3.3590853852774535E-2</v>
      </c>
      <c r="Q780">
        <f t="shared" si="37"/>
        <v>-2.5057618024287291E-2</v>
      </c>
      <c r="R780">
        <f t="shared" si="38"/>
        <v>5.3793032651542526E-2</v>
      </c>
    </row>
    <row r="781" spans="1:18" ht="13">
      <c r="A781" s="24" t="s">
        <v>172</v>
      </c>
      <c r="B781" s="9">
        <v>2021</v>
      </c>
      <c r="C781" s="4">
        <v>-2.2035311047658737</v>
      </c>
      <c r="D781" s="10">
        <v>0.41237147340583136</v>
      </c>
      <c r="E781" s="11">
        <v>0.1115</v>
      </c>
      <c r="F781" s="11">
        <v>2.1100000000000001E-2</v>
      </c>
      <c r="G781" s="12">
        <v>4.3784086295251788E-2</v>
      </c>
      <c r="H781" s="12">
        <v>-5.3769930538028507E-4</v>
      </c>
      <c r="I781" s="12">
        <v>-4.8173468379988808E-2</v>
      </c>
      <c r="J781" s="12">
        <v>4.8819256219205746E-3</v>
      </c>
      <c r="K781" s="12">
        <v>-5.9953472549901783E-5</v>
      </c>
      <c r="L781" s="12">
        <v>-5.3713417243687524E-3</v>
      </c>
      <c r="M781" s="12">
        <v>9.2384422082981271E-4</v>
      </c>
      <c r="N781" s="12">
        <v>-1.1345455343524016E-5</v>
      </c>
      <c r="O781" s="12">
        <v>-1.0164601828177638E-3</v>
      </c>
      <c r="P781">
        <f t="shared" si="36"/>
        <v>1.8055308177301048E-2</v>
      </c>
      <c r="Q781">
        <f t="shared" si="37"/>
        <v>-2.2173185480896021E-4</v>
      </c>
      <c r="R781">
        <f t="shared" si="38"/>
        <v>-1.9865364134925213E-2</v>
      </c>
    </row>
    <row r="782" spans="1:18" ht="13">
      <c r="A782" s="24" t="s">
        <v>173</v>
      </c>
      <c r="B782" s="9">
        <v>2017</v>
      </c>
      <c r="C782" s="4">
        <v>0.28463596069684655</v>
      </c>
      <c r="D782" s="10">
        <v>0.82844997119644026</v>
      </c>
      <c r="E782" s="11">
        <v>4.4699999999999997E-2</v>
      </c>
      <c r="F782" s="11">
        <v>0.17399999999999999</v>
      </c>
      <c r="G782" s="12">
        <v>-5.1781847798017519E-2</v>
      </c>
      <c r="H782" s="12">
        <v>-1.1471762579209788E-3</v>
      </c>
      <c r="I782" s="12">
        <v>4.5887050316839158E-2</v>
      </c>
      <c r="J782" s="12">
        <v>-2.3146485965713829E-3</v>
      </c>
      <c r="K782" s="12">
        <v>-5.1278778729067747E-5</v>
      </c>
      <c r="L782" s="12">
        <v>2.0511511491627102E-3</v>
      </c>
      <c r="M782" s="12">
        <v>-9.0100415168550482E-3</v>
      </c>
      <c r="N782" s="12">
        <v>-1.996086688782503E-4</v>
      </c>
      <c r="O782" s="12">
        <v>7.9843467551300121E-3</v>
      </c>
      <c r="P782">
        <f t="shared" si="36"/>
        <v>-4.2898670316766065E-2</v>
      </c>
      <c r="Q782">
        <f t="shared" si="37"/>
        <v>-9.5037813783187502E-4</v>
      </c>
      <c r="R782">
        <f t="shared" si="38"/>
        <v>3.8015125513275003E-2</v>
      </c>
    </row>
    <row r="783" spans="1:18" ht="13">
      <c r="A783" s="24" t="s">
        <v>173</v>
      </c>
      <c r="B783" s="9">
        <v>2018</v>
      </c>
      <c r="C783" s="4">
        <v>0.26519565339807483</v>
      </c>
      <c r="D783" s="10">
        <v>0.81782703063694795</v>
      </c>
      <c r="E783" s="11">
        <v>4.6699999999999998E-2</v>
      </c>
      <c r="F783" s="11">
        <v>0.53300000000000003</v>
      </c>
      <c r="G783" s="12">
        <v>2.0170715418649302E-2</v>
      </c>
      <c r="H783" s="12">
        <v>5.0745053844227395E-2</v>
      </c>
      <c r="I783" s="12">
        <v>-2.7563861758076631E-2</v>
      </c>
      <c r="J783" s="12">
        <v>9.4197241005092238E-4</v>
      </c>
      <c r="K783" s="12">
        <v>2.3697940145254192E-3</v>
      </c>
      <c r="L783" s="12">
        <v>-1.2872323441021787E-3</v>
      </c>
      <c r="M783" s="12">
        <v>1.0750991318140078E-2</v>
      </c>
      <c r="N783" s="12">
        <v>2.7047113698973203E-2</v>
      </c>
      <c r="O783" s="12">
        <v>-1.4691538317054845E-2</v>
      </c>
      <c r="P783">
        <f t="shared" si="36"/>
        <v>1.649615629665686E-2</v>
      </c>
      <c r="Q783">
        <f t="shared" si="37"/>
        <v>4.1500676704936533E-2</v>
      </c>
      <c r="R783">
        <f t="shared" si="38"/>
        <v>-2.2542471214495135E-2</v>
      </c>
    </row>
    <row r="784" spans="1:18" ht="13">
      <c r="A784" s="24" t="s">
        <v>173</v>
      </c>
      <c r="B784" s="9">
        <v>2019</v>
      </c>
      <c r="C784" s="4">
        <v>0.13007266164107215</v>
      </c>
      <c r="D784" s="10">
        <v>0.79356976854486816</v>
      </c>
      <c r="E784" s="11">
        <v>4.48E-2</v>
      </c>
      <c r="F784" s="11">
        <v>0.52722999999999998</v>
      </c>
      <c r="G784" s="12">
        <v>-1.8983589451716944E-2</v>
      </c>
      <c r="H784" s="12">
        <v>-8.3416334661354577E-3</v>
      </c>
      <c r="I784" s="12">
        <v>4.6385885031303357E-2</v>
      </c>
      <c r="J784" s="12">
        <v>-8.5046480743691908E-4</v>
      </c>
      <c r="K784" s="12">
        <v>-3.737051792828685E-4</v>
      </c>
      <c r="L784" s="12">
        <v>2.0780876494023905E-3</v>
      </c>
      <c r="M784" s="12">
        <v>-1.0008717866628724E-2</v>
      </c>
      <c r="N784" s="12">
        <v>-4.3979594123505971E-3</v>
      </c>
      <c r="O784" s="12">
        <v>2.4456030165054068E-2</v>
      </c>
      <c r="P784">
        <f t="shared" si="36"/>
        <v>-1.5064802687349816E-2</v>
      </c>
      <c r="Q784">
        <f t="shared" si="37"/>
        <v>-6.6196681390072419E-3</v>
      </c>
      <c r="R784">
        <f t="shared" si="38"/>
        <v>3.6810436048040268E-2</v>
      </c>
    </row>
    <row r="785" spans="1:18" ht="13">
      <c r="A785" s="24" t="s">
        <v>173</v>
      </c>
      <c r="B785" s="9">
        <v>2020</v>
      </c>
      <c r="C785" s="4">
        <v>0.40496025748915104</v>
      </c>
      <c r="D785" s="10">
        <v>0.8388630395724882</v>
      </c>
      <c r="E785" s="11">
        <v>4.4400000000000002E-2</v>
      </c>
      <c r="F785" s="11">
        <v>0.52729999999999999</v>
      </c>
      <c r="G785" s="12">
        <v>2.1043902888469159E-2</v>
      </c>
      <c r="H785" s="12">
        <v>-4.1968028746487305E-3</v>
      </c>
      <c r="I785" s="12">
        <v>-1.8118579260146497E-2</v>
      </c>
      <c r="J785" s="12">
        <v>9.343492882480307E-4</v>
      </c>
      <c r="K785" s="12">
        <v>-1.8633804763440364E-4</v>
      </c>
      <c r="L785" s="12">
        <v>-8.0446491915050447E-4</v>
      </c>
      <c r="M785" s="12">
        <v>1.1096449993089787E-2</v>
      </c>
      <c r="N785" s="12">
        <v>-2.2129741558022755E-3</v>
      </c>
      <c r="O785" s="12">
        <v>-9.5539268438752482E-3</v>
      </c>
      <c r="P785">
        <f t="shared" si="36"/>
        <v>1.7652952341489503E-2</v>
      </c>
      <c r="Q785">
        <f t="shared" si="37"/>
        <v>-3.5205428159143901E-3</v>
      </c>
      <c r="R785">
        <f t="shared" si="38"/>
        <v>-1.5199006470901536E-2</v>
      </c>
    </row>
    <row r="786" spans="1:18" ht="13">
      <c r="A786" s="24" t="s">
        <v>173</v>
      </c>
      <c r="B786" s="9">
        <v>2021</v>
      </c>
      <c r="C786" s="4">
        <v>0.5033376378258998</v>
      </c>
      <c r="D786" s="10">
        <v>0.85449982880859132</v>
      </c>
      <c r="E786" s="11">
        <v>4.2999999999999997E-2</v>
      </c>
      <c r="F786" s="11">
        <v>0.53580000000000005</v>
      </c>
      <c r="G786" s="12">
        <v>5.5415911615128308E-2</v>
      </c>
      <c r="H786" s="12">
        <v>2.7975181421139215E-3</v>
      </c>
      <c r="I786" s="12">
        <v>-2.5056576672874094E-2</v>
      </c>
      <c r="J786" s="12">
        <v>2.3828841994505169E-3</v>
      </c>
      <c r="K786" s="12">
        <v>1.2029328011089861E-4</v>
      </c>
      <c r="L786" s="12">
        <v>-1.0774327969335859E-3</v>
      </c>
      <c r="M786" s="12">
        <v>2.969184544338575E-2</v>
      </c>
      <c r="N786" s="12">
        <v>1.4989102205446392E-3</v>
      </c>
      <c r="O786" s="12">
        <v>-1.3425313781325941E-2</v>
      </c>
      <c r="P786">
        <f t="shared" si="36"/>
        <v>4.7352886988399165E-2</v>
      </c>
      <c r="Q786">
        <f t="shared" si="37"/>
        <v>2.3904787735252743E-3</v>
      </c>
      <c r="R786">
        <f t="shared" si="38"/>
        <v>-2.1410840477500255E-2</v>
      </c>
    </row>
    <row r="787" spans="1:18" ht="13">
      <c r="A787" s="24" t="s">
        <v>174</v>
      </c>
      <c r="B787" s="9">
        <v>2017</v>
      </c>
      <c r="C787" s="4">
        <v>-1.6484128377326657</v>
      </c>
      <c r="D787" s="10">
        <v>0.52427843254465112</v>
      </c>
      <c r="E787" s="27">
        <v>6.4999999999999997E-3</v>
      </c>
      <c r="F787" s="11">
        <v>0.20558999999999999</v>
      </c>
      <c r="G787" s="12">
        <v>8.2670264069858557E-2</v>
      </c>
      <c r="H787" s="12">
        <v>-7.5375829004871039E-2</v>
      </c>
      <c r="I787" s="12">
        <v>-3.1035680531209357E-2</v>
      </c>
      <c r="J787" s="12">
        <v>5.3735671645408064E-4</v>
      </c>
      <c r="K787" s="12">
        <v>-4.8994288853166171E-4</v>
      </c>
      <c r="L787" s="12">
        <v>-2.0173192345286081E-4</v>
      </c>
      <c r="M787" s="12">
        <v>1.6996179590122219E-2</v>
      </c>
      <c r="N787" s="12">
        <v>-1.5496516685111436E-2</v>
      </c>
      <c r="O787" s="12">
        <v>-6.3806255604113319E-3</v>
      </c>
      <c r="P787">
        <f t="shared" si="36"/>
        <v>4.3342236464597832E-2</v>
      </c>
      <c r="Q787">
        <f t="shared" si="37"/>
        <v>-3.9517921482427436E-2</v>
      </c>
      <c r="R787">
        <f t="shared" si="38"/>
        <v>-1.6271337941858987E-2</v>
      </c>
    </row>
    <row r="788" spans="1:18" ht="13">
      <c r="A788" s="24" t="s">
        <v>174</v>
      </c>
      <c r="B788" s="9">
        <v>2018</v>
      </c>
      <c r="C788" s="4">
        <v>-1.5072198717054175</v>
      </c>
      <c r="D788" s="10">
        <v>0.53411619183781656</v>
      </c>
      <c r="E788" s="11">
        <v>6.3E-3</v>
      </c>
      <c r="F788" s="11">
        <v>0.43664999999999998</v>
      </c>
      <c r="G788" s="12">
        <v>-9.3051461434044705E-2</v>
      </c>
      <c r="H788" s="12">
        <v>4.6104047357049337E-2</v>
      </c>
      <c r="I788" s="12">
        <v>3.9887229821447212E-2</v>
      </c>
      <c r="J788" s="12">
        <v>-5.8622420703448167E-4</v>
      </c>
      <c r="K788" s="12">
        <v>2.9045549834941085E-4</v>
      </c>
      <c r="L788" s="12">
        <v>2.5128954787511742E-4</v>
      </c>
      <c r="M788" s="12">
        <v>-4.0630920635175621E-2</v>
      </c>
      <c r="N788" s="12">
        <v>2.0131332278455594E-2</v>
      </c>
      <c r="O788" s="12">
        <v>1.7416758901534924E-2</v>
      </c>
      <c r="P788">
        <f t="shared" si="36"/>
        <v>-4.9700292226095413E-2</v>
      </c>
      <c r="Q788">
        <f t="shared" si="37"/>
        <v>2.4624918202657543E-2</v>
      </c>
      <c r="R788">
        <f t="shared" si="38"/>
        <v>2.1304415295191177E-2</v>
      </c>
    </row>
    <row r="789" spans="1:18" ht="13">
      <c r="A789" s="24" t="s">
        <v>174</v>
      </c>
      <c r="B789" s="9">
        <v>2019</v>
      </c>
      <c r="C789" s="4">
        <v>-1.5287581345146308</v>
      </c>
      <c r="D789" s="10">
        <v>0.48774877395728866</v>
      </c>
      <c r="E789" s="11">
        <v>6.3E-3</v>
      </c>
      <c r="F789" s="11">
        <v>0.40205000000000002</v>
      </c>
      <c r="G789" s="12">
        <v>0.21917871240212364</v>
      </c>
      <c r="H789" s="12">
        <v>-3.0023094688221712E-2</v>
      </c>
      <c r="I789" s="12">
        <v>-0.18617447070839047</v>
      </c>
      <c r="J789" s="12">
        <v>1.3808258881333789E-3</v>
      </c>
      <c r="K789" s="12">
        <v>-1.8914549653579679E-4</v>
      </c>
      <c r="L789" s="12">
        <v>-1.17289916546286E-3</v>
      </c>
      <c r="M789" s="12">
        <v>8.8120801321273812E-2</v>
      </c>
      <c r="N789" s="12">
        <v>-1.2070785219399541E-2</v>
      </c>
      <c r="O789" s="12">
        <v>-7.4851445948308393E-2</v>
      </c>
      <c r="P789">
        <f t="shared" si="36"/>
        <v>0.10690414825167298</v>
      </c>
      <c r="Q789">
        <f t="shared" si="37"/>
        <v>-1.4643727624583725E-2</v>
      </c>
      <c r="R789">
        <f t="shared" si="38"/>
        <v>-9.0806369830164602E-2</v>
      </c>
    </row>
    <row r="790" spans="1:18" ht="13">
      <c r="A790" s="24" t="s">
        <v>174</v>
      </c>
      <c r="B790" s="9">
        <v>2020</v>
      </c>
      <c r="C790" s="4">
        <v>-1.6369912343244606</v>
      </c>
      <c r="D790" s="10">
        <v>0.4698897933269528</v>
      </c>
      <c r="E790" s="11">
        <v>7.3000000000000001E-3</v>
      </c>
      <c r="F790" s="11">
        <v>1.6999999999999999E-3</v>
      </c>
      <c r="G790" s="12">
        <v>4.6063167470553119E-2</v>
      </c>
      <c r="H790" s="12">
        <v>-4.6025263197793972E-2</v>
      </c>
      <c r="I790" s="12">
        <v>-1.6734736423163303E-2</v>
      </c>
      <c r="J790" s="12">
        <v>3.3626112253503775E-4</v>
      </c>
      <c r="K790" s="12">
        <v>-3.3598442134389603E-4</v>
      </c>
      <c r="L790" s="12">
        <v>-1.2216357588909211E-4</v>
      </c>
      <c r="M790" s="12">
        <v>7.83073846999403E-5</v>
      </c>
      <c r="N790" s="12">
        <v>-7.8242947436249748E-5</v>
      </c>
      <c r="O790" s="12">
        <v>-2.8449051919377612E-5</v>
      </c>
      <c r="P790">
        <f t="shared" si="36"/>
        <v>2.1644612242723019E-2</v>
      </c>
      <c r="Q790">
        <f t="shared" si="37"/>
        <v>-2.1626801411830016E-2</v>
      </c>
      <c r="R790">
        <f t="shared" si="38"/>
        <v>-7.8634818392612337E-3</v>
      </c>
    </row>
    <row r="791" spans="1:18" ht="13">
      <c r="A791" s="24" t="s">
        <v>174</v>
      </c>
      <c r="B791" s="9">
        <v>2021</v>
      </c>
      <c r="C791" s="4">
        <v>-1.0470602484763529</v>
      </c>
      <c r="D791" s="10">
        <v>0.59141757087854396</v>
      </c>
      <c r="E791" s="11">
        <v>7.3000000000000001E-3</v>
      </c>
      <c r="F791" s="11">
        <v>1.6999999999999999E-3</v>
      </c>
      <c r="G791" s="12">
        <v>4.40322016100805E-3</v>
      </c>
      <c r="H791" s="12">
        <v>-0.18597129856492825</v>
      </c>
      <c r="I791" s="12">
        <v>0.21313965698284917</v>
      </c>
      <c r="J791" s="12">
        <v>3.2143507175358765E-5</v>
      </c>
      <c r="K791" s="12">
        <v>-1.3575904795239762E-3</v>
      </c>
      <c r="L791" s="12">
        <v>1.555919495974799E-3</v>
      </c>
      <c r="M791" s="12">
        <v>7.4854742737136845E-6</v>
      </c>
      <c r="N791" s="12">
        <v>-3.1615120756037799E-4</v>
      </c>
      <c r="O791" s="12">
        <v>3.6233741687084357E-4</v>
      </c>
      <c r="P791">
        <f t="shared" si="36"/>
        <v>2.604141771666812E-3</v>
      </c>
      <c r="Q791">
        <f t="shared" si="37"/>
        <v>-0.10998669365039832</v>
      </c>
      <c r="R791">
        <f t="shared" si="38"/>
        <v>0.12605453819068274</v>
      </c>
    </row>
    <row r="792" spans="1:18" ht="13">
      <c r="A792" s="24" t="s">
        <v>175</v>
      </c>
      <c r="B792" s="9">
        <v>2017</v>
      </c>
      <c r="C792" s="4">
        <v>-2.461341341970317</v>
      </c>
      <c r="D792" s="10">
        <v>0.37962589625370341</v>
      </c>
      <c r="E792" s="11">
        <v>0.35160000000000002</v>
      </c>
      <c r="F792" s="11">
        <v>0.2036</v>
      </c>
      <c r="G792" s="12">
        <v>-4.366881124765528E-2</v>
      </c>
      <c r="H792" s="12">
        <v>-4.642112090878811E-2</v>
      </c>
      <c r="I792" s="12">
        <v>-2.245674315866978E-2</v>
      </c>
      <c r="J792" s="12">
        <v>-1.5353954034675597E-2</v>
      </c>
      <c r="K792" s="12">
        <v>-1.6321666111529902E-2</v>
      </c>
      <c r="L792" s="12">
        <v>-7.8957908945882956E-3</v>
      </c>
      <c r="M792" s="12">
        <v>-8.8909699700226146E-3</v>
      </c>
      <c r="N792" s="12">
        <v>-9.4513402170292599E-3</v>
      </c>
      <c r="O792" s="12">
        <v>-4.5721929071051671E-3</v>
      </c>
      <c r="P792">
        <f t="shared" si="36"/>
        <v>-1.657781160822494E-2</v>
      </c>
      <c r="Q792">
        <f t="shared" si="37"/>
        <v>-1.7622659630100217E-2</v>
      </c>
      <c r="R792">
        <f t="shared" si="38"/>
        <v>-8.5251612485492383E-3</v>
      </c>
    </row>
    <row r="793" spans="1:18" ht="13">
      <c r="A793" s="24" t="s">
        <v>175</v>
      </c>
      <c r="B793" s="9">
        <v>2018</v>
      </c>
      <c r="C793" s="4">
        <v>-2.2272679804059443</v>
      </c>
      <c r="D793" s="10">
        <v>0.42456844754216561</v>
      </c>
      <c r="E793" s="11">
        <v>0.34439999999999998</v>
      </c>
      <c r="F793" s="11">
        <v>0.24129999999999999</v>
      </c>
      <c r="G793" s="12">
        <v>0.12612217776709597</v>
      </c>
      <c r="H793" s="12">
        <v>-0.14752661416877552</v>
      </c>
      <c r="I793" s="12">
        <v>-1.6654178389153576E-2</v>
      </c>
      <c r="J793" s="12">
        <v>4.3436478022987848E-2</v>
      </c>
      <c r="K793" s="12">
        <v>-5.0808165919726291E-2</v>
      </c>
      <c r="L793" s="12">
        <v>-5.7356990372244912E-3</v>
      </c>
      <c r="M793" s="12">
        <v>3.0433281495200255E-2</v>
      </c>
      <c r="N793" s="12">
        <v>-3.559817199892553E-2</v>
      </c>
      <c r="O793" s="12">
        <v>-4.0186532453027578E-3</v>
      </c>
      <c r="P793">
        <f t="shared" si="36"/>
        <v>5.3547497215212972E-2</v>
      </c>
      <c r="Q793">
        <f t="shared" si="37"/>
        <v>-6.2635145548789073E-2</v>
      </c>
      <c r="R793">
        <f t="shared" si="38"/>
        <v>-7.0708386637732181E-3</v>
      </c>
    </row>
    <row r="794" spans="1:18" ht="13">
      <c r="A794" s="24" t="s">
        <v>175</v>
      </c>
      <c r="B794" s="9">
        <v>2019</v>
      </c>
      <c r="C794" s="4">
        <v>-3.6826361921176147</v>
      </c>
      <c r="D794" s="10">
        <v>0.17428656251159683</v>
      </c>
      <c r="E794" s="11">
        <v>0.29959999999999998</v>
      </c>
      <c r="F794" s="11">
        <v>2.2200000000000001E-2</v>
      </c>
      <c r="G794" s="12">
        <v>8.9843025197610116E-2</v>
      </c>
      <c r="H794" s="12">
        <v>-0.12407689167625338</v>
      </c>
      <c r="I794" s="12">
        <v>-5.5664823542509367E-4</v>
      </c>
      <c r="J794" s="12">
        <v>2.6916970349203987E-2</v>
      </c>
      <c r="K794" s="12">
        <v>-3.7173436746205511E-2</v>
      </c>
      <c r="L794" s="12">
        <v>-1.6677181133335805E-4</v>
      </c>
      <c r="M794" s="12">
        <v>1.9945151593869447E-3</v>
      </c>
      <c r="N794" s="12">
        <v>-2.7545069952128252E-3</v>
      </c>
      <c r="O794" s="12">
        <v>-1.235759082643708E-5</v>
      </c>
      <c r="P794">
        <f t="shared" si="36"/>
        <v>1.5658432027334246E-2</v>
      </c>
      <c r="Q794">
        <f t="shared" si="37"/>
        <v>-2.1624934937377962E-2</v>
      </c>
      <c r="R794">
        <f t="shared" si="38"/>
        <v>-9.7016307480385656E-5</v>
      </c>
    </row>
    <row r="795" spans="1:18" ht="13">
      <c r="A795" s="24" t="s">
        <v>175</v>
      </c>
      <c r="B795" s="9">
        <v>2020</v>
      </c>
      <c r="C795" s="4">
        <v>-3.0465307721185524</v>
      </c>
      <c r="D795" s="10">
        <v>0.31288815452110991</v>
      </c>
      <c r="E795" s="11">
        <v>0.1023</v>
      </c>
      <c r="F795" s="11">
        <v>1.5900000000000001E-2</v>
      </c>
      <c r="G795" s="12">
        <v>0.22102729189219986</v>
      </c>
      <c r="H795" s="12">
        <v>-7.9895732436898195E-2</v>
      </c>
      <c r="I795" s="12">
        <v>-6.2033502364537633E-2</v>
      </c>
      <c r="J795" s="12">
        <v>2.2611091960572045E-2</v>
      </c>
      <c r="K795" s="12">
        <v>-8.1733334282946858E-3</v>
      </c>
      <c r="L795" s="12">
        <v>-6.3460272918922003E-3</v>
      </c>
      <c r="M795" s="12">
        <v>3.5143339410859779E-3</v>
      </c>
      <c r="N795" s="12">
        <v>-1.2703421457466815E-3</v>
      </c>
      <c r="O795" s="12">
        <v>-9.8633268759614834E-4</v>
      </c>
      <c r="P795">
        <f t="shared" si="36"/>
        <v>6.9156821458949094E-2</v>
      </c>
      <c r="Q795">
        <f t="shared" si="37"/>
        <v>-2.4998428276293456E-2</v>
      </c>
      <c r="R795">
        <f t="shared" si="38"/>
        <v>-1.9409548073321087E-2</v>
      </c>
    </row>
    <row r="796" spans="1:18" ht="13">
      <c r="A796" s="24" t="s">
        <v>175</v>
      </c>
      <c r="B796" s="9">
        <v>2021</v>
      </c>
      <c r="C796" s="4">
        <v>-3.2312903607022672</v>
      </c>
      <c r="D796" s="10">
        <v>0.33582177475499386</v>
      </c>
      <c r="E796" s="11">
        <v>0.69</v>
      </c>
      <c r="F796" s="11">
        <v>1.6799999999999999E-2</v>
      </c>
      <c r="G796" s="12">
        <v>1.7244149306485301E-3</v>
      </c>
      <c r="H796" s="12">
        <v>0.13726771274032024</v>
      </c>
      <c r="I796" s="12">
        <v>-3.7176672200503399E-2</v>
      </c>
      <c r="J796" s="12">
        <v>1.1898463021474857E-3</v>
      </c>
      <c r="K796" s="12">
        <v>9.4714721790820952E-2</v>
      </c>
      <c r="L796" s="12">
        <v>-2.5651903818347345E-2</v>
      </c>
      <c r="M796" s="12">
        <v>2.8970170834895304E-5</v>
      </c>
      <c r="N796" s="12">
        <v>2.3060975740373797E-3</v>
      </c>
      <c r="O796" s="12">
        <v>-6.2456809296845708E-4</v>
      </c>
      <c r="P796">
        <f t="shared" si="36"/>
        <v>5.7909608242439898E-4</v>
      </c>
      <c r="Q796">
        <f t="shared" si="37"/>
        <v>4.6097486909013025E-2</v>
      </c>
      <c r="R796">
        <f t="shared" si="38"/>
        <v>-1.2484736037857694E-2</v>
      </c>
    </row>
    <row r="797" spans="1:18" ht="13">
      <c r="A797" s="24" t="s">
        <v>176</v>
      </c>
      <c r="B797" s="9">
        <v>2017</v>
      </c>
      <c r="C797" s="4">
        <v>-4.121823485087015</v>
      </c>
      <c r="D797" s="10">
        <v>0.29206835794811553</v>
      </c>
      <c r="E797" s="11">
        <v>8.1799999999999998E-2</v>
      </c>
      <c r="F797" s="11">
        <v>1.0239E-2</v>
      </c>
      <c r="G797" s="12">
        <v>0.4347290463980289</v>
      </c>
      <c r="H797" s="12">
        <v>-0.28423269205976304</v>
      </c>
      <c r="I797" s="12">
        <v>-9.0117320116317373E-2</v>
      </c>
      <c r="J797" s="12">
        <v>3.556083599535876E-2</v>
      </c>
      <c r="K797" s="12">
        <v>-2.3250234210488614E-2</v>
      </c>
      <c r="L797" s="12">
        <v>-7.3715967855147611E-3</v>
      </c>
      <c r="M797" s="12">
        <v>4.451190706069418E-3</v>
      </c>
      <c r="N797" s="12">
        <v>-2.9102585339999135E-3</v>
      </c>
      <c r="O797" s="12">
        <v>-9.227112406709736E-4</v>
      </c>
      <c r="P797">
        <f t="shared" si="36"/>
        <v>0.12697059873382244</v>
      </c>
      <c r="Q797">
        <f t="shared" si="37"/>
        <v>-8.3015375645067363E-2</v>
      </c>
      <c r="R797">
        <f t="shared" si="38"/>
        <v>-2.6320417709057495E-2</v>
      </c>
    </row>
    <row r="798" spans="1:18" ht="13">
      <c r="A798" s="24" t="s">
        <v>176</v>
      </c>
      <c r="B798" s="9">
        <v>2018</v>
      </c>
      <c r="C798" s="4">
        <v>-4.0820209773081286</v>
      </c>
      <c r="D798" s="10">
        <v>0.27849493607836628</v>
      </c>
      <c r="E798" s="11">
        <v>8.4900000000000003E-2</v>
      </c>
      <c r="F798" s="11">
        <v>1.09E-2</v>
      </c>
      <c r="G798" s="12">
        <v>0.38916445293043334</v>
      </c>
      <c r="H798" s="12">
        <v>-5.5018263323924961E-2</v>
      </c>
      <c r="I798" s="12">
        <v>-6.978457579279429E-2</v>
      </c>
      <c r="J798" s="12">
        <v>3.3040062053793791E-2</v>
      </c>
      <c r="K798" s="12">
        <v>-4.6710505562012295E-3</v>
      </c>
      <c r="L798" s="12">
        <v>-5.9247104848082358E-3</v>
      </c>
      <c r="M798" s="12">
        <v>4.2418925369417234E-3</v>
      </c>
      <c r="N798" s="12">
        <v>-5.9969907023078211E-4</v>
      </c>
      <c r="O798" s="12">
        <v>-7.6065187614145777E-4</v>
      </c>
      <c r="P798">
        <f t="shared" si="36"/>
        <v>0.10838032944283342</v>
      </c>
      <c r="Q798">
        <f t="shared" si="37"/>
        <v>-1.5322307727539206E-2</v>
      </c>
      <c r="R798">
        <f t="shared" si="38"/>
        <v>-1.9434650974670151E-2</v>
      </c>
    </row>
    <row r="799" spans="1:18" ht="13">
      <c r="A799" s="24" t="s">
        <v>176</v>
      </c>
      <c r="B799" s="9">
        <v>2019</v>
      </c>
      <c r="C799" s="4">
        <v>-4.3638795102705039</v>
      </c>
      <c r="D799" s="10">
        <v>0.2274496976272917</v>
      </c>
      <c r="E799" s="11">
        <v>2.8799999999999999E-2</v>
      </c>
      <c r="F799" s="11">
        <v>1.11E-2</v>
      </c>
      <c r="G799" s="12">
        <v>0.27893283975044275</v>
      </c>
      <c r="H799" s="12">
        <v>-0.35399147931260072</v>
      </c>
      <c r="I799" s="12">
        <v>-6.2971709403073187E-2</v>
      </c>
      <c r="J799" s="12">
        <v>8.0332657848127507E-3</v>
      </c>
      <c r="K799" s="12">
        <v>-1.01949546042029E-2</v>
      </c>
      <c r="L799" s="12">
        <v>-1.8135852308085077E-3</v>
      </c>
      <c r="M799" s="12">
        <v>3.0961545212299145E-3</v>
      </c>
      <c r="N799" s="12">
        <v>-3.9293054203698684E-3</v>
      </c>
      <c r="O799" s="12">
        <v>-6.9898597437411238E-4</v>
      </c>
      <c r="P799">
        <f t="shared" si="36"/>
        <v>6.344319005956002E-2</v>
      </c>
      <c r="Q799">
        <f t="shared" si="37"/>
        <v>-8.0515254932288713E-2</v>
      </c>
      <c r="R799">
        <f t="shared" si="38"/>
        <v>-1.4322896262802677E-2</v>
      </c>
    </row>
    <row r="800" spans="1:18" ht="13">
      <c r="A800" s="24" t="s">
        <v>176</v>
      </c>
      <c r="B800" s="9">
        <v>2020</v>
      </c>
      <c r="C800" s="4">
        <v>-3.7968911277710595</v>
      </c>
      <c r="D800" s="10">
        <v>0.15346430484352283</v>
      </c>
      <c r="E800" s="11">
        <v>2.3900000000000001E-2</v>
      </c>
      <c r="F800" s="11">
        <v>1.2149999999999999E-2</v>
      </c>
      <c r="G800" s="12">
        <v>7.2461550233376693E-2</v>
      </c>
      <c r="H800" s="12">
        <v>4.3222511286249904E-2</v>
      </c>
      <c r="I800" s="12">
        <v>-0.14182416405233761</v>
      </c>
      <c r="J800" s="12">
        <v>1.7318310505777031E-3</v>
      </c>
      <c r="K800" s="12">
        <v>1.0330180197413727E-3</v>
      </c>
      <c r="L800" s="12">
        <v>-3.3895975208508692E-3</v>
      </c>
      <c r="M800" s="12">
        <v>8.8040783533552681E-4</v>
      </c>
      <c r="N800" s="12">
        <v>5.251535121279363E-4</v>
      </c>
      <c r="O800" s="12">
        <v>-1.7231635932359018E-3</v>
      </c>
      <c r="P800">
        <f t="shared" si="36"/>
        <v>1.1120261434449163E-2</v>
      </c>
      <c r="Q800">
        <f t="shared" si="37"/>
        <v>6.6331126481356615E-3</v>
      </c>
      <c r="R800">
        <f t="shared" si="38"/>
        <v>-2.1764946746305733E-2</v>
      </c>
    </row>
    <row r="801" spans="1:18" ht="13">
      <c r="A801" s="24" t="s">
        <v>176</v>
      </c>
      <c r="B801" s="9">
        <v>2021</v>
      </c>
      <c r="C801" s="4">
        <v>-3.7847387079328776</v>
      </c>
      <c r="D801" s="10">
        <v>0.12604012401581094</v>
      </c>
      <c r="E801" s="11">
        <v>2.4500000000000001E-2</v>
      </c>
      <c r="F801" s="11">
        <v>1.235E-2</v>
      </c>
      <c r="G801" s="12">
        <v>0.20042830202750936</v>
      </c>
      <c r="H801" s="12">
        <v>8.6619290638084798E-3</v>
      </c>
      <c r="I801" s="12">
        <v>-8.9314823298777948E-2</v>
      </c>
      <c r="J801" s="12">
        <v>4.9104933996739798E-3</v>
      </c>
      <c r="K801" s="12">
        <v>2.1221726206330777E-4</v>
      </c>
      <c r="L801" s="12">
        <v>-2.18821317082006E-3</v>
      </c>
      <c r="M801" s="12">
        <v>2.4752895300397407E-3</v>
      </c>
      <c r="N801" s="12">
        <v>1.0697482393803473E-4</v>
      </c>
      <c r="O801" s="12">
        <v>-1.1030380677399076E-3</v>
      </c>
      <c r="P801">
        <f t="shared" si="36"/>
        <v>2.5262008043825692E-2</v>
      </c>
      <c r="Q801">
        <f t="shared" si="37"/>
        <v>1.0917506134185779E-3</v>
      </c>
      <c r="R801">
        <f t="shared" si="38"/>
        <v>-1.1257251405028213E-2</v>
      </c>
    </row>
    <row r="802" spans="1:18" ht="13">
      <c r="A802" s="24" t="s">
        <v>177</v>
      </c>
      <c r="B802" s="9">
        <v>2017</v>
      </c>
      <c r="C802" s="4">
        <v>-1.1329772277982693</v>
      </c>
      <c r="D802" s="10">
        <v>0.62718536827771365</v>
      </c>
      <c r="E802" s="11">
        <v>1.2E-4</v>
      </c>
      <c r="F802" s="11">
        <v>0.34229999999999999</v>
      </c>
      <c r="G802" s="12">
        <v>-0.11983788423437086</v>
      </c>
      <c r="H802" s="12">
        <v>-8.5543171712347779E-2</v>
      </c>
      <c r="I802" s="12">
        <v>1.379145665403902E-2</v>
      </c>
      <c r="J802" s="12">
        <v>-1.4380546108124504E-5</v>
      </c>
      <c r="K802" s="12">
        <v>-1.0265180605481734E-5</v>
      </c>
      <c r="L802" s="12">
        <v>1.6549747984846823E-6</v>
      </c>
      <c r="M802" s="12">
        <v>-4.1020507773425148E-2</v>
      </c>
      <c r="N802" s="12">
        <v>-2.9281427677136644E-2</v>
      </c>
      <c r="O802" s="12">
        <v>4.720815612677556E-3</v>
      </c>
      <c r="P802">
        <f t="shared" si="36"/>
        <v>-7.5160567557155902E-2</v>
      </c>
      <c r="Q802">
        <f t="shared" si="37"/>
        <v>-5.3651425654052537E-2</v>
      </c>
      <c r="R802">
        <f t="shared" si="38"/>
        <v>8.6497998206495862E-3</v>
      </c>
    </row>
    <row r="803" spans="1:18" ht="13">
      <c r="A803" s="24" t="s">
        <v>177</v>
      </c>
      <c r="B803" s="9">
        <v>2018</v>
      </c>
      <c r="C803" s="4">
        <v>-0.83836753646681406</v>
      </c>
      <c r="D803" s="10">
        <v>0.65951636280418036</v>
      </c>
      <c r="E803" s="11">
        <v>3.4000000000000002E-4</v>
      </c>
      <c r="F803" s="11">
        <v>5.8799999999999998E-2</v>
      </c>
      <c r="G803" s="12">
        <v>4.9991100261906576E-2</v>
      </c>
      <c r="H803" s="12">
        <v>0.18517557911867166</v>
      </c>
      <c r="I803" s="12">
        <v>1.4280265466473416E-2</v>
      </c>
      <c r="J803" s="12">
        <v>1.6996974089048237E-5</v>
      </c>
      <c r="K803" s="12">
        <v>6.2959696900348374E-5</v>
      </c>
      <c r="L803" s="12">
        <v>4.8552902586009613E-6</v>
      </c>
      <c r="M803" s="12">
        <v>2.9394766954001068E-3</v>
      </c>
      <c r="N803" s="12">
        <v>1.0888324052177894E-2</v>
      </c>
      <c r="O803" s="12">
        <v>8.3967960942863686E-4</v>
      </c>
      <c r="P803">
        <f t="shared" si="36"/>
        <v>3.2969948617311735E-2</v>
      </c>
      <c r="Q803">
        <f t="shared" si="37"/>
        <v>0.12212632442050407</v>
      </c>
      <c r="R803">
        <f t="shared" si="38"/>
        <v>9.4180687403266888E-3</v>
      </c>
    </row>
    <row r="804" spans="1:18" ht="13">
      <c r="A804" s="24" t="s">
        <v>177</v>
      </c>
      <c r="B804" s="9">
        <v>2019</v>
      </c>
      <c r="C804" s="4">
        <v>-0.682693867744672</v>
      </c>
      <c r="D804" s="10">
        <v>0.66910156884089111</v>
      </c>
      <c r="E804" s="11">
        <v>1.066E-4</v>
      </c>
      <c r="F804" s="11">
        <v>5.8799999999999998E-2</v>
      </c>
      <c r="G804" s="12">
        <v>-0.22477489090683397</v>
      </c>
      <c r="H804" s="12">
        <v>-5.8327842867646355E-2</v>
      </c>
      <c r="I804" s="12">
        <v>2.5079492394511446E-2</v>
      </c>
      <c r="J804" s="12">
        <v>-2.3961003370668504E-5</v>
      </c>
      <c r="K804" s="12">
        <v>-6.2177480496911017E-6</v>
      </c>
      <c r="L804" s="12">
        <v>2.6734738892549204E-6</v>
      </c>
      <c r="M804" s="12">
        <v>-1.3216763585321837E-2</v>
      </c>
      <c r="N804" s="12">
        <v>-3.4296771606176055E-3</v>
      </c>
      <c r="O804" s="12">
        <v>1.4746741527972729E-3</v>
      </c>
      <c r="P804">
        <f t="shared" si="36"/>
        <v>-0.15039723214180276</v>
      </c>
      <c r="Q804">
        <f t="shared" si="37"/>
        <v>-3.9027251169847156E-2</v>
      </c>
      <c r="R804">
        <f t="shared" si="38"/>
        <v>1.6780727706900804E-2</v>
      </c>
    </row>
    <row r="805" spans="1:18" ht="13">
      <c r="A805" s="24" t="s">
        <v>177</v>
      </c>
      <c r="B805" s="9">
        <v>2020</v>
      </c>
      <c r="C805" s="4">
        <v>-1.0086639719054464</v>
      </c>
      <c r="D805" s="10">
        <v>0.61891767591598956</v>
      </c>
      <c r="E805" s="11">
        <v>3.6300000000000001E-5</v>
      </c>
      <c r="F805" s="11">
        <v>0.17910000000000001</v>
      </c>
      <c r="G805" s="12">
        <v>-0.19772088507333027</v>
      </c>
      <c r="H805" s="12">
        <v>0.25825540395523533</v>
      </c>
      <c r="I805" s="12">
        <v>-6.2328172108947824E-2</v>
      </c>
      <c r="J805" s="12">
        <v>-7.1772681281618895E-6</v>
      </c>
      <c r="K805" s="12">
        <v>9.3746711635750429E-6</v>
      </c>
      <c r="L805" s="12">
        <v>-2.2625126475548059E-6</v>
      </c>
      <c r="M805" s="12">
        <v>-3.5411810516633453E-2</v>
      </c>
      <c r="N805" s="12">
        <v>4.6253542848382651E-2</v>
      </c>
      <c r="O805" s="12">
        <v>-1.1162975624712556E-2</v>
      </c>
      <c r="P805">
        <f t="shared" si="36"/>
        <v>-0.12237295066963805</v>
      </c>
      <c r="Q805">
        <f t="shared" si="37"/>
        <v>0.15983883440871932</v>
      </c>
      <c r="R805">
        <f t="shared" si="38"/>
        <v>-3.8576007425761789E-2</v>
      </c>
    </row>
    <row r="806" spans="1:18" ht="13">
      <c r="A806" s="24" t="s">
        <v>177</v>
      </c>
      <c r="B806" s="9">
        <v>2021</v>
      </c>
      <c r="C806" s="4">
        <v>-0.6972945141443343</v>
      </c>
      <c r="D806" s="10">
        <v>0.65095042955713334</v>
      </c>
      <c r="E806" s="11">
        <v>5.2800000000000003E-5</v>
      </c>
      <c r="F806" s="11">
        <v>0.17910000000000001</v>
      </c>
      <c r="G806" s="12">
        <v>7.8791335805100643E-2</v>
      </c>
      <c r="H806" s="12">
        <v>-6.5767023421746548E-2</v>
      </c>
      <c r="I806" s="12">
        <v>1.2158693465828068E-3</v>
      </c>
      <c r="J806" s="12">
        <v>4.1601825305093145E-6</v>
      </c>
      <c r="K806" s="12">
        <v>-3.4724988366682177E-6</v>
      </c>
      <c r="L806" s="12">
        <v>6.4197901499572199E-8</v>
      </c>
      <c r="M806" s="12">
        <v>1.4111528242693527E-2</v>
      </c>
      <c r="N806" s="12">
        <v>-1.1778873894834807E-2</v>
      </c>
      <c r="O806" s="12">
        <v>2.177621999729807E-4</v>
      </c>
      <c r="P806">
        <f t="shared" si="36"/>
        <v>5.1289253887710606E-2</v>
      </c>
      <c r="Q806">
        <f t="shared" si="37"/>
        <v>-4.2811072147079965E-2</v>
      </c>
      <c r="R806">
        <f t="shared" si="38"/>
        <v>7.9147067344342912E-4</v>
      </c>
    </row>
    <row r="807" spans="1:18" ht="13">
      <c r="A807" s="24" t="s">
        <v>178</v>
      </c>
      <c r="B807" s="9">
        <v>2017</v>
      </c>
      <c r="C807" s="4">
        <v>-0.86864453950916964</v>
      </c>
      <c r="D807" s="10">
        <v>0.65190952330384144</v>
      </c>
      <c r="E807" s="11">
        <v>0.13150000000000001</v>
      </c>
      <c r="F807" s="11">
        <v>1.1999999999999999E-3</v>
      </c>
      <c r="G807" s="12">
        <v>5.5622935518307166E-2</v>
      </c>
      <c r="H807" s="12">
        <v>3.8956175699618262E-2</v>
      </c>
      <c r="I807" s="12">
        <v>-9.9357809958696391E-2</v>
      </c>
      <c r="J807" s="12">
        <v>7.3144160206573931E-3</v>
      </c>
      <c r="K807" s="12">
        <v>5.1227371044998016E-3</v>
      </c>
      <c r="L807" s="12">
        <v>-1.3065552009568576E-2</v>
      </c>
      <c r="M807" s="12">
        <v>6.67475226219686E-5</v>
      </c>
      <c r="N807" s="12">
        <v>4.674741083954191E-5</v>
      </c>
      <c r="O807" s="12">
        <v>-1.1922937195043565E-4</v>
      </c>
      <c r="P807">
        <f t="shared" si="36"/>
        <v>3.6261121378499933E-2</v>
      </c>
      <c r="Q807">
        <f t="shared" si="37"/>
        <v>2.5395901930078832E-2</v>
      </c>
      <c r="R807">
        <f t="shared" si="38"/>
        <v>-6.4772302526687434E-2</v>
      </c>
    </row>
    <row r="808" spans="1:18" ht="13">
      <c r="A808" s="24" t="s">
        <v>178</v>
      </c>
      <c r="B808" s="9">
        <v>2018</v>
      </c>
      <c r="C808" s="4">
        <v>-1.0828666767608368</v>
      </c>
      <c r="D808" s="10">
        <v>0.61329084648198584</v>
      </c>
      <c r="E808" s="11">
        <v>0.13150000000000001</v>
      </c>
      <c r="F808" s="11">
        <v>1.1999999999999999E-3</v>
      </c>
      <c r="G808" s="12">
        <v>1.4560312483938942E-2</v>
      </c>
      <c r="H808" s="12">
        <v>-6.5117952407873769E-3</v>
      </c>
      <c r="I808" s="12">
        <v>-5.8487947782289154E-3</v>
      </c>
      <c r="J808" s="12">
        <v>1.914681091637971E-3</v>
      </c>
      <c r="K808" s="12">
        <v>-8.5630107416354007E-4</v>
      </c>
      <c r="L808" s="12">
        <v>-7.6911651333710245E-4</v>
      </c>
      <c r="M808" s="12">
        <v>1.7472374980726728E-5</v>
      </c>
      <c r="N808" s="12">
        <v>-7.8141542889448524E-6</v>
      </c>
      <c r="O808" s="12">
        <v>-7.0185537338746977E-6</v>
      </c>
      <c r="P808">
        <f t="shared" si="36"/>
        <v>8.9297063683171397E-3</v>
      </c>
      <c r="Q808">
        <f t="shared" si="37"/>
        <v>-3.9936244153398574E-3</v>
      </c>
      <c r="R808">
        <f t="shared" si="38"/>
        <v>-3.5870123004394304E-3</v>
      </c>
    </row>
    <row r="809" spans="1:18" ht="13">
      <c r="A809" s="24" t="s">
        <v>178</v>
      </c>
      <c r="B809" s="9">
        <v>2019</v>
      </c>
      <c r="C809" s="4">
        <v>-0.71986989721388994</v>
      </c>
      <c r="D809" s="10">
        <v>0.63301176222879407</v>
      </c>
      <c r="E809" s="11">
        <v>0.1323</v>
      </c>
      <c r="F809" s="11">
        <v>1.1999999999999999E-3</v>
      </c>
      <c r="G809" s="12">
        <v>1.5030577966636999E-2</v>
      </c>
      <c r="H809" s="12">
        <v>-0.10303674141280734</v>
      </c>
      <c r="I809" s="12">
        <v>7.1774479121804638E-2</v>
      </c>
      <c r="J809" s="12">
        <v>1.9885454649860752E-3</v>
      </c>
      <c r="K809" s="12">
        <v>-1.3631760888914412E-2</v>
      </c>
      <c r="L809" s="12">
        <v>9.4957635878147543E-3</v>
      </c>
      <c r="M809" s="12">
        <v>1.8036693559964398E-5</v>
      </c>
      <c r="N809" s="12">
        <v>-1.2364408969536879E-4</v>
      </c>
      <c r="O809" s="12">
        <v>8.6129374946165561E-5</v>
      </c>
      <c r="P809">
        <f t="shared" si="36"/>
        <v>9.5145326459781712E-3</v>
      </c>
      <c r="Q809">
        <f t="shared" si="37"/>
        <v>-6.5223469256033742E-2</v>
      </c>
      <c r="R809">
        <f t="shared" si="38"/>
        <v>4.5434089511947343E-2</v>
      </c>
    </row>
    <row r="810" spans="1:18" ht="13">
      <c r="A810" s="24" t="s">
        <v>178</v>
      </c>
      <c r="B810" s="9">
        <v>2020</v>
      </c>
      <c r="C810" s="4">
        <v>-0.57681346710543124</v>
      </c>
      <c r="D810" s="10">
        <v>0.65840825338331532</v>
      </c>
      <c r="E810" s="11">
        <v>0.1356</v>
      </c>
      <c r="F810" s="11">
        <v>1.1999999999999999E-3</v>
      </c>
      <c r="G810" s="12">
        <v>6.1014835758307399E-2</v>
      </c>
      <c r="H810" s="12">
        <v>-6.6745028273714993E-2</v>
      </c>
      <c r="I810" s="12">
        <v>4.5190291632251099E-2</v>
      </c>
      <c r="J810" s="12">
        <v>8.2736117288264837E-3</v>
      </c>
      <c r="K810" s="12">
        <v>-9.0506258339157538E-3</v>
      </c>
      <c r="L810" s="12">
        <v>6.1278035453332493E-3</v>
      </c>
      <c r="M810" s="12">
        <v>7.3217802909968872E-5</v>
      </c>
      <c r="N810" s="12">
        <v>-8.009403392845798E-5</v>
      </c>
      <c r="O810" s="12">
        <v>5.4228349958701317E-5</v>
      </c>
      <c r="P810">
        <f t="shared" si="36"/>
        <v>4.0172671442097026E-2</v>
      </c>
      <c r="Q810">
        <f t="shared" si="37"/>
        <v>-4.3945477487716683E-2</v>
      </c>
      <c r="R810">
        <f t="shared" si="38"/>
        <v>2.9753660983473096E-2</v>
      </c>
    </row>
    <row r="811" spans="1:18" ht="13">
      <c r="A811" s="24" t="s">
        <v>178</v>
      </c>
      <c r="B811" s="9">
        <v>2021</v>
      </c>
      <c r="C811" s="4">
        <v>-2.2268608872274203E-2</v>
      </c>
      <c r="D811" s="10">
        <v>0.76395992528442858</v>
      </c>
      <c r="E811" s="11">
        <v>1.1000000000000001E-3</v>
      </c>
      <c r="F811" s="11">
        <v>1.1999999999999999E-3</v>
      </c>
      <c r="G811" s="12">
        <v>-2.0232071092998245E-2</v>
      </c>
      <c r="H811" s="12">
        <v>-0.35816154412180906</v>
      </c>
      <c r="I811" s="12">
        <v>0.36908586630440937</v>
      </c>
      <c r="J811" s="12">
        <v>-2.2255278202298071E-5</v>
      </c>
      <c r="K811" s="12">
        <v>-3.9397769853398998E-4</v>
      </c>
      <c r="L811" s="12">
        <v>4.0599445293485034E-4</v>
      </c>
      <c r="M811" s="12">
        <v>-2.4278485311597892E-5</v>
      </c>
      <c r="N811" s="12">
        <v>-4.2979385294617082E-4</v>
      </c>
      <c r="O811" s="12">
        <v>4.4290303956529123E-4</v>
      </c>
      <c r="P811">
        <f t="shared" si="36"/>
        <v>-1.5456491520556186E-2</v>
      </c>
      <c r="Q811">
        <f t="shared" si="37"/>
        <v>-0.27362106648705281</v>
      </c>
      <c r="R811">
        <f t="shared" si="38"/>
        <v>0.28196681084545516</v>
      </c>
    </row>
    <row r="812" spans="1:18" ht="13">
      <c r="A812" s="24" t="s">
        <v>179</v>
      </c>
      <c r="B812" s="9">
        <v>2017</v>
      </c>
      <c r="C812" s="4">
        <v>-1.7294345597210397</v>
      </c>
      <c r="D812" s="10">
        <v>0.49286020171591421</v>
      </c>
      <c r="E812" s="11">
        <v>0.01</v>
      </c>
      <c r="F812" s="11">
        <v>0</v>
      </c>
      <c r="G812" s="12">
        <v>-0.15494912801429436</v>
      </c>
      <c r="H812" s="12">
        <v>-5.1536496404258766E-2</v>
      </c>
      <c r="I812" s="12">
        <v>0.2236300004430071</v>
      </c>
      <c r="J812" s="12">
        <v>-1.5494912801429436E-3</v>
      </c>
      <c r="K812" s="12">
        <v>-5.1536496404258766E-4</v>
      </c>
      <c r="L812" s="12">
        <v>2.236300004430071E-3</v>
      </c>
      <c r="M812" s="12">
        <v>0</v>
      </c>
      <c r="N812" s="12">
        <v>0</v>
      </c>
      <c r="O812" s="12">
        <v>0</v>
      </c>
      <c r="P812">
        <f t="shared" si="36"/>
        <v>-7.6368258488830137E-2</v>
      </c>
      <c r="Q812">
        <f t="shared" si="37"/>
        <v>-2.5400288013534462E-2</v>
      </c>
      <c r="R812">
        <f t="shared" si="38"/>
        <v>0.11021832712807046</v>
      </c>
    </row>
    <row r="813" spans="1:18" ht="13">
      <c r="A813" s="24" t="s">
        <v>179</v>
      </c>
      <c r="B813" s="9">
        <v>2018</v>
      </c>
      <c r="C813" s="4">
        <v>-1.5432552170354261</v>
      </c>
      <c r="D813" s="10">
        <v>0.52255756701984413</v>
      </c>
      <c r="E813" s="11">
        <v>9.1999999999999998E-3</v>
      </c>
      <c r="F813" s="11">
        <v>0</v>
      </c>
      <c r="G813" s="12">
        <v>-4.9984358636073062E-2</v>
      </c>
      <c r="H813" s="12">
        <v>-1.6131006623777592E-2</v>
      </c>
      <c r="I813" s="12">
        <v>5.4635964256083129E-2</v>
      </c>
      <c r="J813" s="12">
        <v>-4.5985609945187216E-4</v>
      </c>
      <c r="K813" s="12">
        <v>-1.4840526093875384E-4</v>
      </c>
      <c r="L813" s="12">
        <v>5.0265087115596474E-4</v>
      </c>
      <c r="M813" s="12">
        <v>0</v>
      </c>
      <c r="N813" s="12">
        <v>0</v>
      </c>
      <c r="O813" s="12">
        <v>0</v>
      </c>
      <c r="P813">
        <f t="shared" si="36"/>
        <v>-2.6119704837913673E-2</v>
      </c>
      <c r="Q813">
        <f t="shared" si="37"/>
        <v>-8.4293795749022082E-3</v>
      </c>
      <c r="R813">
        <f t="shared" si="38"/>
        <v>2.8550436553441968E-2</v>
      </c>
    </row>
    <row r="814" spans="1:18" ht="13">
      <c r="A814" s="24" t="s">
        <v>179</v>
      </c>
      <c r="B814" s="9">
        <v>2019</v>
      </c>
      <c r="C814" s="4">
        <v>-1.3687053376421485</v>
      </c>
      <c r="D814" s="10">
        <v>0.54491299770883639</v>
      </c>
      <c r="E814" s="11">
        <v>1.0200000000000001E-2</v>
      </c>
      <c r="F814" s="11">
        <v>8.5999999999999993E-2</v>
      </c>
      <c r="G814" s="12">
        <v>2.0335624496872873E-2</v>
      </c>
      <c r="H814" s="12">
        <v>-1.5146448696513716E-2</v>
      </c>
      <c r="I814" s="12">
        <v>3.4974301814353827E-2</v>
      </c>
      <c r="J814" s="12">
        <v>2.074233698681033E-4</v>
      </c>
      <c r="K814" s="12">
        <v>-1.5449377670443993E-4</v>
      </c>
      <c r="L814" s="12">
        <v>3.5673787850640904E-4</v>
      </c>
      <c r="M814" s="12">
        <v>1.7488637067310669E-3</v>
      </c>
      <c r="N814" s="12">
        <v>-1.3025945879001795E-3</v>
      </c>
      <c r="O814" s="12">
        <v>3.007789956034429E-3</v>
      </c>
      <c r="P814">
        <f t="shared" si="36"/>
        <v>1.1081146104872245E-2</v>
      </c>
      <c r="Q814">
        <f t="shared" si="37"/>
        <v>-8.2534967638603872E-3</v>
      </c>
      <c r="R814">
        <f t="shared" si="38"/>
        <v>1.9057951644433139E-2</v>
      </c>
    </row>
    <row r="815" spans="1:18" ht="14.25" customHeight="1">
      <c r="A815" s="24" t="s">
        <v>179</v>
      </c>
      <c r="B815" s="9">
        <v>2020</v>
      </c>
      <c r="C815" s="4">
        <v>-1.1816699561808721</v>
      </c>
      <c r="D815" s="10">
        <v>0.56990599836030598</v>
      </c>
      <c r="E815" s="11">
        <v>7.6E-3</v>
      </c>
      <c r="F815" s="11">
        <v>0</v>
      </c>
      <c r="G815" s="12">
        <v>7.826731505710853E-2</v>
      </c>
      <c r="H815" s="12">
        <v>-3.0098493952224258E-2</v>
      </c>
      <c r="I815" s="12">
        <v>1.9418020911714826E-2</v>
      </c>
      <c r="J815" s="12">
        <v>5.9483159443402488E-4</v>
      </c>
      <c r="K815" s="12">
        <v>-2.2874855403690435E-4</v>
      </c>
      <c r="L815" s="12">
        <v>1.4757695892903268E-4</v>
      </c>
      <c r="M815" s="12">
        <v>0</v>
      </c>
      <c r="N815" s="12">
        <v>0</v>
      </c>
      <c r="O815" s="12">
        <v>0</v>
      </c>
      <c r="P815">
        <f t="shared" si="36"/>
        <v>4.4605012326602043E-2</v>
      </c>
      <c r="Q815">
        <f t="shared" si="37"/>
        <v>-1.7153312244983999E-2</v>
      </c>
      <c r="R815">
        <f t="shared" si="38"/>
        <v>1.1066446593872136E-2</v>
      </c>
    </row>
    <row r="816" spans="1:18" ht="13">
      <c r="A816" s="24" t="s">
        <v>179</v>
      </c>
      <c r="B816" s="9">
        <v>2021</v>
      </c>
      <c r="C816" s="4">
        <v>-1.1098237654328553</v>
      </c>
      <c r="D816" s="10">
        <v>0.57516742196703574</v>
      </c>
      <c r="E816" s="11">
        <v>8.9999999999999993E-3</v>
      </c>
      <c r="F816" s="11">
        <v>0</v>
      </c>
      <c r="G816" s="12">
        <v>-6.1704679324581048E-2</v>
      </c>
      <c r="H816" s="12">
        <v>-6.8528915445273439E-2</v>
      </c>
      <c r="I816" s="12">
        <v>4.8257856362034744E-2</v>
      </c>
      <c r="J816" s="12">
        <v>-5.5534211392122934E-4</v>
      </c>
      <c r="K816" s="12">
        <v>-6.167602390074609E-4</v>
      </c>
      <c r="L816" s="12">
        <v>4.3432070725831265E-4</v>
      </c>
      <c r="M816" s="12">
        <v>0</v>
      </c>
      <c r="N816" s="12">
        <v>0</v>
      </c>
      <c r="O816" s="12">
        <v>0</v>
      </c>
      <c r="P816">
        <f t="shared" si="36"/>
        <v>-3.5490521330421937E-2</v>
      </c>
      <c r="Q816">
        <f t="shared" si="37"/>
        <v>-3.9415599626854904E-2</v>
      </c>
      <c r="R816">
        <f t="shared" si="38"/>
        <v>2.7756346833407039E-2</v>
      </c>
    </row>
    <row r="817" spans="1:18" ht="13">
      <c r="A817" s="24" t="s">
        <v>180</v>
      </c>
      <c r="B817" s="9">
        <v>2017</v>
      </c>
      <c r="C817" s="4">
        <v>-0.51797148491895162</v>
      </c>
      <c r="D817" s="10">
        <v>0.69204649647514804</v>
      </c>
      <c r="E817" s="11">
        <v>1.7999999999999999E-2</v>
      </c>
      <c r="F817" s="11">
        <v>4.0000000000000002E-4</v>
      </c>
      <c r="G817" s="12">
        <v>-0.10017699828375479</v>
      </c>
      <c r="H817" s="12">
        <v>-5.9578226860077313E-2</v>
      </c>
      <c r="I817" s="12">
        <v>0.17629633610194026</v>
      </c>
      <c r="J817" s="12">
        <v>-1.803185969107586E-3</v>
      </c>
      <c r="K817" s="12">
        <v>-1.0724080834813915E-3</v>
      </c>
      <c r="L817" s="12">
        <v>3.1733340498349243E-3</v>
      </c>
      <c r="M817" s="12">
        <v>-4.0070799313501917E-5</v>
      </c>
      <c r="N817" s="12">
        <v>-2.3831290744030925E-5</v>
      </c>
      <c r="O817" s="12">
        <v>7.0518534440776104E-5</v>
      </c>
      <c r="P817">
        <f t="shared" si="36"/>
        <v>-6.9327140689669414E-2</v>
      </c>
      <c r="Q817">
        <f t="shared" si="37"/>
        <v>-4.1230903164718065E-2</v>
      </c>
      <c r="R817">
        <f t="shared" si="38"/>
        <v>0.12200526174075292</v>
      </c>
    </row>
    <row r="818" spans="1:18" ht="13">
      <c r="A818" s="24" t="s">
        <v>180</v>
      </c>
      <c r="B818" s="9">
        <v>2018</v>
      </c>
      <c r="C818" s="4">
        <v>-0.54387213297122627</v>
      </c>
      <c r="D818" s="10">
        <v>0.68373319884856865</v>
      </c>
      <c r="E818" s="11">
        <v>7.0000000000000001E-3</v>
      </c>
      <c r="F818" s="11">
        <v>0</v>
      </c>
      <c r="G818" s="12">
        <v>2.8139803712686144E-2</v>
      </c>
      <c r="H818" s="12">
        <v>-6.6042974682109748E-2</v>
      </c>
      <c r="I818" s="12">
        <v>5.6038781477368023E-2</v>
      </c>
      <c r="J818" s="12">
        <v>1.9697862598880303E-4</v>
      </c>
      <c r="K818" s="12">
        <v>-4.6230082277476825E-4</v>
      </c>
      <c r="L818" s="12">
        <v>3.9227147034157615E-4</v>
      </c>
      <c r="M818" s="12">
        <v>0</v>
      </c>
      <c r="N818" s="12">
        <v>0</v>
      </c>
      <c r="O818" s="12">
        <v>0</v>
      </c>
      <c r="P818">
        <f t="shared" si="36"/>
        <v>1.9240118007445725E-2</v>
      </c>
      <c r="Q818">
        <f t="shared" si="37"/>
        <v>-4.5155774340873929E-2</v>
      </c>
      <c r="R818">
        <f t="shared" si="38"/>
        <v>3.8315575319096754E-2</v>
      </c>
    </row>
    <row r="819" spans="1:18" ht="13">
      <c r="A819" s="24" t="s">
        <v>180</v>
      </c>
      <c r="B819" s="9">
        <v>2019</v>
      </c>
      <c r="C819" s="4">
        <v>-0.50970790415191136</v>
      </c>
      <c r="D819" s="10">
        <v>0.68612049521820928</v>
      </c>
      <c r="E819" s="11">
        <v>7.0000000000000001E-3</v>
      </c>
      <c r="F819" s="11">
        <v>2.9999999999999997E-4</v>
      </c>
      <c r="G819" s="12">
        <v>-5.1666486097842045E-2</v>
      </c>
      <c r="H819" s="12">
        <v>-2.2645792910539638E-2</v>
      </c>
      <c r="I819" s="12">
        <v>6.4908747082171953E-2</v>
      </c>
      <c r="J819" s="12">
        <v>-3.6166540268489433E-4</v>
      </c>
      <c r="K819" s="12">
        <v>-1.5852055037377747E-4</v>
      </c>
      <c r="L819" s="12">
        <v>4.5436122957520365E-4</v>
      </c>
      <c r="M819" s="12">
        <v>-1.5499945829352612E-5</v>
      </c>
      <c r="N819" s="12">
        <v>-6.7937378731618912E-6</v>
      </c>
      <c r="O819" s="12">
        <v>1.9472624124651584E-5</v>
      </c>
      <c r="P819">
        <f t="shared" si="36"/>
        <v>-3.544943502763611E-2</v>
      </c>
      <c r="Q819">
        <f t="shared" si="37"/>
        <v>-1.5537742646388469E-2</v>
      </c>
      <c r="R819">
        <f t="shared" si="38"/>
        <v>4.4535221692013315E-2</v>
      </c>
    </row>
    <row r="820" spans="1:18" ht="13">
      <c r="A820" s="24" t="s">
        <v>180</v>
      </c>
      <c r="B820" s="9">
        <v>2020</v>
      </c>
      <c r="C820" s="4">
        <v>-0.36656285976740577</v>
      </c>
      <c r="D820" s="10">
        <v>0.70637189829470037</v>
      </c>
      <c r="E820" s="11">
        <v>2.0999999999999999E-3</v>
      </c>
      <c r="F820" s="11">
        <v>0</v>
      </c>
      <c r="G820" s="12">
        <v>5.612038767708967E-2</v>
      </c>
      <c r="H820" s="12">
        <v>-3.0838353926273869E-2</v>
      </c>
      <c r="I820" s="12">
        <v>-6.4908830175946439E-3</v>
      </c>
      <c r="J820" s="12">
        <v>1.1785281412188829E-4</v>
      </c>
      <c r="K820" s="12">
        <v>-6.4760543245175118E-5</v>
      </c>
      <c r="L820" s="12">
        <v>-1.3630854336948752E-5</v>
      </c>
      <c r="M820" s="12">
        <v>0</v>
      </c>
      <c r="N820" s="12">
        <v>0</v>
      </c>
      <c r="O820" s="12">
        <v>0</v>
      </c>
      <c r="P820">
        <f t="shared" si="36"/>
        <v>3.9641864776500342E-2</v>
      </c>
      <c r="Q820">
        <f t="shared" si="37"/>
        <v>-2.1783346603185899E-2</v>
      </c>
      <c r="R820">
        <f t="shared" si="38"/>
        <v>-4.5849773587471618E-3</v>
      </c>
    </row>
    <row r="821" spans="1:18" ht="13">
      <c r="A821" s="24" t="s">
        <v>180</v>
      </c>
      <c r="B821" s="9">
        <v>2021</v>
      </c>
      <c r="C821" s="4">
        <v>-2.4101924997751944E-2</v>
      </c>
      <c r="D821" s="10">
        <v>0.76903583804069808</v>
      </c>
      <c r="E821" s="11">
        <v>1.8E-3</v>
      </c>
      <c r="F821" s="11">
        <v>0</v>
      </c>
      <c r="G821" s="12">
        <v>-3.8944308927262541E-2</v>
      </c>
      <c r="H821" s="12">
        <v>-3.5824498384232684E-2</v>
      </c>
      <c r="I821" s="12">
        <v>6.5837651356516647E-2</v>
      </c>
      <c r="J821" s="12">
        <v>-7.0099756069072578E-5</v>
      </c>
      <c r="K821" s="12">
        <v>-6.4484097091618831E-5</v>
      </c>
      <c r="L821" s="12">
        <v>1.1850777244172996E-4</v>
      </c>
      <c r="M821" s="12">
        <v>0</v>
      </c>
      <c r="N821" s="12">
        <v>0</v>
      </c>
      <c r="O821" s="12">
        <v>0</v>
      </c>
      <c r="P821">
        <f t="shared" si="36"/>
        <v>-2.9949569252793188E-2</v>
      </c>
      <c r="Q821">
        <f t="shared" si="37"/>
        <v>-2.7550323137306015E-2</v>
      </c>
      <c r="R821">
        <f t="shared" si="38"/>
        <v>5.0631513385590084E-2</v>
      </c>
    </row>
    <row r="822" spans="1:18" ht="13">
      <c r="A822" s="24" t="s">
        <v>181</v>
      </c>
      <c r="B822" s="9">
        <v>2017</v>
      </c>
      <c r="C822" s="4">
        <v>-1.7461591123060967</v>
      </c>
      <c r="D822" s="10">
        <v>0.50787482764337444</v>
      </c>
      <c r="E822" s="11">
        <v>4.0399999999999998E-2</v>
      </c>
      <c r="F822" s="11">
        <v>3.8999999999999998E-3</v>
      </c>
      <c r="G822" s="12">
        <v>0.15219949293792734</v>
      </c>
      <c r="H822" s="12">
        <v>-1.7912958387752871E-3</v>
      </c>
      <c r="I822" s="12">
        <v>-0.11709332934369021</v>
      </c>
      <c r="J822" s="12">
        <v>6.1488595146922641E-3</v>
      </c>
      <c r="K822" s="12">
        <v>-7.2368351886521599E-5</v>
      </c>
      <c r="L822" s="12">
        <v>-4.7305705054850843E-3</v>
      </c>
      <c r="M822" s="12">
        <v>5.9357802245791659E-4</v>
      </c>
      <c r="N822" s="12">
        <v>-6.9860537712236193E-6</v>
      </c>
      <c r="O822" s="12">
        <v>-4.5666398444039178E-4</v>
      </c>
      <c r="P822">
        <f t="shared" si="36"/>
        <v>7.7298291243258835E-2</v>
      </c>
      <c r="Q822">
        <f t="shared" si="37"/>
        <v>-9.0975406537629274E-4</v>
      </c>
      <c r="R822">
        <f t="shared" si="38"/>
        <v>-5.9468754458615547E-2</v>
      </c>
    </row>
    <row r="823" spans="1:18" ht="13">
      <c r="A823" s="24" t="s">
        <v>181</v>
      </c>
      <c r="B823" s="9">
        <v>2018</v>
      </c>
      <c r="C823" s="4">
        <v>-2.0121649139422422</v>
      </c>
      <c r="D823" s="10">
        <v>0.46621948898922272</v>
      </c>
      <c r="E823" s="11">
        <v>4.9399999999999999E-2</v>
      </c>
      <c r="F823" s="11">
        <v>1.0809999999999999E-3</v>
      </c>
      <c r="G823" s="12">
        <v>0.15572940993305306</v>
      </c>
      <c r="H823" s="12">
        <v>-5.5356617710657875E-3</v>
      </c>
      <c r="I823" s="12">
        <v>-0.14628418703617208</v>
      </c>
      <c r="J823" s="12">
        <v>7.6930328506928216E-3</v>
      </c>
      <c r="K823" s="12">
        <v>-2.7346169149064991E-4</v>
      </c>
      <c r="L823" s="12">
        <v>-7.2264388395869008E-3</v>
      </c>
      <c r="M823" s="12">
        <v>1.6834349213763034E-4</v>
      </c>
      <c r="N823" s="12">
        <v>-5.984050374522116E-6</v>
      </c>
      <c r="O823" s="12">
        <v>-1.5813320618610199E-4</v>
      </c>
      <c r="P823">
        <f t="shared" si="36"/>
        <v>7.2604085919581188E-2</v>
      </c>
      <c r="Q823">
        <f t="shared" si="37"/>
        <v>-2.5808334021234672E-3</v>
      </c>
      <c r="R823">
        <f t="shared" si="38"/>
        <v>-6.8200538927208024E-2</v>
      </c>
    </row>
    <row r="824" spans="1:18" ht="13">
      <c r="A824" s="24" t="s">
        <v>181</v>
      </c>
      <c r="B824" s="9">
        <v>2019</v>
      </c>
      <c r="C824" s="4">
        <v>-2.4981272746212198</v>
      </c>
      <c r="D824" s="10">
        <v>0.3989219104437528</v>
      </c>
      <c r="E824" s="11">
        <v>0.05</v>
      </c>
      <c r="F824" s="11">
        <v>8.0000000000000007E-5</v>
      </c>
      <c r="G824" s="12">
        <v>0.18581218797508114</v>
      </c>
      <c r="H824" s="12">
        <v>5.8028841773092839E-4</v>
      </c>
      <c r="I824" s="12">
        <v>-0.20895178810360784</v>
      </c>
      <c r="J824" s="12">
        <v>9.2906093987540576E-3</v>
      </c>
      <c r="K824" s="12">
        <v>2.901442088654642E-5</v>
      </c>
      <c r="L824" s="12">
        <v>-1.0447589405180393E-2</v>
      </c>
      <c r="M824" s="12">
        <v>1.4864975038006493E-5</v>
      </c>
      <c r="N824" s="12">
        <v>4.6423073418474277E-8</v>
      </c>
      <c r="O824" s="12">
        <v>-1.6716143048288628E-5</v>
      </c>
      <c r="P824">
        <f t="shared" si="36"/>
        <v>7.4124553010753089E-2</v>
      </c>
      <c r="Q824">
        <f t="shared" si="37"/>
        <v>2.3148976420960443E-4</v>
      </c>
      <c r="R824">
        <f t="shared" si="38"/>
        <v>-8.3355446500929464E-2</v>
      </c>
    </row>
    <row r="825" spans="1:18" ht="13">
      <c r="A825" s="24" t="s">
        <v>181</v>
      </c>
      <c r="B825" s="9">
        <v>2020</v>
      </c>
      <c r="C825" s="4">
        <v>-2.2669738243710658</v>
      </c>
      <c r="D825" s="10">
        <v>0.38586926743740069</v>
      </c>
      <c r="E825" s="11">
        <v>4.99E-2</v>
      </c>
      <c r="F825" s="11">
        <v>5.8E-4</v>
      </c>
      <c r="G825" s="12">
        <v>0.12845323543915402</v>
      </c>
      <c r="H825" s="12">
        <v>9.7528902525888998E-4</v>
      </c>
      <c r="I825" s="12">
        <v>-0.17243438715686812</v>
      </c>
      <c r="J825" s="12">
        <v>6.4098164484137857E-3</v>
      </c>
      <c r="K825" s="12">
        <v>4.8666922360418611E-5</v>
      </c>
      <c r="L825" s="12">
        <v>-8.6044759191277187E-3</v>
      </c>
      <c r="M825" s="12">
        <v>7.4502876554709337E-5</v>
      </c>
      <c r="N825" s="12">
        <v>5.6566763465015618E-7</v>
      </c>
      <c r="O825" s="12">
        <v>-1.0001194455098352E-4</v>
      </c>
      <c r="P825">
        <f t="shared" si="36"/>
        <v>4.9566155858870316E-2</v>
      </c>
      <c r="Q825">
        <f t="shared" si="37"/>
        <v>3.7633406171638448E-4</v>
      </c>
      <c r="R825">
        <f t="shared" si="38"/>
        <v>-6.6537130653237839E-2</v>
      </c>
    </row>
    <row r="826" spans="1:18" ht="13">
      <c r="A826" s="24" t="s">
        <v>181</v>
      </c>
      <c r="B826" s="9">
        <v>2021</v>
      </c>
      <c r="C826" s="4">
        <v>-3.4122455300980095</v>
      </c>
      <c r="D826" s="10">
        <v>0.27058515369629638</v>
      </c>
      <c r="E826" s="11">
        <v>5.1900000000000002E-2</v>
      </c>
      <c r="F826" s="11">
        <v>8.0000000000000007E-5</v>
      </c>
      <c r="G826" s="12">
        <v>0.22989233346612023</v>
      </c>
      <c r="H826" s="12">
        <v>-5.2387162962275787E-4</v>
      </c>
      <c r="I826" s="12">
        <v>-0.15378906527113084</v>
      </c>
      <c r="J826" s="12">
        <v>1.193141210689164E-2</v>
      </c>
      <c r="K826" s="12">
        <v>-2.7188937577421135E-5</v>
      </c>
      <c r="L826" s="12">
        <v>-7.9816524875716902E-3</v>
      </c>
      <c r="M826" s="12">
        <v>1.8391386677289621E-5</v>
      </c>
      <c r="N826" s="12">
        <v>-4.1909730369820636E-8</v>
      </c>
      <c r="O826" s="12">
        <v>-1.2303125221690468E-5</v>
      </c>
      <c r="P826">
        <f t="shared" si="36"/>
        <v>6.220545238453036E-2</v>
      </c>
      <c r="Q826">
        <f t="shared" si="37"/>
        <v>-1.417518854186032E-4</v>
      </c>
      <c r="R826">
        <f t="shared" si="38"/>
        <v>-4.1613037863198692E-2</v>
      </c>
    </row>
    <row r="827" spans="1:18" ht="13">
      <c r="A827" s="24" t="s">
        <v>182</v>
      </c>
      <c r="B827" s="9">
        <v>2017</v>
      </c>
      <c r="C827" s="4">
        <v>-1.3070868728171294</v>
      </c>
      <c r="D827" s="10">
        <v>0.53345591519060243</v>
      </c>
      <c r="E827" s="27">
        <v>0.4894</v>
      </c>
      <c r="F827" s="11">
        <v>6.9999999999999999E-4</v>
      </c>
      <c r="G827" s="12">
        <v>2.3712505505403766E-2</v>
      </c>
      <c r="H827" s="12">
        <v>-0.12632707180278491</v>
      </c>
      <c r="I827" s="12">
        <v>3.3756209941450226E-3</v>
      </c>
      <c r="J827" s="12">
        <v>1.1604900194344603E-2</v>
      </c>
      <c r="K827" s="12">
        <v>-6.1824468940282935E-2</v>
      </c>
      <c r="L827" s="12">
        <v>1.652028914534574E-3</v>
      </c>
      <c r="M827" s="12">
        <v>1.6598753853782637E-5</v>
      </c>
      <c r="N827" s="12">
        <v>-8.8428950261949438E-5</v>
      </c>
      <c r="O827" s="12">
        <v>2.3629346959015158E-6</v>
      </c>
      <c r="P827">
        <f t="shared" si="36"/>
        <v>1.2649576325847364E-2</v>
      </c>
      <c r="Q827">
        <f t="shared" si="37"/>
        <v>-6.7389923701903567E-2</v>
      </c>
      <c r="R827">
        <f t="shared" si="38"/>
        <v>1.8007449867682441E-3</v>
      </c>
    </row>
    <row r="828" spans="1:18" ht="13">
      <c r="A828" s="24" t="s">
        <v>182</v>
      </c>
      <c r="B828" s="9">
        <v>2018</v>
      </c>
      <c r="C828" s="4">
        <v>-1.5096274471795947</v>
      </c>
      <c r="D828" s="10">
        <v>0.49712366142129172</v>
      </c>
      <c r="E828" s="11">
        <v>0.48959999999999998</v>
      </c>
      <c r="F828" s="11">
        <v>0</v>
      </c>
      <c r="G828" s="12">
        <v>-3.76867018526287E-2</v>
      </c>
      <c r="H828" s="12">
        <v>6.3988371072066189E-2</v>
      </c>
      <c r="I828" s="12">
        <v>-3.4568093941965928E-3</v>
      </c>
      <c r="J828" s="12">
        <v>-1.8451409227047012E-2</v>
      </c>
      <c r="K828" s="12">
        <v>3.1328706476883607E-2</v>
      </c>
      <c r="L828" s="12">
        <v>-1.6924538793986518E-3</v>
      </c>
      <c r="M828" s="12">
        <v>0</v>
      </c>
      <c r="N828" s="12">
        <v>0</v>
      </c>
      <c r="O828" s="12">
        <v>0</v>
      </c>
      <c r="P828">
        <f t="shared" si="36"/>
        <v>-1.8734951211871357E-2</v>
      </c>
      <c r="Q828">
        <f t="shared" si="37"/>
        <v>3.1810133315729808E-2</v>
      </c>
      <c r="R828">
        <f t="shared" si="38"/>
        <v>-1.7184617428785275E-3</v>
      </c>
    </row>
    <row r="829" spans="1:18" ht="13">
      <c r="A829" s="24" t="s">
        <v>182</v>
      </c>
      <c r="B829" s="9">
        <v>2019</v>
      </c>
      <c r="C829" s="4">
        <v>-1.8092562872273186</v>
      </c>
      <c r="D829" s="10">
        <v>0.44682553609658515</v>
      </c>
      <c r="E829" s="11">
        <v>0.48959999999999998</v>
      </c>
      <c r="F829" s="11">
        <v>0</v>
      </c>
      <c r="G829" s="12">
        <v>-2.2398483838135683E-2</v>
      </c>
      <c r="H829" s="12">
        <v>-6.7069104692380581E-3</v>
      </c>
      <c r="I829" s="12">
        <v>-1.9338083037939144E-2</v>
      </c>
      <c r="J829" s="12">
        <v>-1.096629768715123E-2</v>
      </c>
      <c r="K829" s="12">
        <v>-3.2837033657389532E-3</v>
      </c>
      <c r="L829" s="12">
        <v>-9.4679254553750036E-3</v>
      </c>
      <c r="M829" s="12">
        <v>0</v>
      </c>
      <c r="N829" s="12">
        <v>0</v>
      </c>
      <c r="O829" s="12">
        <v>0</v>
      </c>
      <c r="P829">
        <f t="shared" si="36"/>
        <v>-1.0008214548725674E-2</v>
      </c>
      <c r="Q829">
        <f t="shared" si="37"/>
        <v>-2.9968188659690947E-3</v>
      </c>
      <c r="R829">
        <f t="shared" si="38"/>
        <v>-8.6407493205074379E-3</v>
      </c>
    </row>
    <row r="830" spans="1:18" ht="13">
      <c r="A830" s="24" t="s">
        <v>182</v>
      </c>
      <c r="B830" s="9">
        <v>2020</v>
      </c>
      <c r="C830" s="4">
        <v>-1.7905423035988195</v>
      </c>
      <c r="D830" s="10">
        <v>0.40673364215873847</v>
      </c>
      <c r="E830" s="11">
        <v>0.48959999999999998</v>
      </c>
      <c r="F830" s="11">
        <v>0</v>
      </c>
      <c r="G830" s="12">
        <v>-2.1289413910169256E-2</v>
      </c>
      <c r="H830" s="12">
        <v>5.2364631078473674E-2</v>
      </c>
      <c r="I830" s="12">
        <v>-2.9153878092663909E-2</v>
      </c>
      <c r="J830" s="12">
        <v>-1.0423297050418867E-2</v>
      </c>
      <c r="K830" s="12">
        <v>2.5637723376020709E-2</v>
      </c>
      <c r="L830" s="12">
        <v>-1.427373871416825E-2</v>
      </c>
      <c r="M830" s="12">
        <v>0</v>
      </c>
      <c r="N830" s="12">
        <v>0</v>
      </c>
      <c r="O830" s="12">
        <v>0</v>
      </c>
      <c r="P830">
        <f t="shared" si="36"/>
        <v>-8.6591208591080514E-3</v>
      </c>
      <c r="Q830">
        <f t="shared" si="37"/>
        <v>2.1298457118846266E-2</v>
      </c>
      <c r="R830">
        <f t="shared" si="38"/>
        <v>-1.1857863019681046E-2</v>
      </c>
    </row>
    <row r="831" spans="1:18" ht="13">
      <c r="A831" s="24" t="s">
        <v>182</v>
      </c>
      <c r="B831" s="9">
        <v>2021</v>
      </c>
      <c r="C831" s="4">
        <v>-1.790267111197861</v>
      </c>
      <c r="D831" s="10">
        <v>0.41698192339790974</v>
      </c>
      <c r="E831" s="27">
        <v>0.48949999999999999</v>
      </c>
      <c r="F831" s="11">
        <v>0</v>
      </c>
      <c r="G831" s="12">
        <v>-1.5399214576511007E-2</v>
      </c>
      <c r="H831" s="12">
        <v>4.2944109535651191E-2</v>
      </c>
      <c r="I831" s="12">
        <v>-1.5767778996911681E-2</v>
      </c>
      <c r="J831" s="12">
        <v>-7.5379155352021379E-3</v>
      </c>
      <c r="K831" s="12">
        <v>2.1021141617701258E-2</v>
      </c>
      <c r="L831" s="12">
        <v>-7.7183278189882675E-3</v>
      </c>
      <c r="M831" s="12">
        <v>0</v>
      </c>
      <c r="N831" s="12">
        <v>0</v>
      </c>
      <c r="O831" s="12">
        <v>0</v>
      </c>
      <c r="P831">
        <f t="shared" si="36"/>
        <v>-6.4211941129306881E-3</v>
      </c>
      <c r="Q831">
        <f t="shared" si="37"/>
        <v>1.790691739278635E-2</v>
      </c>
      <c r="R831">
        <f t="shared" si="38"/>
        <v>-6.5748788138453966E-3</v>
      </c>
    </row>
    <row r="832" spans="1:18" ht="13">
      <c r="A832" s="24" t="s">
        <v>183</v>
      </c>
      <c r="B832" s="9">
        <v>2017</v>
      </c>
      <c r="C832" s="4">
        <v>-2.6804129843200828</v>
      </c>
      <c r="D832" s="10">
        <v>0.31378482306556554</v>
      </c>
      <c r="E832" s="27">
        <v>5.1999999999999995E-4</v>
      </c>
      <c r="F832" s="11">
        <v>0.1096</v>
      </c>
      <c r="G832" s="12">
        <v>-8.3851183619165048E-2</v>
      </c>
      <c r="H832" s="12">
        <v>5.4353998669543911E-4</v>
      </c>
      <c r="I832" s="12">
        <v>6.9524443074327064E-2</v>
      </c>
      <c r="J832" s="12">
        <v>-4.3602615481965822E-5</v>
      </c>
      <c r="K832" s="12">
        <v>2.8264079308162831E-7</v>
      </c>
      <c r="L832" s="12">
        <v>3.6152710398650071E-5</v>
      </c>
      <c r="M832" s="12">
        <v>-9.1900897246604898E-3</v>
      </c>
      <c r="N832" s="12">
        <v>5.9571982541820131E-5</v>
      </c>
      <c r="O832" s="12">
        <v>7.6198789609462463E-3</v>
      </c>
      <c r="P832">
        <f t="shared" si="36"/>
        <v>-2.6311228815777951E-2</v>
      </c>
      <c r="Q832">
        <f t="shared" si="37"/>
        <v>1.705545985542882E-4</v>
      </c>
      <c r="R832">
        <f t="shared" si="38"/>
        <v>2.18157150688097E-2</v>
      </c>
    </row>
    <row r="833" spans="1:18" ht="13">
      <c r="A833" s="24" t="s">
        <v>183</v>
      </c>
      <c r="B833" s="9">
        <v>2018</v>
      </c>
      <c r="C833" s="4">
        <v>-2.5877783293951726</v>
      </c>
      <c r="D833" s="10">
        <v>0.33039230040147027</v>
      </c>
      <c r="E833" s="11">
        <v>2.9999999999999997E-4</v>
      </c>
      <c r="F833" s="11">
        <v>8.8800000000000004E-2</v>
      </c>
      <c r="G833" s="12">
        <v>-3.5061222288149306E-2</v>
      </c>
      <c r="H833" s="12">
        <v>4.2127407087760936E-2</v>
      </c>
      <c r="I833" s="12">
        <v>-1.2660568839435013E-2</v>
      </c>
      <c r="J833" s="12">
        <v>-1.051836668644479E-5</v>
      </c>
      <c r="K833" s="12">
        <v>1.263822212632828E-5</v>
      </c>
      <c r="L833" s="12">
        <v>-3.7981706518305038E-6</v>
      </c>
      <c r="M833" s="12">
        <v>-3.1134365391876583E-3</v>
      </c>
      <c r="N833" s="12">
        <v>3.7409137493931714E-3</v>
      </c>
      <c r="O833" s="12">
        <v>-1.1242585129418291E-3</v>
      </c>
      <c r="P833">
        <f t="shared" si="36"/>
        <v>-1.1583957886668951E-2</v>
      </c>
      <c r="Q833">
        <f t="shared" si="37"/>
        <v>1.3918570937674539E-2</v>
      </c>
      <c r="R833">
        <f t="shared" si="38"/>
        <v>-4.1829544632521068E-3</v>
      </c>
    </row>
    <row r="834" spans="1:18" ht="13">
      <c r="A834" s="24" t="s">
        <v>183</v>
      </c>
      <c r="B834" s="9">
        <v>2019</v>
      </c>
      <c r="C834" s="4">
        <v>-2.6371375949616422</v>
      </c>
      <c r="D834" s="10">
        <v>0.29623733601103736</v>
      </c>
      <c r="E834" s="11">
        <v>3.0999999999999999E-3</v>
      </c>
      <c r="F834" s="11">
        <v>0.1008</v>
      </c>
      <c r="G834" s="12">
        <v>3.0434392169348453E-2</v>
      </c>
      <c r="H834" s="12">
        <v>-1.885822046974113E-2</v>
      </c>
      <c r="I834" s="12">
        <v>-9.543402480141721E-3</v>
      </c>
      <c r="J834" s="12">
        <v>9.4346615724980206E-5</v>
      </c>
      <c r="K834" s="12">
        <v>-5.8460483456197499E-5</v>
      </c>
      <c r="L834" s="12">
        <v>-2.9584547688439333E-5</v>
      </c>
      <c r="M834" s="12">
        <v>3.067786730670324E-3</v>
      </c>
      <c r="N834" s="12">
        <v>-1.900908623349906E-3</v>
      </c>
      <c r="O834" s="12">
        <v>-9.6197496999828546E-4</v>
      </c>
      <c r="P834">
        <f t="shared" si="36"/>
        <v>9.015803259362961E-3</v>
      </c>
      <c r="Q834">
        <f t="shared" si="37"/>
        <v>-5.5865089938649257E-3</v>
      </c>
      <c r="R834">
        <f t="shared" si="38"/>
        <v>-2.8271121271983102E-3</v>
      </c>
    </row>
    <row r="835" spans="1:18" ht="13">
      <c r="A835" s="24" t="s">
        <v>183</v>
      </c>
      <c r="B835" s="9">
        <v>2020</v>
      </c>
      <c r="C835" s="4">
        <v>-2.5875484938386437</v>
      </c>
      <c r="D835" s="10">
        <v>0.281951454805423</v>
      </c>
      <c r="E835" s="11">
        <v>2.8E-3</v>
      </c>
      <c r="F835" s="11">
        <v>5.1900000000000002E-2</v>
      </c>
      <c r="G835" s="12">
        <v>1.4048476287274543E-2</v>
      </c>
      <c r="H835" s="12">
        <v>-1.6606659890781927E-2</v>
      </c>
      <c r="I835" s="12">
        <v>-4.3497734672431907E-3</v>
      </c>
      <c r="J835" s="12">
        <v>3.9335733604368722E-5</v>
      </c>
      <c r="K835" s="12">
        <v>-4.6498647694189393E-5</v>
      </c>
      <c r="L835" s="12">
        <v>-1.2179365708280934E-5</v>
      </c>
      <c r="M835" s="12">
        <v>7.2911591930954886E-4</v>
      </c>
      <c r="N835" s="12">
        <v>-8.6188564833158206E-4</v>
      </c>
      <c r="O835" s="12">
        <v>-2.2575324294992161E-4</v>
      </c>
      <c r="P835">
        <f t="shared" ref="P835:P898" si="39">G835*D835</f>
        <v>3.9609883269965448E-3</v>
      </c>
      <c r="Q835">
        <f t="shared" ref="Q835:Q898" si="40">H835*D835</f>
        <v>-4.6822719156648313E-3</v>
      </c>
      <c r="R835">
        <f t="shared" ref="R835:R898" si="41">I835*D835</f>
        <v>-1.2264249571632465E-3</v>
      </c>
    </row>
    <row r="836" spans="1:18" ht="13">
      <c r="A836" s="24" t="s">
        <v>183</v>
      </c>
      <c r="B836" s="9">
        <v>2021</v>
      </c>
      <c r="C836" s="4">
        <v>-2.8292603554649083</v>
      </c>
      <c r="D836" s="10">
        <v>0.27170615584259333</v>
      </c>
      <c r="E836" s="11">
        <v>2.07E-2</v>
      </c>
      <c r="F836" s="11">
        <v>4.4299999999999999E-2</v>
      </c>
      <c r="G836" s="12">
        <v>0.15486288361220685</v>
      </c>
      <c r="H836" s="12">
        <v>-8.6833217315079814E-2</v>
      </c>
      <c r="I836" s="12">
        <v>-6.5056161428657375E-2</v>
      </c>
      <c r="J836" s="12">
        <v>3.2056616907726815E-3</v>
      </c>
      <c r="K836" s="12">
        <v>-1.7974475984221521E-3</v>
      </c>
      <c r="L836" s="12">
        <v>-1.3466625415732077E-3</v>
      </c>
      <c r="M836" s="12">
        <v>6.8604257440207633E-3</v>
      </c>
      <c r="N836" s="12">
        <v>-3.8467115270580357E-3</v>
      </c>
      <c r="O836" s="12">
        <v>-2.8819879512895215E-3</v>
      </c>
      <c r="P836">
        <f t="shared" si="39"/>
        <v>4.2077198788971669E-2</v>
      </c>
      <c r="Q836">
        <f t="shared" si="40"/>
        <v>-2.359311967612485E-2</v>
      </c>
      <c r="R836">
        <f t="shared" si="41"/>
        <v>-1.767615953565569E-2</v>
      </c>
    </row>
    <row r="837" spans="1:18" ht="13">
      <c r="A837" s="24" t="s">
        <v>184</v>
      </c>
      <c r="B837" s="9">
        <v>2017</v>
      </c>
      <c r="C837" s="4">
        <v>-0.77193413923899656</v>
      </c>
      <c r="D837" s="10">
        <v>0.63793789302171644</v>
      </c>
      <c r="E837" s="27">
        <v>0.1144</v>
      </c>
      <c r="F837" s="11">
        <v>0.15160399999999999</v>
      </c>
      <c r="G837" s="12">
        <v>3.8888464573945364E-3</v>
      </c>
      <c r="H837" s="12">
        <v>1.758255047226253E-2</v>
      </c>
      <c r="I837" s="12">
        <v>-4.4327121362560139E-2</v>
      </c>
      <c r="J837" s="12">
        <v>4.4488403472593496E-4</v>
      </c>
      <c r="K837" s="12">
        <v>2.0114437740268334E-3</v>
      </c>
      <c r="L837" s="12">
        <v>-5.0710226838768802E-3</v>
      </c>
      <c r="M837" s="12">
        <v>5.895646783268412E-4</v>
      </c>
      <c r="N837" s="12">
        <v>2.6655849817968885E-3</v>
      </c>
      <c r="O837" s="12">
        <v>-6.7201689070495669E-3</v>
      </c>
      <c r="P837">
        <f t="shared" si="39"/>
        <v>2.4808425153152367E-3</v>
      </c>
      <c r="Q837">
        <f t="shared" si="40"/>
        <v>1.1216575202223144E-2</v>
      </c>
      <c r="R837">
        <f t="shared" si="41"/>
        <v>-2.8277950405749531E-2</v>
      </c>
    </row>
    <row r="838" spans="1:18" ht="13">
      <c r="A838" s="24" t="s">
        <v>184</v>
      </c>
      <c r="B838" s="9">
        <v>2018</v>
      </c>
      <c r="C838" s="4">
        <v>-0.67382213341831798</v>
      </c>
      <c r="D838" s="10">
        <v>0.65096815091157922</v>
      </c>
      <c r="E838" s="11">
        <v>0.1021</v>
      </c>
      <c r="F838" s="11">
        <v>0.15659799999999999</v>
      </c>
      <c r="G838" s="12">
        <v>4.2235031362416872E-3</v>
      </c>
      <c r="H838" s="12">
        <v>2.259767916565277E-3</v>
      </c>
      <c r="I838" s="12">
        <v>-1.2382226258875169E-2</v>
      </c>
      <c r="J838" s="12">
        <v>4.3121967021027627E-4</v>
      </c>
      <c r="K838" s="12">
        <v>2.3072230428131476E-4</v>
      </c>
      <c r="L838" s="12">
        <v>-1.2642253010311548E-3</v>
      </c>
      <c r="M838" s="12">
        <v>6.6139214412917562E-4</v>
      </c>
      <c r="N838" s="12">
        <v>3.5387513619828921E-4</v>
      </c>
      <c r="O838" s="12">
        <v>-1.9390318676873336E-3</v>
      </c>
      <c r="P838">
        <f t="shared" si="39"/>
        <v>2.7493660269685069E-3</v>
      </c>
      <c r="Q838">
        <f t="shared" si="40"/>
        <v>1.4710369421358101E-3</v>
      </c>
      <c r="R838">
        <f t="shared" si="41"/>
        <v>-8.0604349319087706E-3</v>
      </c>
    </row>
    <row r="839" spans="1:18" ht="13">
      <c r="A839" s="24" t="s">
        <v>184</v>
      </c>
      <c r="B839" s="9">
        <v>2019</v>
      </c>
      <c r="C839" s="4">
        <v>-0.59203612027139108</v>
      </c>
      <c r="D839" s="10">
        <v>0.66401268619699683</v>
      </c>
      <c r="E839" s="11">
        <v>0.10210000000000001</v>
      </c>
      <c r="F839" s="11">
        <v>0.15659799999999999</v>
      </c>
      <c r="G839" s="12">
        <v>-5.8470742082400158E-4</v>
      </c>
      <c r="H839" s="12">
        <v>-3.3068286010611918E-5</v>
      </c>
      <c r="I839" s="12">
        <v>2.9505929744923268E-3</v>
      </c>
      <c r="J839" s="12">
        <v>-5.9698627666130567E-5</v>
      </c>
      <c r="K839" s="12">
        <v>-3.3762720016834774E-6</v>
      </c>
      <c r="L839" s="12">
        <v>3.0125554269566662E-4</v>
      </c>
      <c r="M839" s="12">
        <v>-9.1564012686196989E-5</v>
      </c>
      <c r="N839" s="12">
        <v>-5.1784274526898045E-6</v>
      </c>
      <c r="O839" s="12">
        <v>4.6205695861954938E-4</v>
      </c>
      <c r="P839">
        <f t="shared" si="39"/>
        <v>-3.8825314514066313E-4</v>
      </c>
      <c r="Q839">
        <f t="shared" si="40"/>
        <v>-2.1957761421836992E-5</v>
      </c>
      <c r="R839">
        <f t="shared" si="41"/>
        <v>1.9592311668666369E-3</v>
      </c>
    </row>
    <row r="840" spans="1:18" ht="13">
      <c r="A840" s="24" t="s">
        <v>184</v>
      </c>
      <c r="B840" s="9">
        <v>2020</v>
      </c>
      <c r="C840" s="4">
        <v>-0.3724850350369342</v>
      </c>
      <c r="D840" s="10">
        <v>0.69444941071636346</v>
      </c>
      <c r="E840" s="11">
        <v>1.34E-2</v>
      </c>
      <c r="F840" s="11">
        <v>0.15528900000000001</v>
      </c>
      <c r="G840" s="12">
        <v>8.7378007077646945E-3</v>
      </c>
      <c r="H840" s="12">
        <v>-4.540591468796204E-5</v>
      </c>
      <c r="I840" s="12">
        <v>1.4887464278315554E-2</v>
      </c>
      <c r="J840" s="12">
        <v>1.1708652948404691E-4</v>
      </c>
      <c r="K840" s="12">
        <v>-6.084392568186914E-7</v>
      </c>
      <c r="L840" s="12">
        <v>1.9949202132942844E-4</v>
      </c>
      <c r="M840" s="12">
        <v>1.3568843341080718E-3</v>
      </c>
      <c r="N840" s="12">
        <v>-7.0510390859789381E-6</v>
      </c>
      <c r="O840" s="12">
        <v>2.3118594403153444E-3</v>
      </c>
      <c r="P840">
        <f t="shared" si="39"/>
        <v>6.0679605524642157E-3</v>
      </c>
      <c r="Q840">
        <f t="shared" si="40"/>
        <v>-3.153211069809271E-5</v>
      </c>
      <c r="R840">
        <f t="shared" si="41"/>
        <v>1.0338590795137147E-2</v>
      </c>
    </row>
    <row r="841" spans="1:18" ht="13">
      <c r="A841" s="24" t="s">
        <v>184</v>
      </c>
      <c r="B841" s="9">
        <v>2021</v>
      </c>
      <c r="C841" s="4">
        <v>-0.46377856823190167</v>
      </c>
      <c r="D841" s="10">
        <v>0.68344742695488803</v>
      </c>
      <c r="E841" s="11">
        <v>1.34E-2</v>
      </c>
      <c r="F841" s="11">
        <v>0.15452370000000001</v>
      </c>
      <c r="G841" s="12">
        <v>-5.7308830198458116E-2</v>
      </c>
      <c r="H841" s="12">
        <v>-8.177309406065317E-4</v>
      </c>
      <c r="I841" s="12">
        <v>7.5025374133500328E-2</v>
      </c>
      <c r="J841" s="12">
        <v>-7.6793832465933882E-4</v>
      </c>
      <c r="K841" s="12">
        <v>-1.0957594604127525E-5</v>
      </c>
      <c r="L841" s="12">
        <v>1.0053400133889043E-3</v>
      </c>
      <c r="M841" s="12">
        <v>-8.8555724849374833E-3</v>
      </c>
      <c r="N841" s="12">
        <v>-1.2635881054700153E-4</v>
      </c>
      <c r="O841" s="12">
        <v>1.1593198404992766E-2</v>
      </c>
      <c r="P841">
        <f t="shared" si="39"/>
        <v>-3.9167572540930784E-2</v>
      </c>
      <c r="Q841">
        <f t="shared" si="40"/>
        <v>-5.5887610729893442E-4</v>
      </c>
      <c r="R841">
        <f t="shared" si="41"/>
        <v>5.1275898907868614E-2</v>
      </c>
    </row>
    <row r="842" spans="1:18" ht="13">
      <c r="A842" s="24" t="s">
        <v>185</v>
      </c>
      <c r="B842" s="9">
        <v>2017</v>
      </c>
      <c r="C842" s="4">
        <v>-5.1624562574873973</v>
      </c>
      <c r="D842" s="10">
        <v>2.5396633159743245E-2</v>
      </c>
      <c r="E842" s="27">
        <v>0.45669999999999999</v>
      </c>
      <c r="F842" s="11">
        <v>0.18260000000000001</v>
      </c>
      <c r="G842" s="12">
        <v>0.16394574300593437</v>
      </c>
      <c r="H842" s="12">
        <v>-0.11733074966694924</v>
      </c>
      <c r="I842" s="12">
        <v>-4.1504178272980502E-2</v>
      </c>
      <c r="J842" s="12">
        <v>7.4874020830810226E-2</v>
      </c>
      <c r="K842" s="12">
        <v>-5.3584953372895719E-2</v>
      </c>
      <c r="L842" s="12">
        <v>-1.8954958217270196E-2</v>
      </c>
      <c r="M842" s="12">
        <v>2.9936492672883619E-2</v>
      </c>
      <c r="N842" s="12">
        <v>-2.1424594889184932E-2</v>
      </c>
      <c r="O842" s="12">
        <v>-7.5786629526462404E-3</v>
      </c>
      <c r="P842">
        <f t="shared" si="39"/>
        <v>4.1636698932232567E-3</v>
      </c>
      <c r="Q842">
        <f t="shared" si="40"/>
        <v>-2.9798060076491766E-3</v>
      </c>
      <c r="R842">
        <f t="shared" si="41"/>
        <v>-1.0540663901954718E-3</v>
      </c>
    </row>
    <row r="843" spans="1:18" ht="13">
      <c r="A843" s="24" t="s">
        <v>185</v>
      </c>
      <c r="B843" s="9">
        <v>2018</v>
      </c>
      <c r="C843" s="4">
        <v>-4.91442951923535</v>
      </c>
      <c r="D843" s="10">
        <v>2.1897400805447428E-2</v>
      </c>
      <c r="E843" s="27">
        <v>0.43280000000000002</v>
      </c>
      <c r="F843" s="11">
        <v>0.16585</v>
      </c>
      <c r="G843" s="12">
        <v>0.17309267132584727</v>
      </c>
      <c r="H843" s="12">
        <v>-9.4376451319789556E-2</v>
      </c>
      <c r="I843" s="12">
        <v>-8.0735447539346888E-2</v>
      </c>
      <c r="J843" s="12">
        <v>7.4914508149826697E-2</v>
      </c>
      <c r="K843" s="12">
        <v>-4.0846128131204924E-2</v>
      </c>
      <c r="L843" s="12">
        <v>-3.4942301695029335E-2</v>
      </c>
      <c r="M843" s="12">
        <v>2.8707419539391769E-2</v>
      </c>
      <c r="N843" s="12">
        <v>-1.5652334451387098E-2</v>
      </c>
      <c r="O843" s="12">
        <v>-1.3389973974400681E-2</v>
      </c>
      <c r="P843">
        <f t="shared" si="39"/>
        <v>3.790279600507655E-3</v>
      </c>
      <c r="Q843">
        <f t="shared" si="40"/>
        <v>-2.06659898114523E-3</v>
      </c>
      <c r="R843">
        <f t="shared" si="41"/>
        <v>-1.7678964539762532E-3</v>
      </c>
    </row>
    <row r="844" spans="1:18" ht="13">
      <c r="A844" s="24" t="s">
        <v>185</v>
      </c>
      <c r="B844" s="9">
        <v>2019</v>
      </c>
      <c r="C844" s="4">
        <v>-4.7448202804113837</v>
      </c>
      <c r="D844" s="10">
        <v>1.9242145569143731E-2</v>
      </c>
      <c r="E844" s="27">
        <v>0.44159999999999999</v>
      </c>
      <c r="F844" s="11">
        <v>0.16582</v>
      </c>
      <c r="G844" s="12">
        <v>0.14269734223914468</v>
      </c>
      <c r="H844" s="12">
        <v>-8.5250556613210293E-2</v>
      </c>
      <c r="I844" s="12">
        <v>-6.1921202929882867E-2</v>
      </c>
      <c r="J844" s="12">
        <v>6.3015146332806291E-2</v>
      </c>
      <c r="K844" s="12">
        <v>-3.7646645800393667E-2</v>
      </c>
      <c r="L844" s="12">
        <v>-2.7344403213836275E-2</v>
      </c>
      <c r="M844" s="12">
        <v>2.3662073290094971E-2</v>
      </c>
      <c r="N844" s="12">
        <v>-1.4136247297602531E-2</v>
      </c>
      <c r="O844" s="12">
        <v>-1.0267773869833177E-2</v>
      </c>
      <c r="P844">
        <f t="shared" si="39"/>
        <v>2.7458030316955444E-3</v>
      </c>
      <c r="Q844">
        <f t="shared" si="40"/>
        <v>-1.6404036202019212E-3</v>
      </c>
      <c r="R844">
        <f t="shared" si="41"/>
        <v>-1.1914968005932954E-3</v>
      </c>
    </row>
    <row r="845" spans="1:18" ht="13">
      <c r="A845" s="24" t="s">
        <v>185</v>
      </c>
      <c r="B845" s="9">
        <v>2020</v>
      </c>
      <c r="C845" s="4">
        <v>-4.4174299253463944</v>
      </c>
      <c r="D845" s="10">
        <v>1.5537425420357982E-2</v>
      </c>
      <c r="E845" s="11">
        <v>0.44159999999999999</v>
      </c>
      <c r="F845" s="11">
        <v>0.16585</v>
      </c>
      <c r="G845" s="12">
        <v>7.8568522871090216E-2</v>
      </c>
      <c r="H845" s="12">
        <v>1.6723919725185319E-3</v>
      </c>
      <c r="I845" s="12">
        <v>-7.1562556499728799E-2</v>
      </c>
      <c r="J845" s="12">
        <v>3.4695859699873439E-2</v>
      </c>
      <c r="K845" s="12">
        <v>7.3852829506418371E-4</v>
      </c>
      <c r="L845" s="12">
        <v>-3.1602024950280236E-2</v>
      </c>
      <c r="M845" s="12">
        <v>1.3030589518170313E-2</v>
      </c>
      <c r="N845" s="12">
        <v>2.7736620864219849E-4</v>
      </c>
      <c r="O845" s="12">
        <v>-1.1868649995480022E-2</v>
      </c>
      <c r="P845">
        <f t="shared" si="39"/>
        <v>1.2207525644972546E-3</v>
      </c>
      <c r="Q845">
        <f t="shared" si="40"/>
        <v>2.5984665546612065E-5</v>
      </c>
      <c r="R845">
        <f t="shared" si="41"/>
        <v>-1.1118978845046906E-3</v>
      </c>
    </row>
    <row r="846" spans="1:18" ht="13">
      <c r="A846" s="24" t="s">
        <v>185</v>
      </c>
      <c r="B846" s="9">
        <v>2021</v>
      </c>
      <c r="C846" s="4">
        <v>-4.1213161169347625</v>
      </c>
      <c r="D846" s="10">
        <v>1.2975490739713873E-2</v>
      </c>
      <c r="E846" s="11">
        <v>0.43980000000000002</v>
      </c>
      <c r="F846" s="11">
        <v>0.16585</v>
      </c>
      <c r="G846" s="12">
        <v>1.0498687664041995E-2</v>
      </c>
      <c r="H846" s="12">
        <v>2.0640025630598993E-2</v>
      </c>
      <c r="I846" s="12">
        <v>-3.9012729042672487E-2</v>
      </c>
      <c r="J846" s="12">
        <v>4.6173228346456695E-3</v>
      </c>
      <c r="K846" s="12">
        <v>9.0774832723374381E-3</v>
      </c>
      <c r="L846" s="12">
        <v>-1.7157798232967359E-2</v>
      </c>
      <c r="M846" s="12">
        <v>1.7412073490813648E-3</v>
      </c>
      <c r="N846" s="12">
        <v>3.4231482508348429E-3</v>
      </c>
      <c r="O846" s="12">
        <v>-6.4702611117272322E-3</v>
      </c>
      <c r="P846">
        <f t="shared" si="39"/>
        <v>1.3622562456392517E-4</v>
      </c>
      <c r="Q846">
        <f t="shared" si="40"/>
        <v>2.678144614372942E-4</v>
      </c>
      <c r="R846">
        <f t="shared" si="41"/>
        <v>-5.0620930442416326E-4</v>
      </c>
    </row>
    <row r="847" spans="1:18" ht="13">
      <c r="A847" s="24" t="s">
        <v>186</v>
      </c>
      <c r="B847" s="9">
        <v>2017</v>
      </c>
      <c r="C847" s="4">
        <v>-0.21462792393853491</v>
      </c>
      <c r="D847" s="10">
        <v>0.76064549569511264</v>
      </c>
      <c r="E847" s="11">
        <v>0.33510000000000001</v>
      </c>
      <c r="F847" s="11">
        <v>1.6299999999999999E-2</v>
      </c>
      <c r="G847" s="12">
        <v>0.12434120979994935</v>
      </c>
      <c r="H847" s="12">
        <v>2.4668033046340843E-2</v>
      </c>
      <c r="I847" s="12">
        <v>-0.1229167985565966</v>
      </c>
      <c r="J847" s="12">
        <v>4.1666739403963031E-2</v>
      </c>
      <c r="K847" s="12">
        <v>8.2662578738288174E-3</v>
      </c>
      <c r="L847" s="12">
        <v>-4.1189419196315517E-2</v>
      </c>
      <c r="M847" s="12">
        <v>2.0267617197391743E-3</v>
      </c>
      <c r="N847" s="12">
        <v>4.0208893865535569E-4</v>
      </c>
      <c r="O847" s="12">
        <v>-2.0035438164725241E-3</v>
      </c>
      <c r="P847">
        <f t="shared" si="39"/>
        <v>9.4579581163612467E-2</v>
      </c>
      <c r="Q847">
        <f t="shared" si="40"/>
        <v>1.876362822435735E-2</v>
      </c>
      <c r="R847">
        <f t="shared" si="41"/>
        <v>-9.349610916733872E-2</v>
      </c>
    </row>
    <row r="848" spans="1:18" ht="13">
      <c r="A848" s="24" t="s">
        <v>186</v>
      </c>
      <c r="B848" s="9">
        <v>2018</v>
      </c>
      <c r="C848" s="4">
        <v>-0.20469462128509061</v>
      </c>
      <c r="D848" s="10">
        <v>0.74531740894989174</v>
      </c>
      <c r="E848" s="11">
        <v>0.33779999999999999</v>
      </c>
      <c r="F848" s="11">
        <v>2.249E-2</v>
      </c>
      <c r="G848" s="12">
        <v>-8.4592549166960119E-3</v>
      </c>
      <c r="H848" s="12">
        <v>-8.066588107074496E-2</v>
      </c>
      <c r="I848" s="12">
        <v>4.7948237228984163E-2</v>
      </c>
      <c r="J848" s="12">
        <v>-2.8575363108599128E-3</v>
      </c>
      <c r="K848" s="12">
        <v>-2.7248934625697645E-2</v>
      </c>
      <c r="L848" s="12">
        <v>1.6196914535950849E-2</v>
      </c>
      <c r="M848" s="12">
        <v>-1.902486430764933E-4</v>
      </c>
      <c r="N848" s="12">
        <v>-1.8141756652810541E-3</v>
      </c>
      <c r="O848" s="12">
        <v>1.0783558552798537E-3</v>
      </c>
      <c r="P848">
        <f t="shared" si="39"/>
        <v>-6.3048299561585036E-3</v>
      </c>
      <c r="Q848">
        <f t="shared" si="40"/>
        <v>-6.0121685470307752E-2</v>
      </c>
      <c r="R848">
        <f t="shared" si="41"/>
        <v>3.5736655935221212E-2</v>
      </c>
    </row>
    <row r="849" spans="1:18" ht="13">
      <c r="A849" s="24" t="s">
        <v>186</v>
      </c>
      <c r="B849" s="9">
        <v>2019</v>
      </c>
      <c r="C849" s="4">
        <v>-0.18931446661335699</v>
      </c>
      <c r="D849" s="10">
        <v>0.73742541334158074</v>
      </c>
      <c r="E849" s="11">
        <v>0.33100000000000002</v>
      </c>
      <c r="F849" s="11">
        <v>0.02</v>
      </c>
      <c r="G849" s="12">
        <v>9.1223743230811352E-2</v>
      </c>
      <c r="H849" s="12">
        <v>-9.2094454436391776E-3</v>
      </c>
      <c r="I849" s="12">
        <v>-2.0113034861937115E-3</v>
      </c>
      <c r="J849" s="12">
        <v>3.0195059009398558E-2</v>
      </c>
      <c r="K849" s="12">
        <v>-3.048326441844568E-3</v>
      </c>
      <c r="L849" s="12">
        <v>-6.657414539301185E-4</v>
      </c>
      <c r="M849" s="12">
        <v>1.8244748646162271E-3</v>
      </c>
      <c r="N849" s="12">
        <v>-1.8418890887278354E-4</v>
      </c>
      <c r="O849" s="12">
        <v>-4.0226069723874227E-5</v>
      </c>
      <c r="P849">
        <f t="shared" si="39"/>
        <v>6.7270706558547291E-2</v>
      </c>
      <c r="Q849">
        <f t="shared" si="40"/>
        <v>-6.791279112922358E-3</v>
      </c>
      <c r="R849">
        <f t="shared" si="41"/>
        <v>-1.4831863046617601E-3</v>
      </c>
    </row>
    <row r="850" spans="1:18" ht="13">
      <c r="A850" s="24" t="s">
        <v>186</v>
      </c>
      <c r="B850" s="9">
        <v>2020</v>
      </c>
      <c r="C850" s="4">
        <v>-0.15954310545320957</v>
      </c>
      <c r="D850" s="10">
        <v>0.76428640505858281</v>
      </c>
      <c r="E850" s="11">
        <v>0.33700000000000002</v>
      </c>
      <c r="F850" s="11">
        <v>6.8900000000000003E-2</v>
      </c>
      <c r="G850" s="12">
        <v>6.6161800260368234E-2</v>
      </c>
      <c r="H850" s="12">
        <v>-4.3310396131671938E-2</v>
      </c>
      <c r="I850" s="12">
        <v>6.440915008368979E-2</v>
      </c>
      <c r="J850" s="12">
        <v>2.2296526687744095E-2</v>
      </c>
      <c r="K850" s="12">
        <v>-1.4595603496373444E-2</v>
      </c>
      <c r="L850" s="12">
        <v>2.170588357820346E-2</v>
      </c>
      <c r="M850" s="12">
        <v>4.5585480379393712E-3</v>
      </c>
      <c r="N850" s="12">
        <v>-2.9840862934721966E-3</v>
      </c>
      <c r="O850" s="12">
        <v>4.437790440766227E-3</v>
      </c>
      <c r="P850">
        <f t="shared" si="39"/>
        <v>5.0566564473200848E-2</v>
      </c>
      <c r="Q850">
        <f t="shared" si="40"/>
        <v>-3.3101546961138699E-2</v>
      </c>
      <c r="R850">
        <f t="shared" si="41"/>
        <v>4.9227037770341986E-2</v>
      </c>
    </row>
    <row r="851" spans="1:18" ht="13">
      <c r="A851" s="24" t="s">
        <v>186</v>
      </c>
      <c r="B851" s="9">
        <v>2021</v>
      </c>
      <c r="C851" s="4">
        <v>-0.58579859541743229</v>
      </c>
      <c r="D851" s="10">
        <v>0.73140805127373743</v>
      </c>
      <c r="E851" s="11">
        <v>0.2089</v>
      </c>
      <c r="F851" s="11">
        <v>9.5999999999999992E-3</v>
      </c>
      <c r="G851" s="12">
        <v>-8.3533019904994343E-2</v>
      </c>
      <c r="H851" s="12">
        <v>-7.0657955224311494E-2</v>
      </c>
      <c r="I851" s="12">
        <v>9.2169695462247569E-2</v>
      </c>
      <c r="J851" s="12">
        <v>-1.7450047858153319E-2</v>
      </c>
      <c r="K851" s="12">
        <v>-1.4760446846358671E-2</v>
      </c>
      <c r="L851" s="12">
        <v>1.9254249382063517E-2</v>
      </c>
      <c r="M851" s="12">
        <v>-8.0191699108794561E-4</v>
      </c>
      <c r="N851" s="12">
        <v>-6.7831637015339024E-4</v>
      </c>
      <c r="O851" s="12">
        <v>8.848290764375766E-4</v>
      </c>
      <c r="P851">
        <f t="shared" si="39"/>
        <v>-6.1096723305722231E-2</v>
      </c>
      <c r="Q851">
        <f t="shared" si="40"/>
        <v>-5.1679797337600662E-2</v>
      </c>
      <c r="R851">
        <f t="shared" si="41"/>
        <v>6.7413657344536332E-2</v>
      </c>
    </row>
    <row r="852" spans="1:18" ht="14">
      <c r="A852" s="31" t="s">
        <v>187</v>
      </c>
      <c r="B852" s="9">
        <v>2017</v>
      </c>
      <c r="C852" s="4">
        <v>-0.44178376077703152</v>
      </c>
      <c r="D852" s="10">
        <v>0.71696494166740143</v>
      </c>
      <c r="E852" s="11">
        <v>0.2656</v>
      </c>
      <c r="F852" s="11">
        <v>3.2500000000000001E-2</v>
      </c>
      <c r="G852" s="12">
        <v>-0.10068471010020864</v>
      </c>
      <c r="H852" s="12">
        <v>4.303976020453143E-2</v>
      </c>
      <c r="I852" s="12">
        <v>7.6869728760762868E-2</v>
      </c>
      <c r="J852" s="12">
        <v>-2.6741859002615415E-2</v>
      </c>
      <c r="K852" s="12">
        <v>1.1431360310323548E-2</v>
      </c>
      <c r="L852" s="12">
        <v>2.0416599958858618E-2</v>
      </c>
      <c r="M852" s="12">
        <v>-3.272253078256781E-3</v>
      </c>
      <c r="N852" s="12">
        <v>1.3987922066472716E-3</v>
      </c>
      <c r="O852" s="12">
        <v>2.4982661847247935E-3</v>
      </c>
      <c r="P852">
        <f t="shared" si="39"/>
        <v>-7.2187407303795317E-2</v>
      </c>
      <c r="Q852">
        <f t="shared" si="40"/>
        <v>3.0857999164420821E-2</v>
      </c>
      <c r="R852">
        <f t="shared" si="41"/>
        <v>5.5112900596949323E-2</v>
      </c>
    </row>
    <row r="853" spans="1:18" ht="13">
      <c r="A853" s="24" t="s">
        <v>187</v>
      </c>
      <c r="B853" s="9">
        <v>2018</v>
      </c>
      <c r="C853" s="4">
        <v>-0.60241128516520182</v>
      </c>
      <c r="D853" s="10">
        <v>0.68989050134348551</v>
      </c>
      <c r="E853" s="11">
        <v>0.26840000000000003</v>
      </c>
      <c r="F853" s="11">
        <v>3.3702999999999997E-2</v>
      </c>
      <c r="G853" s="12">
        <v>-2.232205703233546E-2</v>
      </c>
      <c r="H853" s="12">
        <v>2.4960062675586515E-2</v>
      </c>
      <c r="I853" s="12">
        <v>-5.4883982837661667E-2</v>
      </c>
      <c r="J853" s="12">
        <v>-5.9912401074788384E-3</v>
      </c>
      <c r="K853" s="12">
        <v>6.699280822127421E-3</v>
      </c>
      <c r="L853" s="12">
        <v>-1.4730860993628393E-2</v>
      </c>
      <c r="M853" s="12">
        <v>-7.5232028816080198E-4</v>
      </c>
      <c r="N853" s="12">
        <v>8.412289923552923E-4</v>
      </c>
      <c r="O853" s="12">
        <v>-1.8497548735777109E-3</v>
      </c>
      <c r="P853">
        <f t="shared" si="39"/>
        <v>-1.5399775117055786E-2</v>
      </c>
      <c r="Q853">
        <f t="shared" si="40"/>
        <v>1.7219710152825203E-2</v>
      </c>
      <c r="R853">
        <f t="shared" si="41"/>
        <v>-3.7863938435601659E-2</v>
      </c>
    </row>
    <row r="854" spans="1:18" ht="13">
      <c r="A854" s="24" t="s">
        <v>187</v>
      </c>
      <c r="B854" s="9">
        <v>2019</v>
      </c>
      <c r="C854" s="4">
        <v>-0.28260262345219939</v>
      </c>
      <c r="D854" s="10">
        <v>0.73556194396007768</v>
      </c>
      <c r="E854" s="11">
        <v>0.46810000000000002</v>
      </c>
      <c r="F854" s="11">
        <v>7.3000000000000001E-3</v>
      </c>
      <c r="G854" s="12">
        <v>-1.0902178864853826E-2</v>
      </c>
      <c r="H854" s="12">
        <v>-5.023799425043593E-2</v>
      </c>
      <c r="I854" s="12">
        <v>5.9291724921584951E-2</v>
      </c>
      <c r="J854" s="12">
        <v>-5.1033099266380765E-3</v>
      </c>
      <c r="K854" s="12">
        <v>-2.3516405108629061E-2</v>
      </c>
      <c r="L854" s="12">
        <v>2.7754456435793915E-2</v>
      </c>
      <c r="M854" s="12">
        <v>-7.9585905713432928E-5</v>
      </c>
      <c r="N854" s="12">
        <v>-3.6673735802818231E-4</v>
      </c>
      <c r="O854" s="12">
        <v>4.3282959192757014E-4</v>
      </c>
      <c r="P854">
        <f t="shared" si="39"/>
        <v>-8.0192278792323539E-3</v>
      </c>
      <c r="Q854">
        <f t="shared" si="40"/>
        <v>-3.6953156711505855E-2</v>
      </c>
      <c r="R854">
        <f t="shared" si="41"/>
        <v>4.3612736444067213E-2</v>
      </c>
    </row>
    <row r="855" spans="1:18" ht="13">
      <c r="A855" s="24" t="s">
        <v>187</v>
      </c>
      <c r="B855" s="9">
        <v>2020</v>
      </c>
      <c r="C855" s="4">
        <v>-0.26691637134294105</v>
      </c>
      <c r="D855" s="10">
        <v>0.72563843055470367</v>
      </c>
      <c r="E855" s="11">
        <v>0.46889999999999998</v>
      </c>
      <c r="F855" s="11">
        <v>7.3000000000000001E-3</v>
      </c>
      <c r="G855" s="12">
        <v>3.261158477989736E-3</v>
      </c>
      <c r="H855" s="12">
        <v>-2.3446604919339999E-2</v>
      </c>
      <c r="I855" s="12">
        <v>2.6150606227892618E-2</v>
      </c>
      <c r="J855" s="12">
        <v>1.5291572103293871E-3</v>
      </c>
      <c r="K855" s="12">
        <v>-1.0994113046678525E-2</v>
      </c>
      <c r="L855" s="12">
        <v>1.2262019260258848E-2</v>
      </c>
      <c r="M855" s="12">
        <v>2.3806456889325075E-5</v>
      </c>
      <c r="N855" s="12">
        <v>-1.7116021591118201E-4</v>
      </c>
      <c r="O855" s="12">
        <v>1.9089942546361612E-4</v>
      </c>
      <c r="P855">
        <f t="shared" si="39"/>
        <v>2.3664219197586382E-3</v>
      </c>
      <c r="Q855">
        <f t="shared" si="40"/>
        <v>-1.7013757595506072E-2</v>
      </c>
      <c r="R855">
        <f t="shared" si="41"/>
        <v>1.897588486126206E-2</v>
      </c>
    </row>
    <row r="856" spans="1:18" ht="13">
      <c r="A856" s="24" t="s">
        <v>187</v>
      </c>
      <c r="B856" s="9">
        <v>2021</v>
      </c>
      <c r="C856" s="4">
        <v>-0.45238288185403258</v>
      </c>
      <c r="D856" s="10">
        <v>0.69044818320149359</v>
      </c>
      <c r="E856" s="11">
        <v>0.46850000000000003</v>
      </c>
      <c r="F856" s="11">
        <v>7.3000000000000001E-3</v>
      </c>
      <c r="G856" s="12">
        <v>5.0343718636348921E-3</v>
      </c>
      <c r="H856" s="12">
        <v>3.8607642748454074E-2</v>
      </c>
      <c r="I856" s="12">
        <v>-4.5061135512556257E-2</v>
      </c>
      <c r="J856" s="12">
        <v>2.3586032181129469E-3</v>
      </c>
      <c r="K856" s="12">
        <v>1.8087680627650735E-2</v>
      </c>
      <c r="L856" s="12">
        <v>-2.1111141987632608E-2</v>
      </c>
      <c r="M856" s="12">
        <v>3.6750914604534712E-5</v>
      </c>
      <c r="N856" s="12">
        <v>2.8183579206371472E-4</v>
      </c>
      <c r="O856" s="12">
        <v>-3.2894628924166067E-4</v>
      </c>
      <c r="P856">
        <f t="shared" si="39"/>
        <v>3.4759729068074285E-3</v>
      </c>
      <c r="Q856">
        <f t="shared" si="40"/>
        <v>2.6656576793362433E-2</v>
      </c>
      <c r="R856">
        <f t="shared" si="41"/>
        <v>-3.111237914764077E-2</v>
      </c>
    </row>
    <row r="857" spans="1:18" ht="14">
      <c r="A857" s="32" t="s">
        <v>188</v>
      </c>
      <c r="B857" s="9">
        <v>2017</v>
      </c>
      <c r="C857" s="4">
        <v>-3.5576263319414538</v>
      </c>
      <c r="D857" s="10">
        <v>0.258339300264191</v>
      </c>
      <c r="E857" s="27">
        <v>1.349E-2</v>
      </c>
      <c r="F857" s="11">
        <v>1E-4</v>
      </c>
      <c r="G857" s="12">
        <v>0.25895656897360558</v>
      </c>
      <c r="H857" s="12">
        <v>-6.4936668230414062E-3</v>
      </c>
      <c r="I857" s="12">
        <v>-0.17582281918964962</v>
      </c>
      <c r="J857" s="12">
        <v>3.4933241154539393E-3</v>
      </c>
      <c r="K857" s="12">
        <v>-8.7599565442828572E-5</v>
      </c>
      <c r="L857" s="12">
        <v>-2.3718498308683733E-3</v>
      </c>
      <c r="M857" s="12">
        <v>2.5895656897360558E-5</v>
      </c>
      <c r="N857" s="12">
        <v>-6.4936668230414066E-7</v>
      </c>
      <c r="O857" s="12">
        <v>-1.7582281918964965E-5</v>
      </c>
      <c r="P857">
        <f t="shared" si="39"/>
        <v>6.6898658827456978E-2</v>
      </c>
      <c r="Q857">
        <f t="shared" si="40"/>
        <v>-1.677569343213309E-3</v>
      </c>
      <c r="R857">
        <f t="shared" si="41"/>
        <v>-4.5421944079931456E-2</v>
      </c>
    </row>
    <row r="858" spans="1:18" ht="13">
      <c r="A858" s="24" t="s">
        <v>188</v>
      </c>
      <c r="B858" s="9">
        <v>2018</v>
      </c>
      <c r="C858" s="4">
        <v>-3.6301041717121412</v>
      </c>
      <c r="D858" s="10">
        <v>0.27266624711558629</v>
      </c>
      <c r="E858" s="27">
        <v>1.09E-2</v>
      </c>
      <c r="F858" s="11">
        <v>0</v>
      </c>
      <c r="G858" s="12">
        <v>0.36616320537025387</v>
      </c>
      <c r="H858" s="12">
        <v>-3.0543318649045522E-2</v>
      </c>
      <c r="I858" s="12">
        <v>-0.13629116844975875</v>
      </c>
      <c r="J858" s="12">
        <v>3.9911789385357671E-3</v>
      </c>
      <c r="K858" s="12">
        <v>-3.329221732745962E-4</v>
      </c>
      <c r="L858" s="12">
        <v>-1.4855737361023703E-3</v>
      </c>
      <c r="M858" s="12">
        <v>0</v>
      </c>
      <c r="N858" s="12">
        <v>0</v>
      </c>
      <c r="O858" s="12">
        <v>0</v>
      </c>
      <c r="P858">
        <f t="shared" si="39"/>
        <v>9.9840347040120819E-2</v>
      </c>
      <c r="Q858">
        <f t="shared" si="40"/>
        <v>-8.328132070490742E-3</v>
      </c>
      <c r="R858">
        <f t="shared" si="41"/>
        <v>-3.716200141619392E-2</v>
      </c>
    </row>
    <row r="859" spans="1:18" ht="13">
      <c r="A859" s="24" t="s">
        <v>188</v>
      </c>
      <c r="B859" s="9">
        <v>2019</v>
      </c>
      <c r="C859" s="4">
        <v>-3.2693277983084488</v>
      </c>
      <c r="D859" s="10">
        <v>0.30559365307112868</v>
      </c>
      <c r="E859" s="11">
        <v>0.01</v>
      </c>
      <c r="F859" s="11">
        <v>0</v>
      </c>
      <c r="G859" s="12">
        <v>9.3980123646952074E-2</v>
      </c>
      <c r="H859" s="12">
        <v>-6.8153524782140823E-3</v>
      </c>
      <c r="I859" s="12">
        <v>-0.15168906800582366</v>
      </c>
      <c r="J859" s="12">
        <v>9.3980123646952081E-4</v>
      </c>
      <c r="K859" s="12">
        <v>-6.8153524782140821E-5</v>
      </c>
      <c r="L859" s="12">
        <v>-1.5168906800582366E-3</v>
      </c>
      <c r="M859" s="12">
        <v>0</v>
      </c>
      <c r="N859" s="12">
        <v>0</v>
      </c>
      <c r="O859" s="12">
        <v>0</v>
      </c>
      <c r="P859">
        <f t="shared" si="39"/>
        <v>2.8719729301348449E-2</v>
      </c>
      <c r="Q859">
        <f t="shared" si="40"/>
        <v>-2.0827284607848112E-3</v>
      </c>
      <c r="R859">
        <f t="shared" si="41"/>
        <v>-4.635521642285452E-2</v>
      </c>
    </row>
    <row r="860" spans="1:18" ht="13">
      <c r="A860" s="24" t="s">
        <v>188</v>
      </c>
      <c r="B860" s="9">
        <v>2020</v>
      </c>
      <c r="C860" s="4">
        <v>-3.0302325102083429</v>
      </c>
      <c r="D860" s="10">
        <v>0.28983644617648885</v>
      </c>
      <c r="E860" s="11">
        <v>1.0999999999999999E-2</v>
      </c>
      <c r="F860" s="11">
        <v>0</v>
      </c>
      <c r="G860" s="12">
        <v>0.10039178292323957</v>
      </c>
      <c r="H860" s="12">
        <v>-0.12854211148193445</v>
      </c>
      <c r="I860" s="12">
        <v>-5.4994714039924543E-2</v>
      </c>
      <c r="J860" s="12">
        <v>1.1043096121556351E-3</v>
      </c>
      <c r="K860" s="12">
        <v>-1.4139632263012788E-3</v>
      </c>
      <c r="L860" s="12">
        <v>-6.0494185443916992E-4</v>
      </c>
      <c r="M860" s="12">
        <v>0</v>
      </c>
      <c r="N860" s="12">
        <v>0</v>
      </c>
      <c r="O860" s="12">
        <v>0</v>
      </c>
      <c r="P860">
        <f t="shared" si="39"/>
        <v>2.9097197587793278E-2</v>
      </c>
      <c r="Q860">
        <f t="shared" si="40"/>
        <v>-3.7256188775945921E-2</v>
      </c>
      <c r="R860">
        <f t="shared" si="41"/>
        <v>-1.5939472475823984E-2</v>
      </c>
    </row>
    <row r="861" spans="1:18" ht="13">
      <c r="A861" s="24" t="s">
        <v>188</v>
      </c>
      <c r="B861" s="9">
        <v>2021</v>
      </c>
      <c r="C861" s="4">
        <v>-3.2254315259232196</v>
      </c>
      <c r="D861" s="10">
        <v>0.27370098944462806</v>
      </c>
      <c r="E861" s="11">
        <v>1.2E-2</v>
      </c>
      <c r="F861" s="11">
        <v>0</v>
      </c>
      <c r="G861" s="12">
        <v>0.13274886767879016</v>
      </c>
      <c r="H861" s="12">
        <v>-7.0330268452461958E-2</v>
      </c>
      <c r="I861" s="12">
        <v>-3.8605835585016429E-2</v>
      </c>
      <c r="J861" s="12">
        <v>1.5929864121454818E-3</v>
      </c>
      <c r="K861" s="12">
        <v>-8.4396322142954352E-4</v>
      </c>
      <c r="L861" s="12">
        <v>-4.6327002702019717E-4</v>
      </c>
      <c r="M861" s="12">
        <v>0</v>
      </c>
      <c r="N861" s="12">
        <v>0</v>
      </c>
      <c r="O861" s="12">
        <v>0</v>
      </c>
      <c r="P861">
        <f t="shared" si="39"/>
        <v>3.6333496431338874E-2</v>
      </c>
      <c r="Q861">
        <f t="shared" si="40"/>
        <v>-1.9249464063345149E-2</v>
      </c>
      <c r="R861">
        <f t="shared" si="41"/>
        <v>-1.0566455397955627E-2</v>
      </c>
    </row>
    <row r="862" spans="1:18" ht="14">
      <c r="A862" s="31" t="s">
        <v>189</v>
      </c>
      <c r="B862" s="9">
        <v>2017</v>
      </c>
      <c r="C862" s="4">
        <v>-3.0052751554984116</v>
      </c>
      <c r="D862" s="10">
        <v>0.27713660226572295</v>
      </c>
      <c r="E862" s="11">
        <v>0.4914</v>
      </c>
      <c r="F862" s="11">
        <v>0.53049999999999997</v>
      </c>
      <c r="G862" s="12">
        <v>7.1882505473017486E-2</v>
      </c>
      <c r="H862" s="12">
        <v>-4.4570554103169034E-2</v>
      </c>
      <c r="I862" s="12">
        <v>6.3550766222448939E-3</v>
      </c>
      <c r="J862" s="12">
        <v>3.5323063189440791E-2</v>
      </c>
      <c r="K862" s="12">
        <v>-2.1901970286297263E-2</v>
      </c>
      <c r="L862" s="12">
        <v>3.1228846521711407E-3</v>
      </c>
      <c r="M862" s="12">
        <v>3.8133669153435773E-2</v>
      </c>
      <c r="N862" s="12">
        <v>-2.3644678951731172E-2</v>
      </c>
      <c r="O862" s="12">
        <v>3.3713681481009161E-3</v>
      </c>
      <c r="P862">
        <f t="shared" si="39"/>
        <v>1.9921273329139299E-2</v>
      </c>
      <c r="Q862">
        <f t="shared" si="40"/>
        <v>-1.2352131925252844E-2</v>
      </c>
      <c r="R862">
        <f t="shared" si="41"/>
        <v>1.7612243422272772E-3</v>
      </c>
    </row>
    <row r="863" spans="1:18" ht="13">
      <c r="A863" s="24" t="s">
        <v>189</v>
      </c>
      <c r="B863" s="9">
        <v>2018</v>
      </c>
      <c r="C863" s="4">
        <v>-3.2618263610819103</v>
      </c>
      <c r="D863" s="10">
        <v>0.26161748101574089</v>
      </c>
      <c r="E863" s="11">
        <v>0.4914</v>
      </c>
      <c r="F863" s="11">
        <v>0.49049999999999999</v>
      </c>
      <c r="G863" s="12">
        <v>3.6396643715822803E-2</v>
      </c>
      <c r="H863" s="12">
        <v>2.1120680112466515E-2</v>
      </c>
      <c r="I863" s="12">
        <v>-0.12473156368305698</v>
      </c>
      <c r="J863" s="12">
        <v>1.7885310721955327E-2</v>
      </c>
      <c r="K863" s="12">
        <v>1.0378702207266045E-2</v>
      </c>
      <c r="L863" s="12">
        <v>-6.1293090393854201E-2</v>
      </c>
      <c r="M863" s="12">
        <v>1.7852553742611084E-2</v>
      </c>
      <c r="N863" s="12">
        <v>1.0359693595164825E-2</v>
      </c>
      <c r="O863" s="12">
        <v>-6.1180831986539445E-2</v>
      </c>
      <c r="P863">
        <f t="shared" si="39"/>
        <v>9.5219982463609579E-3</v>
      </c>
      <c r="Q863">
        <f t="shared" si="40"/>
        <v>5.5255391283627444E-3</v>
      </c>
      <c r="R863">
        <f t="shared" si="41"/>
        <v>-3.2631957493915835E-2</v>
      </c>
    </row>
    <row r="864" spans="1:18" ht="13">
      <c r="A864" s="24" t="s">
        <v>189</v>
      </c>
      <c r="B864" s="9">
        <v>2019</v>
      </c>
      <c r="C864" s="4">
        <v>-2.9875092362893447</v>
      </c>
      <c r="D864" s="10">
        <v>0.27356820767836826</v>
      </c>
      <c r="E864" s="11">
        <v>0.4914</v>
      </c>
      <c r="F864" s="11">
        <v>0.49049999999999999</v>
      </c>
      <c r="G864" s="12">
        <v>-8.2177925744869151E-4</v>
      </c>
      <c r="H864" s="12">
        <v>1.5803447258628683E-3</v>
      </c>
      <c r="I864" s="12">
        <v>1.1399553289224157E-2</v>
      </c>
      <c r="J864" s="12">
        <v>-4.0382232711028702E-4</v>
      </c>
      <c r="K864" s="12">
        <v>7.7658139828901346E-4</v>
      </c>
      <c r="L864" s="12">
        <v>5.6017404863247505E-3</v>
      </c>
      <c r="M864" s="12">
        <v>-4.030827257785832E-4</v>
      </c>
      <c r="N864" s="12">
        <v>7.7515908803573689E-4</v>
      </c>
      <c r="O864" s="12">
        <v>5.5914808883644491E-3</v>
      </c>
      <c r="P864">
        <f t="shared" si="39"/>
        <v>-2.2481267856749889E-4</v>
      </c>
      <c r="Q864">
        <f t="shared" si="40"/>
        <v>4.3233207416826713E-4</v>
      </c>
      <c r="R864">
        <f t="shared" si="41"/>
        <v>3.1185553616671002E-3</v>
      </c>
    </row>
    <row r="865" spans="1:18" ht="13">
      <c r="A865" s="24" t="s">
        <v>189</v>
      </c>
      <c r="B865" s="9">
        <v>2020</v>
      </c>
      <c r="C865" s="4">
        <v>-2.2393879411638675</v>
      </c>
      <c r="D865" s="10">
        <v>0.38694892649848789</v>
      </c>
      <c r="E865" s="11">
        <v>0.4914</v>
      </c>
      <c r="F865" s="11">
        <v>0.25280000000000002</v>
      </c>
      <c r="G865" s="12">
        <v>0.11073125833536826</v>
      </c>
      <c r="H865" s="12">
        <v>-9.9554820895242043E-4</v>
      </c>
      <c r="I865" s="12">
        <v>-1.6379585626537935E-2</v>
      </c>
      <c r="J865" s="12">
        <v>5.4413340345999962E-2</v>
      </c>
      <c r="K865" s="12">
        <v>-4.8921238987921945E-4</v>
      </c>
      <c r="L865" s="12">
        <v>-8.0489283768807405E-3</v>
      </c>
      <c r="M865" s="12">
        <v>2.7992862107181098E-2</v>
      </c>
      <c r="N865" s="12">
        <v>-2.5167458722317191E-4</v>
      </c>
      <c r="O865" s="12">
        <v>-4.1407592463887904E-3</v>
      </c>
      <c r="P865">
        <f t="shared" si="39"/>
        <v>4.2847341542697488E-2</v>
      </c>
      <c r="Q865">
        <f t="shared" si="40"/>
        <v>-3.8522631073163141E-4</v>
      </c>
      <c r="R865">
        <f t="shared" si="41"/>
        <v>-6.3380630746789164E-3</v>
      </c>
    </row>
    <row r="866" spans="1:18" ht="13">
      <c r="A866" s="24" t="s">
        <v>189</v>
      </c>
      <c r="B866" s="9">
        <v>2021</v>
      </c>
      <c r="C866" s="4">
        <v>-2.6880308699981512</v>
      </c>
      <c r="D866" s="10">
        <v>0.30886488086428887</v>
      </c>
      <c r="E866" s="11">
        <v>0.4914</v>
      </c>
      <c r="F866" s="11">
        <v>3.0999999999999999E-3</v>
      </c>
      <c r="G866" s="12">
        <v>-7.8437176261654584E-2</v>
      </c>
      <c r="H866" s="12">
        <v>-4.9831920336582167E-2</v>
      </c>
      <c r="I866" s="12">
        <v>-1.7970781623290132E-3</v>
      </c>
      <c r="J866" s="12">
        <v>-3.8544028414977061E-2</v>
      </c>
      <c r="K866" s="12">
        <v>-2.4487405653396476E-2</v>
      </c>
      <c r="L866" s="12">
        <v>-8.8308420896847709E-4</v>
      </c>
      <c r="M866" s="12">
        <v>-2.4315524641112921E-4</v>
      </c>
      <c r="N866" s="12">
        <v>-1.5447895304340471E-4</v>
      </c>
      <c r="O866" s="12">
        <v>-5.5709423032199407E-6</v>
      </c>
      <c r="P866">
        <f t="shared" si="39"/>
        <v>-2.422648910138717E-2</v>
      </c>
      <c r="Q866">
        <f t="shared" si="40"/>
        <v>-1.5391330137997185E-2</v>
      </c>
      <c r="R866">
        <f t="shared" si="41"/>
        <v>-5.5505433251156584E-4</v>
      </c>
    </row>
    <row r="867" spans="1:18" ht="14">
      <c r="A867" s="33" t="s">
        <v>190</v>
      </c>
      <c r="B867" s="9">
        <v>2017</v>
      </c>
      <c r="C867" s="4">
        <v>-3.0548172078191391</v>
      </c>
      <c r="D867" s="10">
        <v>0.38653362550638382</v>
      </c>
      <c r="E867" s="11">
        <v>5.3E-3</v>
      </c>
      <c r="F867" s="11">
        <v>8.3000000000000001E-4</v>
      </c>
      <c r="G867" s="12">
        <v>3.857816302932781E-2</v>
      </c>
      <c r="H867" s="12">
        <v>0.12919762919358621</v>
      </c>
      <c r="I867" s="12">
        <v>-0.13321635630018355</v>
      </c>
      <c r="J867" s="12">
        <v>2.0446426405543739E-4</v>
      </c>
      <c r="K867" s="12">
        <v>6.8474743472600691E-4</v>
      </c>
      <c r="L867" s="12">
        <v>-7.060466883909728E-4</v>
      </c>
      <c r="M867" s="12">
        <v>3.2019875314342085E-5</v>
      </c>
      <c r="N867" s="12">
        <v>1.0723403223067655E-4</v>
      </c>
      <c r="O867" s="12">
        <v>-1.1056957572915235E-4</v>
      </c>
      <c r="P867">
        <f t="shared" si="39"/>
        <v>1.4911757221102417E-2</v>
      </c>
      <c r="Q867">
        <f t="shared" si="40"/>
        <v>4.9939228019026297E-2</v>
      </c>
      <c r="R867">
        <f t="shared" si="41"/>
        <v>-5.1492601177460143E-2</v>
      </c>
    </row>
    <row r="868" spans="1:18" ht="14">
      <c r="A868" s="34" t="s">
        <v>190</v>
      </c>
      <c r="B868" s="9">
        <v>2018</v>
      </c>
      <c r="C868" s="4">
        <v>-2.8517250340410336</v>
      </c>
      <c r="D868" s="10">
        <v>0.30846277724286603</v>
      </c>
      <c r="E868" s="11">
        <v>1.2999999999999999E-3</v>
      </c>
      <c r="F868" s="11">
        <v>8.699999999999999E-4</v>
      </c>
      <c r="G868" s="12">
        <v>3.4747488518332328E-2</v>
      </c>
      <c r="H868" s="12">
        <v>3.0355058324315575E-2</v>
      </c>
      <c r="I868" s="12">
        <v>-8.9595351096190393E-2</v>
      </c>
      <c r="J868" s="12">
        <v>4.5171735073832022E-5</v>
      </c>
      <c r="K868" s="12">
        <v>3.9461575821610243E-5</v>
      </c>
      <c r="L868" s="12">
        <v>-1.164739564250475E-4</v>
      </c>
      <c r="M868" s="12">
        <v>3.0230315010949123E-5</v>
      </c>
      <c r="N868" s="12">
        <v>2.6408900742154548E-5</v>
      </c>
      <c r="O868" s="12">
        <v>-7.7947955453685629E-5</v>
      </c>
      <c r="P868">
        <f t="shared" si="39"/>
        <v>1.071830681057939E-2</v>
      </c>
      <c r="Q868">
        <f t="shared" si="40"/>
        <v>9.3634055940875621E-3</v>
      </c>
      <c r="R868">
        <f t="shared" si="41"/>
        <v>-2.7636830827180551E-2</v>
      </c>
    </row>
    <row r="869" spans="1:18" ht="13">
      <c r="A869" s="24" t="s">
        <v>190</v>
      </c>
      <c r="B869" s="9">
        <v>2019</v>
      </c>
      <c r="C869" s="4">
        <v>-3.1127014331225804</v>
      </c>
      <c r="D869" s="10">
        <v>0.2525291589392914</v>
      </c>
      <c r="E869" s="11">
        <v>8.9999999999999998E-4</v>
      </c>
      <c r="F869" s="11">
        <v>8.699999999999999E-4</v>
      </c>
      <c r="G869" s="12">
        <v>6.5226371810535005E-2</v>
      </c>
      <c r="H869" s="12">
        <v>4.3841684758246686E-2</v>
      </c>
      <c r="I869" s="12">
        <v>-9.1673771457199862E-2</v>
      </c>
      <c r="J869" s="12">
        <v>5.8703734629481505E-5</v>
      </c>
      <c r="K869" s="12">
        <v>3.9457516282422018E-5</v>
      </c>
      <c r="L869" s="12">
        <v>-8.250639431147987E-5</v>
      </c>
      <c r="M869" s="12">
        <v>5.6746943475165447E-5</v>
      </c>
      <c r="N869" s="12">
        <v>3.8142265739674611E-5</v>
      </c>
      <c r="O869" s="12">
        <v>-7.9756181167763869E-5</v>
      </c>
      <c r="P869">
        <f t="shared" si="39"/>
        <v>1.6471560813975911E-2</v>
      </c>
      <c r="Q869">
        <f t="shared" si="40"/>
        <v>1.1071303778481586E-2</v>
      </c>
      <c r="R869">
        <f t="shared" si="41"/>
        <v>-2.3150300402879499E-2</v>
      </c>
    </row>
    <row r="870" spans="1:18" ht="13">
      <c r="A870" s="24" t="s">
        <v>190</v>
      </c>
      <c r="B870" s="9">
        <v>2020</v>
      </c>
      <c r="C870" s="4">
        <v>-2.8401499114962658</v>
      </c>
      <c r="D870" s="10">
        <v>0.29709903301100371</v>
      </c>
      <c r="E870" s="11">
        <v>6.9999999999999999E-4</v>
      </c>
      <c r="F870" s="11">
        <v>1.14E-3</v>
      </c>
      <c r="G870" s="12">
        <v>8.8850129530356287E-2</v>
      </c>
      <c r="H870" s="12">
        <v>-0.11867631090705451</v>
      </c>
      <c r="I870" s="12">
        <v>3.1262557604671642E-2</v>
      </c>
      <c r="J870" s="12">
        <v>6.2195090671249395E-5</v>
      </c>
      <c r="K870" s="12">
        <v>-8.3073417634938157E-5</v>
      </c>
      <c r="L870" s="12">
        <v>2.1883790323270149E-5</v>
      </c>
      <c r="M870" s="12">
        <v>1.0128914766460617E-4</v>
      </c>
      <c r="N870" s="12">
        <v>-1.3529099443404212E-4</v>
      </c>
      <c r="O870" s="12">
        <v>3.5639315669325669E-5</v>
      </c>
      <c r="P870">
        <f t="shared" si="39"/>
        <v>2.6397287566371278E-2</v>
      </c>
      <c r="Q870">
        <f t="shared" si="40"/>
        <v>-3.5258617211799126E-2</v>
      </c>
      <c r="R870">
        <f t="shared" si="41"/>
        <v>9.2880756337987459E-3</v>
      </c>
    </row>
    <row r="871" spans="1:18" ht="13">
      <c r="A871" s="24" t="s">
        <v>190</v>
      </c>
      <c r="B871" s="9">
        <v>2021</v>
      </c>
      <c r="C871" s="4">
        <v>-3.0234376263291276</v>
      </c>
      <c r="D871" s="10">
        <v>0.29772855125754882</v>
      </c>
      <c r="E871" s="11">
        <v>1.1000000000000001E-3</v>
      </c>
      <c r="F871" s="11">
        <v>8.699999999999999E-4</v>
      </c>
      <c r="G871" s="12">
        <v>9.6699562996658203E-2</v>
      </c>
      <c r="H871" s="12">
        <v>-7.2599182621200437E-2</v>
      </c>
      <c r="I871" s="12">
        <v>-1.4659916026808833E-2</v>
      </c>
      <c r="J871" s="12">
        <v>1.0636951929632402E-4</v>
      </c>
      <c r="K871" s="12">
        <v>-7.9859100883320492E-5</v>
      </c>
      <c r="L871" s="12">
        <v>-1.6125907629489716E-5</v>
      </c>
      <c r="M871" s="12">
        <v>8.4128619807092631E-5</v>
      </c>
      <c r="N871" s="12">
        <v>-6.3161288880444374E-5</v>
      </c>
      <c r="O871" s="12">
        <v>-1.2754126943323683E-5</v>
      </c>
      <c r="P871">
        <f t="shared" si="39"/>
        <v>2.8790220798233124E-2</v>
      </c>
      <c r="Q871">
        <f t="shared" si="40"/>
        <v>-2.1614849464292221E-2</v>
      </c>
      <c r="R871">
        <f t="shared" si="41"/>
        <v>-4.3646755602191152E-3</v>
      </c>
    </row>
    <row r="872" spans="1:18" ht="14">
      <c r="A872" s="31" t="s">
        <v>191</v>
      </c>
      <c r="B872" s="9">
        <v>2017</v>
      </c>
      <c r="C872" s="4">
        <v>-1.0731473366798525</v>
      </c>
      <c r="D872" s="10">
        <v>0.60645223245423396</v>
      </c>
      <c r="E872" s="11">
        <v>8.5999999999999993E-2</v>
      </c>
      <c r="F872" s="11">
        <v>0.13900000000000001</v>
      </c>
      <c r="G872" s="12">
        <v>0.15452808636671486</v>
      </c>
      <c r="H872" s="12">
        <v>-1.3712131167426487E-2</v>
      </c>
      <c r="I872" s="12">
        <v>-0.12566336793797447</v>
      </c>
      <c r="J872" s="12">
        <v>1.3289415427537477E-2</v>
      </c>
      <c r="K872" s="12">
        <v>-1.1792432803986778E-3</v>
      </c>
      <c r="L872" s="12">
        <v>-1.0807049642665803E-2</v>
      </c>
      <c r="M872" s="12">
        <v>2.1479404004973366E-2</v>
      </c>
      <c r="N872" s="12">
        <v>-1.9059862322722818E-3</v>
      </c>
      <c r="O872" s="12">
        <v>-1.7467208143378453E-2</v>
      </c>
      <c r="P872">
        <f t="shared" si="39"/>
        <v>9.3713902953974901E-2</v>
      </c>
      <c r="Q872">
        <f t="shared" si="40"/>
        <v>-8.3157525581910741E-3</v>
      </c>
      <c r="R872">
        <f t="shared" si="41"/>
        <v>-7.620883002370242E-2</v>
      </c>
    </row>
    <row r="873" spans="1:18" ht="13">
      <c r="A873" s="24" t="s">
        <v>191</v>
      </c>
      <c r="B873" s="9">
        <v>2018</v>
      </c>
      <c r="C873" s="4">
        <v>-1.4272078574905203</v>
      </c>
      <c r="D873" s="10">
        <v>0.5710875093775214</v>
      </c>
      <c r="E873" s="11">
        <v>6.8199999999999997E-2</v>
      </c>
      <c r="F873" s="11">
        <v>0.13930000000000001</v>
      </c>
      <c r="G873" s="12">
        <v>0.11704562075652417</v>
      </c>
      <c r="H873" s="12">
        <v>-5.3325658313791921E-2</v>
      </c>
      <c r="I873" s="12">
        <v>-4.6550251718622461E-2</v>
      </c>
      <c r="J873" s="12">
        <v>7.9825113355949471E-3</v>
      </c>
      <c r="K873" s="12">
        <v>-3.6368098970006087E-3</v>
      </c>
      <c r="L873" s="12">
        <v>-3.1747271672100518E-3</v>
      </c>
      <c r="M873" s="12">
        <v>1.6304454971383817E-2</v>
      </c>
      <c r="N873" s="12">
        <v>-7.4282642031112149E-3</v>
      </c>
      <c r="O873" s="12">
        <v>-6.4844500644041089E-3</v>
      </c>
      <c r="P873">
        <f t="shared" si="39"/>
        <v>6.6843292041389307E-2</v>
      </c>
      <c r="Q873">
        <f t="shared" si="40"/>
        <v>-3.0453617392340145E-2</v>
      </c>
      <c r="R873">
        <f t="shared" si="41"/>
        <v>-2.6584267314884787E-2</v>
      </c>
    </row>
    <row r="874" spans="1:18" ht="13">
      <c r="A874" s="24" t="s">
        <v>191</v>
      </c>
      <c r="B874" s="9">
        <v>2019</v>
      </c>
      <c r="C874" s="4">
        <v>-2.0507922044342224</v>
      </c>
      <c r="D874" s="10">
        <v>0.47707445190631836</v>
      </c>
      <c r="E874" s="11">
        <v>0.06</v>
      </c>
      <c r="F874" s="11">
        <v>0.13930000000000001</v>
      </c>
      <c r="G874" s="12">
        <v>8.2490452717414925E-2</v>
      </c>
      <c r="H874" s="12">
        <v>-1.6994404399233321E-2</v>
      </c>
      <c r="I874" s="12">
        <v>-6.6968574835728809E-2</v>
      </c>
      <c r="J874" s="12">
        <v>4.9494271630448955E-3</v>
      </c>
      <c r="K874" s="12">
        <v>-1.0196642639539993E-3</v>
      </c>
      <c r="L874" s="12">
        <v>-4.0181144901437283E-3</v>
      </c>
      <c r="M874" s="12">
        <v>1.14909200635359E-2</v>
      </c>
      <c r="N874" s="12">
        <v>-2.3673205328132016E-3</v>
      </c>
      <c r="O874" s="12">
        <v>-9.3287224746170239E-3</v>
      </c>
      <c r="P874">
        <f t="shared" si="39"/>
        <v>3.9354087517664796E-2</v>
      </c>
      <c r="Q874">
        <f t="shared" si="40"/>
        <v>-8.1075961642385619E-3</v>
      </c>
      <c r="R874">
        <f t="shared" si="41"/>
        <v>-3.1948996134702583E-2</v>
      </c>
    </row>
    <row r="875" spans="1:18" ht="13">
      <c r="A875" s="24" t="s">
        <v>191</v>
      </c>
      <c r="B875" s="9">
        <v>2020</v>
      </c>
      <c r="C875" s="4">
        <v>-2.6091305977285835</v>
      </c>
      <c r="D875" s="10">
        <v>0.36433230205648737</v>
      </c>
      <c r="E875" s="11">
        <v>0.06</v>
      </c>
      <c r="F875" s="11">
        <v>0.13930000000000001</v>
      </c>
      <c r="G875" s="12">
        <v>0.26194236199578486</v>
      </c>
      <c r="H875" s="12">
        <v>2.4151838392851899E-2</v>
      </c>
      <c r="I875" s="12">
        <v>-0.3184884260210521</v>
      </c>
      <c r="J875" s="12">
        <v>1.5716541719747092E-2</v>
      </c>
      <c r="K875" s="12">
        <v>1.449110303571114E-3</v>
      </c>
      <c r="L875" s="12">
        <v>-1.9109305561263126E-2</v>
      </c>
      <c r="M875" s="12">
        <v>3.6488571026012835E-2</v>
      </c>
      <c r="N875" s="12">
        <v>3.3643510881242698E-3</v>
      </c>
      <c r="O875" s="12">
        <v>-4.4365437744732561E-2</v>
      </c>
      <c r="P875">
        <f t="shared" si="39"/>
        <v>9.5434063752038042E-2</v>
      </c>
      <c r="Q875">
        <f t="shared" si="40"/>
        <v>8.7992948805639872E-3</v>
      </c>
      <c r="R875">
        <f t="shared" si="41"/>
        <v>-0.11603562143059719</v>
      </c>
    </row>
    <row r="876" spans="1:18" ht="13">
      <c r="A876" s="24" t="s">
        <v>191</v>
      </c>
      <c r="B876" s="9">
        <v>2021</v>
      </c>
      <c r="C876" s="4">
        <v>-2.8819517275019111</v>
      </c>
      <c r="D876" s="10">
        <v>0.36128839148918895</v>
      </c>
      <c r="E876" s="11">
        <v>0.1323</v>
      </c>
      <c r="F876" s="11">
        <v>0.137984</v>
      </c>
      <c r="G876" s="12">
        <v>0.14719400955792078</v>
      </c>
      <c r="H876" s="12">
        <v>1.5447913390220886E-2</v>
      </c>
      <c r="I876" s="12">
        <v>-2.5386324664914719E-2</v>
      </c>
      <c r="J876" s="12">
        <v>1.9473767464512921E-2</v>
      </c>
      <c r="K876" s="12">
        <v>2.043758941526223E-3</v>
      </c>
      <c r="L876" s="12">
        <v>-3.3586107531682172E-3</v>
      </c>
      <c r="M876" s="12">
        <v>2.0310418214840139E-2</v>
      </c>
      <c r="N876" s="12">
        <v>2.1315648812362388E-3</v>
      </c>
      <c r="O876" s="12">
        <v>-3.5029066225635923E-3</v>
      </c>
      <c r="P876">
        <f t="shared" si="39"/>
        <v>5.3179486950025501E-2</v>
      </c>
      <c r="Q876">
        <f t="shared" si="40"/>
        <v>5.5811517806172075E-3</v>
      </c>
      <c r="R876">
        <f t="shared" si="41"/>
        <v>-9.171784404009363E-3</v>
      </c>
    </row>
    <row r="877" spans="1:18" ht="14">
      <c r="A877" s="35" t="s">
        <v>192</v>
      </c>
      <c r="B877" s="9">
        <v>2017</v>
      </c>
      <c r="C877" s="4">
        <v>-1.074465820704358</v>
      </c>
      <c r="D877" s="10">
        <v>0.62261996243169393</v>
      </c>
      <c r="E877" s="27">
        <v>7.9799999999999996E-2</v>
      </c>
      <c r="F877" s="11">
        <v>1.0970000000000001E-2</v>
      </c>
      <c r="G877" s="12">
        <v>7.1828039617486336E-2</v>
      </c>
      <c r="H877" s="12">
        <v>-6.1080515710382505E-2</v>
      </c>
      <c r="I877" s="12">
        <v>6.4783982240437157E-3</v>
      </c>
      <c r="J877" s="12">
        <v>5.7318775614754094E-3</v>
      </c>
      <c r="K877" s="12">
        <v>-4.874225153688524E-3</v>
      </c>
      <c r="L877" s="12">
        <v>5.1697617827868852E-4</v>
      </c>
      <c r="M877" s="12">
        <v>7.8795359460382514E-4</v>
      </c>
      <c r="N877" s="12">
        <v>-6.7005325734289611E-4</v>
      </c>
      <c r="O877" s="12">
        <v>7.106802851775957E-5</v>
      </c>
      <c r="P877">
        <f t="shared" si="39"/>
        <v>4.4721571328181567E-2</v>
      </c>
      <c r="Q877">
        <f t="shared" si="40"/>
        <v>-3.8029948396906849E-2</v>
      </c>
      <c r="R877">
        <f t="shared" si="41"/>
        <v>4.0335800588716508E-3</v>
      </c>
    </row>
    <row r="878" spans="1:18" ht="13">
      <c r="A878" s="24" t="s">
        <v>192</v>
      </c>
      <c r="B878" s="9">
        <v>2018</v>
      </c>
      <c r="C878" s="4">
        <v>-1.0012248059636712</v>
      </c>
      <c r="D878" s="10">
        <v>0.63192224762441362</v>
      </c>
      <c r="E878" s="27">
        <v>0.1236</v>
      </c>
      <c r="F878" s="11">
        <v>1.0970000000000001E-2</v>
      </c>
      <c r="G878" s="12">
        <v>6.2626634739362683E-2</v>
      </c>
      <c r="H878" s="12">
        <v>-7.1728083386605711E-3</v>
      </c>
      <c r="I878" s="12">
        <v>-7.4230981764597539E-2</v>
      </c>
      <c r="J878" s="12">
        <v>7.7406520537852278E-3</v>
      </c>
      <c r="K878" s="12">
        <v>-8.8655911065844658E-4</v>
      </c>
      <c r="L878" s="12">
        <v>-9.1749493461042563E-3</v>
      </c>
      <c r="M878" s="12">
        <v>6.8701418309080869E-4</v>
      </c>
      <c r="N878" s="12">
        <v>-7.8685707475106462E-5</v>
      </c>
      <c r="O878" s="12">
        <v>-8.14313869957635E-4</v>
      </c>
      <c r="P878">
        <f t="shared" si="39"/>
        <v>3.9575163785651249E-2</v>
      </c>
      <c r="Q878">
        <f t="shared" si="40"/>
        <v>-4.5326571671455247E-3</v>
      </c>
      <c r="R878">
        <f t="shared" si="41"/>
        <v>-4.6908208840051341E-2</v>
      </c>
    </row>
    <row r="879" spans="1:18" ht="13">
      <c r="A879" s="24" t="s">
        <v>192</v>
      </c>
      <c r="B879" s="9">
        <v>2019</v>
      </c>
      <c r="C879" s="4">
        <v>-2.233014926971054</v>
      </c>
      <c r="D879" s="10">
        <v>0.48699834162520733</v>
      </c>
      <c r="E879" s="11">
        <v>5.6099999999999997E-2</v>
      </c>
      <c r="F879" s="11">
        <v>9.0193000000000001E-4</v>
      </c>
      <c r="G879" s="12">
        <v>0.26383637368711993</v>
      </c>
      <c r="H879" s="12">
        <v>-9.8640132669983421E-2</v>
      </c>
      <c r="I879" s="12">
        <v>-0.11781094527363184</v>
      </c>
      <c r="J879" s="12">
        <v>1.4801220563847427E-2</v>
      </c>
      <c r="K879" s="12">
        <v>-5.5337114427860693E-3</v>
      </c>
      <c r="L879" s="12">
        <v>-6.6091940298507457E-3</v>
      </c>
      <c r="M879" s="12">
        <v>2.3796194051962409E-4</v>
      </c>
      <c r="N879" s="12">
        <v>-8.8966494859038148E-5</v>
      </c>
      <c r="O879" s="12">
        <v>-1.0625722587064677E-4</v>
      </c>
      <c r="P879">
        <f t="shared" si="39"/>
        <v>0.1284878764460359</v>
      </c>
      <c r="Q879">
        <f t="shared" si="40"/>
        <v>-4.8037581027972363E-2</v>
      </c>
      <c r="R879">
        <f t="shared" si="41"/>
        <v>-5.7373734973556766E-2</v>
      </c>
    </row>
    <row r="880" spans="1:18" ht="13">
      <c r="A880" s="24" t="s">
        <v>192</v>
      </c>
      <c r="B880" s="9">
        <v>2020</v>
      </c>
      <c r="C880" s="4">
        <v>-2.1786009394953596</v>
      </c>
      <c r="D880" s="10">
        <v>0.479289288829714</v>
      </c>
      <c r="E880" s="11">
        <v>0.94740000000000002</v>
      </c>
      <c r="F880" s="11">
        <v>0</v>
      </c>
      <c r="G880" s="12">
        <v>0.10767182406684726</v>
      </c>
      <c r="H880" s="12">
        <v>-0.17335292227170471</v>
      </c>
      <c r="I880" s="12">
        <v>1.8823745466232038E-2</v>
      </c>
      <c r="J880" s="12">
        <v>0.1020082861209311</v>
      </c>
      <c r="K880" s="12">
        <v>-0.16423455856021305</v>
      </c>
      <c r="L880" s="12">
        <v>1.7833616454708233E-2</v>
      </c>
      <c r="M880" s="12">
        <v>0</v>
      </c>
      <c r="N880" s="12">
        <v>0</v>
      </c>
      <c r="O880" s="12">
        <v>0</v>
      </c>
      <c r="P880">
        <f t="shared" si="39"/>
        <v>5.1605951983997311E-2</v>
      </c>
      <c r="Q880">
        <f t="shared" si="40"/>
        <v>-8.3086198832158037E-2</v>
      </c>
      <c r="R880">
        <f t="shared" si="41"/>
        <v>9.0220195776219061E-3</v>
      </c>
    </row>
    <row r="881" spans="1:18" ht="13">
      <c r="A881" s="24" t="s">
        <v>192</v>
      </c>
      <c r="B881" s="9">
        <v>2021</v>
      </c>
      <c r="C881" s="4">
        <v>-2.0785325347603032</v>
      </c>
      <c r="D881" s="10">
        <v>0.45358389724580833</v>
      </c>
      <c r="E881" s="27">
        <v>0.94779999999999998</v>
      </c>
      <c r="F881" s="11">
        <v>0</v>
      </c>
      <c r="G881" s="12">
        <v>0.10396965648032412</v>
      </c>
      <c r="H881" s="12">
        <v>1.4835567432438258E-2</v>
      </c>
      <c r="I881" s="12">
        <v>-9.1082280936166549E-2</v>
      </c>
      <c r="J881" s="12">
        <v>9.8542440412051194E-2</v>
      </c>
      <c r="K881" s="12">
        <v>1.406115081246498E-2</v>
      </c>
      <c r="L881" s="12">
        <v>-8.6327785871298648E-2</v>
      </c>
      <c r="M881" s="12">
        <v>0</v>
      </c>
      <c r="N881" s="12">
        <v>0</v>
      </c>
      <c r="O881" s="12">
        <v>0</v>
      </c>
      <c r="P881">
        <f t="shared" si="39"/>
        <v>4.7158961981653327E-2</v>
      </c>
      <c r="Q881">
        <f t="shared" si="40"/>
        <v>6.7291744938583354E-3</v>
      </c>
      <c r="R881">
        <f t="shared" si="41"/>
        <v>-4.1313455957064017E-2</v>
      </c>
    </row>
    <row r="882" spans="1:18" ht="14">
      <c r="A882" s="36" t="s">
        <v>193</v>
      </c>
      <c r="B882" s="9">
        <v>2017</v>
      </c>
      <c r="C882" s="4">
        <v>-4.4900891403767149</v>
      </c>
      <c r="D882" s="10">
        <v>7.5187969924812035E-3</v>
      </c>
      <c r="E882" s="11">
        <v>1E-4</v>
      </c>
      <c r="F882" s="11">
        <v>4.65E-2</v>
      </c>
      <c r="G882" s="12">
        <v>-7.9063638477637407E-3</v>
      </c>
      <c r="H882" s="12">
        <v>8.4489574451592914E-3</v>
      </c>
      <c r="I882" s="12">
        <v>0</v>
      </c>
      <c r="J882" s="12">
        <v>-7.9063638477637415E-7</v>
      </c>
      <c r="K882" s="12">
        <v>8.4489574451592922E-7</v>
      </c>
      <c r="L882" s="12">
        <v>0</v>
      </c>
      <c r="M882" s="12">
        <v>-3.6764591892101393E-4</v>
      </c>
      <c r="N882" s="12">
        <v>3.9287652119990703E-4</v>
      </c>
      <c r="O882" s="12">
        <v>0</v>
      </c>
      <c r="P882">
        <f t="shared" si="39"/>
        <v>-5.944634472002813E-5</v>
      </c>
      <c r="Q882">
        <f t="shared" si="40"/>
        <v>6.3525995828265348E-5</v>
      </c>
      <c r="R882">
        <f t="shared" si="41"/>
        <v>0</v>
      </c>
    </row>
    <row r="883" spans="1:18" ht="13">
      <c r="A883" s="24" t="s">
        <v>193</v>
      </c>
      <c r="B883" s="9">
        <v>2018</v>
      </c>
      <c r="C883" s="4">
        <v>-4.5042776523702033</v>
      </c>
      <c r="D883" s="10">
        <v>5.7185854025583139E-3</v>
      </c>
      <c r="E883" s="11">
        <v>1E-4</v>
      </c>
      <c r="F883" s="11">
        <v>4.65E-2</v>
      </c>
      <c r="G883" s="12">
        <v>5.9744168547780287E-2</v>
      </c>
      <c r="H883" s="12">
        <v>-5.9367945823927758E-2</v>
      </c>
      <c r="I883" s="12">
        <v>0</v>
      </c>
      <c r="J883" s="12">
        <v>5.9744168547780288E-6</v>
      </c>
      <c r="K883" s="12">
        <v>-5.9367945823927756E-6</v>
      </c>
      <c r="L883" s="12">
        <v>0</v>
      </c>
      <c r="M883" s="12">
        <v>2.7781038374717834E-3</v>
      </c>
      <c r="N883" s="12">
        <v>-2.7606094808126408E-3</v>
      </c>
      <c r="O883" s="12">
        <v>0</v>
      </c>
      <c r="P883">
        <f t="shared" si="39"/>
        <v>3.4165213014531988E-4</v>
      </c>
      <c r="Q883">
        <f t="shared" si="40"/>
        <v>-3.3950066836858607E-4</v>
      </c>
      <c r="R883">
        <f t="shared" si="41"/>
        <v>0</v>
      </c>
    </row>
    <row r="884" spans="1:18" ht="13">
      <c r="A884" s="24" t="s">
        <v>193</v>
      </c>
      <c r="B884" s="9">
        <v>2019</v>
      </c>
      <c r="C884" s="4">
        <v>-4.7863944235150147</v>
      </c>
      <c r="D884" s="10">
        <v>2.6614371760750807E-3</v>
      </c>
      <c r="E884" s="11">
        <v>0</v>
      </c>
      <c r="F884" s="11">
        <v>4.65E-2</v>
      </c>
      <c r="G884" s="12">
        <v>3.8240649950973524E-2</v>
      </c>
      <c r="H884" s="12">
        <v>-3.8730914693934727E-2</v>
      </c>
      <c r="I884" s="12">
        <v>0</v>
      </c>
      <c r="J884" s="12">
        <v>0</v>
      </c>
      <c r="K884" s="12">
        <v>0</v>
      </c>
      <c r="L884" s="12">
        <v>0</v>
      </c>
      <c r="M884" s="12">
        <v>1.7781902227202689E-3</v>
      </c>
      <c r="N884" s="12">
        <v>-1.8009875332679647E-3</v>
      </c>
      <c r="O884" s="12">
        <v>0</v>
      </c>
      <c r="P884">
        <f t="shared" si="39"/>
        <v>1.0177508741679465E-4</v>
      </c>
      <c r="Q884">
        <f t="shared" si="40"/>
        <v>-1.030798962298305E-4</v>
      </c>
      <c r="R884">
        <f t="shared" si="41"/>
        <v>0</v>
      </c>
    </row>
    <row r="885" spans="1:18" ht="13">
      <c r="A885" s="24" t="s">
        <v>193</v>
      </c>
      <c r="B885" s="9">
        <v>2020</v>
      </c>
      <c r="C885" s="4">
        <v>-5.2359826215008187</v>
      </c>
      <c r="D885" s="10">
        <v>6.9103369503141065E-3</v>
      </c>
      <c r="E885" s="11">
        <v>0</v>
      </c>
      <c r="F885" s="11">
        <v>4.2900000000000001E-2</v>
      </c>
      <c r="G885" s="12">
        <v>4.591661907481439E-2</v>
      </c>
      <c r="H885" s="12">
        <v>1.4220445459737295E-2</v>
      </c>
      <c r="I885" s="12">
        <v>0</v>
      </c>
      <c r="J885" s="12">
        <v>0</v>
      </c>
      <c r="K885" s="12">
        <v>0</v>
      </c>
      <c r="L885" s="12">
        <v>0</v>
      </c>
      <c r="M885" s="12">
        <v>1.9698229583095372E-3</v>
      </c>
      <c r="N885" s="12">
        <v>6.1005711022272993E-4</v>
      </c>
      <c r="O885" s="12">
        <v>0</v>
      </c>
      <c r="P885">
        <f t="shared" si="39"/>
        <v>3.1729930942618742E-4</v>
      </c>
      <c r="Q885">
        <f t="shared" si="40"/>
        <v>9.8268069710349108E-5</v>
      </c>
      <c r="R885">
        <f t="shared" si="41"/>
        <v>0</v>
      </c>
    </row>
    <row r="886" spans="1:18" ht="13">
      <c r="A886" s="24" t="s">
        <v>193</v>
      </c>
      <c r="B886" s="9">
        <v>2021</v>
      </c>
      <c r="C886" s="4">
        <v>-5.2437572928222194</v>
      </c>
      <c r="D886" s="10">
        <v>6.7946505608283006E-3</v>
      </c>
      <c r="E886" s="11">
        <v>7.2100000000000004E-5</v>
      </c>
      <c r="F886" s="11">
        <v>4.2900000000000001E-2</v>
      </c>
      <c r="G886" s="12">
        <v>8.9462899050905959E-2</v>
      </c>
      <c r="H886" s="12">
        <v>-2.324201898188093E-2</v>
      </c>
      <c r="I886" s="12">
        <v>-0.12489214840379638</v>
      </c>
      <c r="J886" s="12">
        <v>6.4502750215703198E-6</v>
      </c>
      <c r="K886" s="12">
        <v>-1.6757495685936152E-6</v>
      </c>
      <c r="L886" s="12">
        <v>-9.0047238999137189E-6</v>
      </c>
      <c r="M886" s="12">
        <v>3.8379583692838655E-3</v>
      </c>
      <c r="N886" s="12">
        <v>-9.9708261432269194E-4</v>
      </c>
      <c r="O886" s="12">
        <v>-5.3578731665228649E-3</v>
      </c>
      <c r="P886">
        <f t="shared" si="39"/>
        <v>6.0786913720956384E-4</v>
      </c>
      <c r="Q886">
        <f t="shared" si="40"/>
        <v>-1.5792139731001927E-4</v>
      </c>
      <c r="R886">
        <f t="shared" si="41"/>
        <v>-8.4859850619490641E-4</v>
      </c>
    </row>
    <row r="887" spans="1:18" ht="13">
      <c r="A887" s="24" t="s">
        <v>194</v>
      </c>
      <c r="B887" s="9">
        <v>2017</v>
      </c>
      <c r="C887" s="4">
        <v>-0.87870159484534405</v>
      </c>
      <c r="D887" s="10">
        <v>0.65155863433943595</v>
      </c>
      <c r="E887" s="27">
        <v>0.1613</v>
      </c>
      <c r="F887" s="11">
        <v>1.1999999999999999E-3</v>
      </c>
      <c r="G887" s="12">
        <v>4.0065973940293584E-2</v>
      </c>
      <c r="H887" s="12">
        <v>-6.4331189180273793E-2</v>
      </c>
      <c r="I887" s="12">
        <v>-4.4103579086260926E-2</v>
      </c>
      <c r="J887" s="12">
        <v>6.4626415965693554E-3</v>
      </c>
      <c r="K887" s="12">
        <v>-1.0376620814778163E-2</v>
      </c>
      <c r="L887" s="12">
        <v>-7.1139073066138871E-3</v>
      </c>
      <c r="M887" s="12">
        <v>4.8079168728352299E-5</v>
      </c>
      <c r="N887" s="12">
        <v>-7.7197427016328547E-5</v>
      </c>
      <c r="O887" s="12">
        <v>-5.2924294903513105E-5</v>
      </c>
      <c r="P887">
        <f t="shared" si="39"/>
        <v>2.6105331264017116E-2</v>
      </c>
      <c r="Q887">
        <f t="shared" si="40"/>
        <v>-4.1915541767731088E-2</v>
      </c>
      <c r="R887">
        <f t="shared" si="41"/>
        <v>-2.8736067758925479E-2</v>
      </c>
    </row>
    <row r="888" spans="1:18" ht="13">
      <c r="A888" s="24" t="s">
        <v>194</v>
      </c>
      <c r="B888" s="9">
        <v>2018</v>
      </c>
      <c r="C888" s="4">
        <v>-0.99319540269111628</v>
      </c>
      <c r="D888" s="10">
        <v>0.63798429253895594</v>
      </c>
      <c r="E888" s="11">
        <v>0.16689999999999999</v>
      </c>
      <c r="F888" s="11">
        <v>1.1999999999999999E-3</v>
      </c>
      <c r="G888" s="12">
        <v>0.10397438783422125</v>
      </c>
      <c r="H888" s="12">
        <v>-3.9843925864785773E-2</v>
      </c>
      <c r="I888" s="12">
        <v>-2.9426477576849006E-2</v>
      </c>
      <c r="J888" s="12">
        <v>1.7353325329531526E-2</v>
      </c>
      <c r="K888" s="12">
        <v>-6.6499512268327456E-3</v>
      </c>
      <c r="L888" s="12">
        <v>-4.9112791075760992E-3</v>
      </c>
      <c r="M888" s="12">
        <v>1.2476926540106549E-4</v>
      </c>
      <c r="N888" s="12">
        <v>-4.7812711037742921E-5</v>
      </c>
      <c r="O888" s="12">
        <v>-3.5311773092218804E-5</v>
      </c>
      <c r="P888">
        <f t="shared" si="39"/>
        <v>6.6334026264586676E-2</v>
      </c>
      <c r="Q888">
        <f t="shared" si="40"/>
        <v>-2.5419798854819958E-2</v>
      </c>
      <c r="R888">
        <f t="shared" si="41"/>
        <v>-1.8773630478779463E-2</v>
      </c>
    </row>
    <row r="889" spans="1:18" ht="13">
      <c r="A889" s="24" t="s">
        <v>194</v>
      </c>
      <c r="B889" s="9">
        <v>2019</v>
      </c>
      <c r="C889" s="4">
        <v>-1.3647604424963604</v>
      </c>
      <c r="D889" s="10">
        <v>0.56820847383081663</v>
      </c>
      <c r="E889" s="11">
        <v>0.20499999999999999</v>
      </c>
      <c r="F889" s="11">
        <v>1.1999999999999999E-3</v>
      </c>
      <c r="G889" s="12">
        <v>6.122025118506573E-2</v>
      </c>
      <c r="H889" s="12">
        <v>7.872135073058692E-2</v>
      </c>
      <c r="I889" s="12">
        <v>-1.6682548990861554E-2</v>
      </c>
      <c r="J889" s="12">
        <v>1.2550151492938474E-2</v>
      </c>
      <c r="K889" s="12">
        <v>1.6137876899770316E-2</v>
      </c>
      <c r="L889" s="12">
        <v>-3.4199225431266185E-3</v>
      </c>
      <c r="M889" s="12">
        <v>7.3464301422078866E-5</v>
      </c>
      <c r="N889" s="12">
        <v>9.4465620876704295E-5</v>
      </c>
      <c r="O889" s="12">
        <v>-2.0019058789033865E-5</v>
      </c>
      <c r="P889">
        <f t="shared" si="39"/>
        <v>3.4785865493405441E-2</v>
      </c>
      <c r="Q889">
        <f t="shared" si="40"/>
        <v>4.4730138556527237E-2</v>
      </c>
      <c r="R889">
        <f t="shared" si="41"/>
        <v>-9.4791657017052732E-3</v>
      </c>
    </row>
    <row r="890" spans="1:18" ht="13">
      <c r="A890" s="24" t="s">
        <v>194</v>
      </c>
      <c r="B890" s="9">
        <v>2020</v>
      </c>
      <c r="C890" s="4">
        <v>-0.80479737922134198</v>
      </c>
      <c r="D890" s="10">
        <v>0.66543056773842291</v>
      </c>
      <c r="E890" s="11">
        <v>0.1361</v>
      </c>
      <c r="F890" s="11">
        <v>1.1000000000000001E-3</v>
      </c>
      <c r="G890" s="12">
        <v>9.3723722815401839E-2</v>
      </c>
      <c r="H890" s="12">
        <v>-5.9151265841928556E-2</v>
      </c>
      <c r="I890" s="12">
        <v>-2.6877589909561114E-2</v>
      </c>
      <c r="J890" s="12">
        <v>1.275579867517619E-2</v>
      </c>
      <c r="K890" s="12">
        <v>-8.0504872810864773E-3</v>
      </c>
      <c r="L890" s="12">
        <v>-3.6580399866912678E-3</v>
      </c>
      <c r="M890" s="12">
        <v>1.0309609509694203E-4</v>
      </c>
      <c r="N890" s="12">
        <v>-6.5066392426121414E-5</v>
      </c>
      <c r="O890" s="12">
        <v>-2.9565348900517228E-5</v>
      </c>
      <c r="P890">
        <f t="shared" si="39"/>
        <v>6.2366630083611423E-2</v>
      </c>
      <c r="Q890">
        <f t="shared" si="40"/>
        <v>-3.9361060411640898E-2</v>
      </c>
      <c r="R890">
        <f t="shared" si="41"/>
        <v>-1.7885169912959759E-2</v>
      </c>
    </row>
    <row r="891" spans="1:18" ht="13">
      <c r="A891" s="24" t="s">
        <v>194</v>
      </c>
      <c r="B891" s="9">
        <v>2021</v>
      </c>
      <c r="C891" s="4">
        <v>-0.87892149554882415</v>
      </c>
      <c r="D891" s="10">
        <v>0.64942066206668014</v>
      </c>
      <c r="E891" s="11">
        <v>0.23050000000000001</v>
      </c>
      <c r="F891" s="11">
        <v>1.1000000000000001E-3</v>
      </c>
      <c r="G891" s="12">
        <v>6.0401453374835788E-2</v>
      </c>
      <c r="H891" s="12">
        <v>-0.14330772963440758</v>
      </c>
      <c r="I891" s="12">
        <v>-2.7185684021161515E-2</v>
      </c>
      <c r="J891" s="12">
        <v>1.3922535002899649E-2</v>
      </c>
      <c r="K891" s="12">
        <v>-3.3032431680730945E-2</v>
      </c>
      <c r="L891" s="12">
        <v>-6.2663001668777293E-3</v>
      </c>
      <c r="M891" s="12">
        <v>6.6441598712319369E-5</v>
      </c>
      <c r="N891" s="12">
        <v>-1.5763850259784833E-4</v>
      </c>
      <c r="O891" s="12">
        <v>-2.9904252423277668E-5</v>
      </c>
      <c r="P891">
        <f t="shared" si="39"/>
        <v>3.9225951840475566E-2</v>
      </c>
      <c r="Q891">
        <f t="shared" si="40"/>
        <v>-9.3067000658449764E-2</v>
      </c>
      <c r="R891">
        <f t="shared" si="41"/>
        <v>-1.7654944915758277E-2</v>
      </c>
    </row>
    <row r="892" spans="1:18" ht="13">
      <c r="A892" s="24" t="s">
        <v>195</v>
      </c>
      <c r="B892" s="9">
        <v>2017</v>
      </c>
      <c r="C892" s="4">
        <v>-5.0378294585426238</v>
      </c>
      <c r="D892" s="10">
        <v>2.9783352851094493E-2</v>
      </c>
      <c r="E892" s="11">
        <v>5.0000000000000001E-3</v>
      </c>
      <c r="F892" s="11">
        <v>0</v>
      </c>
      <c r="G892" s="12">
        <v>0.1602107918205567</v>
      </c>
      <c r="H892" s="12">
        <v>7.8821727772272771E-3</v>
      </c>
      <c r="I892" s="12">
        <v>-0.17830600846770558</v>
      </c>
      <c r="J892" s="12">
        <v>8.0105395910278355E-4</v>
      </c>
      <c r="K892" s="12">
        <v>3.9410863886136384E-5</v>
      </c>
      <c r="L892" s="12">
        <v>-8.9153004233852794E-4</v>
      </c>
      <c r="M892" s="12">
        <v>0</v>
      </c>
      <c r="N892" s="12">
        <v>0</v>
      </c>
      <c r="O892" s="12">
        <v>0</v>
      </c>
      <c r="P892">
        <f t="shared" si="39"/>
        <v>4.7716145433448834E-3</v>
      </c>
      <c r="Q892">
        <f t="shared" si="40"/>
        <v>2.3475753305745141E-4</v>
      </c>
      <c r="R892">
        <f t="shared" si="41"/>
        <v>-5.3105507656639175E-3</v>
      </c>
    </row>
    <row r="893" spans="1:18" ht="13">
      <c r="A893" s="24" t="s">
        <v>195</v>
      </c>
      <c r="B893" s="9">
        <v>2018</v>
      </c>
      <c r="C893" s="4">
        <v>-4.5566138637288232</v>
      </c>
      <c r="D893" s="10">
        <v>0.11968071887953401</v>
      </c>
      <c r="E893" s="11">
        <v>5.0000000000000001E-3</v>
      </c>
      <c r="F893" s="11">
        <v>0</v>
      </c>
      <c r="G893" s="12">
        <v>0.20368584805320025</v>
      </c>
      <c r="H893" s="12">
        <v>-5.8070993330086182E-2</v>
      </c>
      <c r="I893" s="12">
        <v>-8.1818272184173119E-2</v>
      </c>
      <c r="J893" s="12">
        <v>1.0184292402660013E-3</v>
      </c>
      <c r="K893" s="12">
        <v>-2.9035496665043092E-4</v>
      </c>
      <c r="L893" s="12">
        <v>-4.0909136092086561E-4</v>
      </c>
      <c r="M893" s="12">
        <v>0</v>
      </c>
      <c r="N893" s="12">
        <v>0</v>
      </c>
      <c r="O893" s="12">
        <v>0</v>
      </c>
      <c r="P893">
        <f t="shared" si="39"/>
        <v>2.4377268720594539E-2</v>
      </c>
      <c r="Q893">
        <f t="shared" si="40"/>
        <v>-6.9499782277933388E-3</v>
      </c>
      <c r="R893">
        <f t="shared" si="41"/>
        <v>-9.792069632483219E-3</v>
      </c>
    </row>
    <row r="894" spans="1:18" ht="13">
      <c r="A894" s="24" t="s">
        <v>195</v>
      </c>
      <c r="B894" s="9">
        <v>2019</v>
      </c>
      <c r="C894" s="4">
        <v>-2.938616616137804</v>
      </c>
      <c r="D894" s="10">
        <v>0.3019099042000829</v>
      </c>
      <c r="E894" s="11">
        <v>5.1799999999999997E-3</v>
      </c>
      <c r="F894" s="11">
        <v>3.0000000000000001E-5</v>
      </c>
      <c r="G894" s="12">
        <v>0.15541281720010724</v>
      </c>
      <c r="H894" s="12">
        <v>-0.32304438973258903</v>
      </c>
      <c r="I894" s="12">
        <v>0.14103064134753673</v>
      </c>
      <c r="J894" s="12">
        <v>8.0503839309655552E-4</v>
      </c>
      <c r="K894" s="12">
        <v>-1.6733699388148111E-3</v>
      </c>
      <c r="L894" s="12">
        <v>7.3053872218024028E-4</v>
      </c>
      <c r="M894" s="12">
        <v>4.6623845160032176E-6</v>
      </c>
      <c r="N894" s="12">
        <v>-9.6913316919776706E-6</v>
      </c>
      <c r="O894" s="12">
        <v>4.2309192404261024E-6</v>
      </c>
      <c r="P894">
        <f t="shared" si="39"/>
        <v>4.6920668752349376E-2</v>
      </c>
      <c r="Q894">
        <f t="shared" si="40"/>
        <v>-9.7530300756540206E-2</v>
      </c>
      <c r="R894">
        <f t="shared" si="41"/>
        <v>4.2578547418511067E-2</v>
      </c>
    </row>
    <row r="895" spans="1:18" ht="13">
      <c r="A895" s="24" t="s">
        <v>195</v>
      </c>
      <c r="B895" s="9">
        <v>2020</v>
      </c>
      <c r="C895" s="4">
        <v>-3.6236536634399408</v>
      </c>
      <c r="D895" s="10">
        <v>0.22897511915037339</v>
      </c>
      <c r="E895" s="11">
        <v>7.1999999999999998E-3</v>
      </c>
      <c r="F895" s="11">
        <v>3.0000000000000001E-5</v>
      </c>
      <c r="G895" s="12">
        <v>0.21188126243104291</v>
      </c>
      <c r="H895" s="12">
        <v>-2.735767628626112E-2</v>
      </c>
      <c r="I895" s="12">
        <v>-0.13782664715227483</v>
      </c>
      <c r="J895" s="12">
        <v>1.5255450895035089E-3</v>
      </c>
      <c r="K895" s="12">
        <v>-1.9697526926108007E-4</v>
      </c>
      <c r="L895" s="12">
        <v>-9.9235185949637884E-4</v>
      </c>
      <c r="M895" s="12">
        <v>6.3564378729312873E-6</v>
      </c>
      <c r="N895" s="12">
        <v>-8.2073028858783367E-7</v>
      </c>
      <c r="O895" s="12">
        <v>-4.1347994145682452E-6</v>
      </c>
      <c r="P895">
        <f t="shared" si="39"/>
        <v>4.8515537310879583E-2</v>
      </c>
      <c r="Q895">
        <f t="shared" si="40"/>
        <v>-6.2642271873239843E-3</v>
      </c>
      <c r="R895">
        <f t="shared" si="41"/>
        <v>-3.1558872953788598E-2</v>
      </c>
    </row>
    <row r="896" spans="1:18" ht="13">
      <c r="A896" s="24" t="s">
        <v>195</v>
      </c>
      <c r="B896" s="9">
        <v>2021</v>
      </c>
      <c r="C896" s="4">
        <v>-3.6097367119839707</v>
      </c>
      <c r="D896" s="10">
        <v>0.22766640190627482</v>
      </c>
      <c r="E896" s="11">
        <v>9.2999999999999992E-3</v>
      </c>
      <c r="F896" s="11">
        <v>3.0000000000000001E-5</v>
      </c>
      <c r="G896" s="12">
        <v>0.20031135822081017</v>
      </c>
      <c r="H896" s="12">
        <v>-6.6135027799841137E-2</v>
      </c>
      <c r="I896" s="12">
        <v>-0.14417791898332011</v>
      </c>
      <c r="J896" s="12">
        <v>1.8628956314535345E-3</v>
      </c>
      <c r="K896" s="12">
        <v>-6.1505575853852256E-4</v>
      </c>
      <c r="L896" s="12">
        <v>-1.3408546465448769E-3</v>
      </c>
      <c r="M896" s="12">
        <v>6.0093407466243052E-6</v>
      </c>
      <c r="N896" s="12">
        <v>-1.9840508339952341E-6</v>
      </c>
      <c r="O896" s="12">
        <v>-4.325337569499603E-6</v>
      </c>
      <c r="P896">
        <f t="shared" si="39"/>
        <v>4.5604166187090754E-2</v>
      </c>
      <c r="Q896">
        <f t="shared" si="40"/>
        <v>-1.505672381916129E-2</v>
      </c>
      <c r="R896">
        <f t="shared" si="41"/>
        <v>-3.2824468049266885E-2</v>
      </c>
    </row>
    <row r="897" spans="1:18" ht="13">
      <c r="A897" s="24" t="s">
        <v>196</v>
      </c>
      <c r="B897" s="9">
        <v>2017</v>
      </c>
      <c r="C897" s="4">
        <v>-1.0399306368546819</v>
      </c>
      <c r="D897" s="10">
        <v>0.6241243584408378</v>
      </c>
      <c r="E897" s="11">
        <v>0.1116</v>
      </c>
      <c r="F897" s="11">
        <v>1.5E-3</v>
      </c>
      <c r="G897" s="12">
        <v>-1.1000398807046745</v>
      </c>
      <c r="H897" s="12">
        <v>1.1216188098210569</v>
      </c>
      <c r="I897" s="12">
        <v>1.6195033985296158E-2</v>
      </c>
      <c r="J897" s="12">
        <v>-0.12276445068664169</v>
      </c>
      <c r="K897" s="12">
        <v>0.12517265917602996</v>
      </c>
      <c r="L897" s="12">
        <v>1.8073657927590513E-3</v>
      </c>
      <c r="M897" s="12">
        <v>-1.6500598210570118E-3</v>
      </c>
      <c r="N897" s="12">
        <v>1.6824282147315853E-3</v>
      </c>
      <c r="O897" s="12">
        <v>2.4292550977944239E-5</v>
      </c>
      <c r="P897">
        <f t="shared" si="39"/>
        <v>-0.6865616848041407</v>
      </c>
      <c r="Q897">
        <f t="shared" si="40"/>
        <v>0.70002962009474323</v>
      </c>
      <c r="R897">
        <f t="shared" si="41"/>
        <v>1.010771519600053E-2</v>
      </c>
    </row>
    <row r="898" spans="1:18" ht="13">
      <c r="A898" s="24" t="s">
        <v>196</v>
      </c>
      <c r="B898" s="9">
        <v>2018</v>
      </c>
      <c r="C898" s="4">
        <v>-0.46296225299760879</v>
      </c>
      <c r="D898" s="10">
        <v>0.71168338016247168</v>
      </c>
      <c r="E898" s="11">
        <v>0.14949999999999999</v>
      </c>
      <c r="F898" s="11">
        <v>6.88E-2</v>
      </c>
      <c r="G898" s="12">
        <v>-4.2222640222898858E-2</v>
      </c>
      <c r="H898" s="12">
        <v>6.6364138676949479E-3</v>
      </c>
      <c r="I898" s="12">
        <v>1.2755551898049635E-3</v>
      </c>
      <c r="J898" s="12">
        <v>-6.3122847133233791E-3</v>
      </c>
      <c r="K898" s="12">
        <v>9.9214387322039467E-4</v>
      </c>
      <c r="L898" s="12">
        <v>1.9069550087584203E-4</v>
      </c>
      <c r="M898" s="12">
        <v>-2.9049176473354412E-3</v>
      </c>
      <c r="N898" s="12">
        <v>4.5658527409741243E-4</v>
      </c>
      <c r="O898" s="12">
        <v>8.7758197058581484E-5</v>
      </c>
      <c r="P898">
        <f t="shared" si="39"/>
        <v>-3.0049151313216595E-2</v>
      </c>
      <c r="Q898">
        <f t="shared" si="40"/>
        <v>4.7230254535182425E-3</v>
      </c>
      <c r="R898">
        <f t="shared" si="41"/>
        <v>9.077914290641795E-4</v>
      </c>
    </row>
    <row r="899" spans="1:18" ht="13">
      <c r="A899" s="24" t="s">
        <v>196</v>
      </c>
      <c r="B899" s="9">
        <v>2019</v>
      </c>
      <c r="C899" s="4">
        <v>-0.45120777923925859</v>
      </c>
      <c r="D899" s="10">
        <v>0.71441194251964835</v>
      </c>
      <c r="E899" s="11">
        <v>0.1484</v>
      </c>
      <c r="F899" s="11">
        <v>4.7800000000000002E-2</v>
      </c>
      <c r="G899" s="12">
        <v>0.14569543267864432</v>
      </c>
      <c r="H899" s="12">
        <v>-0.19809122241341001</v>
      </c>
      <c r="I899" s="12">
        <v>5.3031359965276158E-2</v>
      </c>
      <c r="J899" s="12">
        <v>2.1621202209510818E-2</v>
      </c>
      <c r="K899" s="12">
        <v>-2.9396737406150047E-2</v>
      </c>
      <c r="L899" s="12">
        <v>7.8698538188469828E-3</v>
      </c>
      <c r="M899" s="12">
        <v>6.9642416820391989E-3</v>
      </c>
      <c r="N899" s="12">
        <v>-9.4687604313609987E-3</v>
      </c>
      <c r="O899" s="12">
        <v>2.5348990063402002E-3</v>
      </c>
      <c r="P899">
        <f t="shared" ref="P899:P962" si="42">G899*D899</f>
        <v>0.10408655707619094</v>
      </c>
      <c r="Q899">
        <f t="shared" ref="Q899:Q962" si="43">H899*D899</f>
        <v>-0.14151873500045595</v>
      </c>
      <c r="R899">
        <f t="shared" ref="R899:R962" si="44">I899*D899</f>
        <v>3.7886236887251651E-2</v>
      </c>
    </row>
    <row r="900" spans="1:18" ht="13">
      <c r="A900" s="24" t="s">
        <v>196</v>
      </c>
      <c r="B900" s="9">
        <v>2020</v>
      </c>
      <c r="C900" s="4">
        <v>0.68583348463111693</v>
      </c>
      <c r="D900" s="10">
        <v>0.89399065622771245</v>
      </c>
      <c r="E900" s="11">
        <v>0.1479</v>
      </c>
      <c r="F900" s="11">
        <v>2.7000000000000001E-3</v>
      </c>
      <c r="G900" s="12">
        <v>-3.336031220700543E-2</v>
      </c>
      <c r="H900" s="12">
        <v>-5.9005200778914815E-2</v>
      </c>
      <c r="I900" s="12">
        <v>0.11413185457051503</v>
      </c>
      <c r="J900" s="12">
        <v>-4.9339901754161036E-3</v>
      </c>
      <c r="K900" s="12">
        <v>-8.7268691952015007E-3</v>
      </c>
      <c r="L900" s="12">
        <v>1.6880101290979173E-2</v>
      </c>
      <c r="M900" s="12">
        <v>-9.0072842958914667E-5</v>
      </c>
      <c r="N900" s="12">
        <v>-1.5931404210307E-4</v>
      </c>
      <c r="O900" s="12">
        <v>3.0815600734039058E-4</v>
      </c>
      <c r="P900">
        <f t="shared" si="42"/>
        <v>-2.9823807401902151E-2</v>
      </c>
      <c r="Q900">
        <f t="shared" si="43"/>
        <v>-5.2750098165189989E-2</v>
      </c>
      <c r="R900">
        <f t="shared" si="44"/>
        <v>0.10203281156398057</v>
      </c>
    </row>
    <row r="901" spans="1:18" ht="13">
      <c r="A901" s="24" t="s">
        <v>196</v>
      </c>
      <c r="B901" s="9">
        <v>2021</v>
      </c>
      <c r="C901" s="4">
        <v>-0.12037633069658754</v>
      </c>
      <c r="D901" s="10">
        <v>0.77997795394593183</v>
      </c>
      <c r="E901" s="11">
        <v>0.1479</v>
      </c>
      <c r="F901" s="11">
        <v>4.0000000000000001E-3</v>
      </c>
      <c r="G901" s="12">
        <v>2.1527833143261222E-2</v>
      </c>
      <c r="H901" s="12">
        <v>-1.8720080974186013E-2</v>
      </c>
      <c r="I901" s="12">
        <v>1.8805006811398781E-2</v>
      </c>
      <c r="J901" s="12">
        <v>3.1839665218883349E-3</v>
      </c>
      <c r="K901" s="12">
        <v>-2.7686999760821113E-3</v>
      </c>
      <c r="L901" s="12">
        <v>2.7812605074058797E-3</v>
      </c>
      <c r="M901" s="12">
        <v>8.6111332573044885E-5</v>
      </c>
      <c r="N901" s="12">
        <v>-7.4880323896744049E-5</v>
      </c>
      <c r="O901" s="12">
        <v>7.5220027245595118E-5</v>
      </c>
      <c r="P901">
        <f t="shared" si="42"/>
        <v>1.6791235247970306E-2</v>
      </c>
      <c r="Q901">
        <f t="shared" si="43"/>
        <v>-1.4601250455947772E-2</v>
      </c>
      <c r="R901">
        <f t="shared" si="44"/>
        <v>1.4667490736694133E-2</v>
      </c>
    </row>
    <row r="902" spans="1:18" ht="13">
      <c r="A902" s="24" t="s">
        <v>197</v>
      </c>
      <c r="B902" s="9">
        <v>2017</v>
      </c>
      <c r="C902" s="4">
        <v>-4.027100906967374</v>
      </c>
      <c r="D902" s="10">
        <v>0.12738390980317216</v>
      </c>
      <c r="E902" s="11">
        <v>4.1599999999999998E-2</v>
      </c>
      <c r="F902" s="11">
        <v>0.47860000000000003</v>
      </c>
      <c r="G902" s="12">
        <v>3.1053939070876117E-2</v>
      </c>
      <c r="H902" s="12">
        <v>3.8122441590312493E-2</v>
      </c>
      <c r="I902" s="12">
        <v>-6.2542367767306664E-2</v>
      </c>
      <c r="J902" s="12">
        <v>1.2918438653484463E-3</v>
      </c>
      <c r="K902" s="12">
        <v>1.5858935701569996E-3</v>
      </c>
      <c r="L902" s="12">
        <v>-2.6017624991199573E-3</v>
      </c>
      <c r="M902" s="12">
        <v>1.486241523932131E-2</v>
      </c>
      <c r="N902" s="12">
        <v>1.8245400545123559E-2</v>
      </c>
      <c r="O902" s="12">
        <v>-2.993277721343297E-2</v>
      </c>
      <c r="P902">
        <f t="shared" si="42"/>
        <v>3.9557721736376873E-3</v>
      </c>
      <c r="Q902">
        <f t="shared" si="43"/>
        <v>4.8561856610170656E-3</v>
      </c>
      <c r="R902">
        <f t="shared" si="44"/>
        <v>-7.9668913345474143E-3</v>
      </c>
    </row>
    <row r="903" spans="1:18" ht="13">
      <c r="A903" s="24" t="s">
        <v>197</v>
      </c>
      <c r="B903" s="9">
        <v>2018</v>
      </c>
      <c r="C903" s="4">
        <v>-3.5754193337511522</v>
      </c>
      <c r="D903" s="10">
        <v>0.17060785219931002</v>
      </c>
      <c r="E903" s="11">
        <v>4.3999999999999997E-2</v>
      </c>
      <c r="F903" s="11">
        <v>0.4919</v>
      </c>
      <c r="G903" s="12">
        <v>0.11467056853942496</v>
      </c>
      <c r="H903" s="12">
        <v>-0.1120088060614545</v>
      </c>
      <c r="I903" s="12">
        <v>-6.7286210421145284E-2</v>
      </c>
      <c r="J903" s="12">
        <v>5.0455050157346979E-3</v>
      </c>
      <c r="K903" s="12">
        <v>-4.9283874667039977E-3</v>
      </c>
      <c r="L903" s="12">
        <v>-2.9605932585303925E-3</v>
      </c>
      <c r="M903" s="12">
        <v>5.6406452664543139E-2</v>
      </c>
      <c r="N903" s="12">
        <v>-5.509713170162947E-2</v>
      </c>
      <c r="O903" s="12">
        <v>-3.3098086906161367E-2</v>
      </c>
      <c r="P903">
        <f t="shared" si="42"/>
        <v>1.9563699408985065E-2</v>
      </c>
      <c r="Q903">
        <f t="shared" si="43"/>
        <v>-1.9109581829553808E-2</v>
      </c>
      <c r="R903">
        <f t="shared" si="44"/>
        <v>-1.1479555842582428E-2</v>
      </c>
    </row>
    <row r="904" spans="1:18" ht="13">
      <c r="A904" s="24" t="s">
        <v>197</v>
      </c>
      <c r="B904" s="9">
        <v>2019</v>
      </c>
      <c r="C904" s="4">
        <v>-2.0118815811152944</v>
      </c>
      <c r="D904" s="10">
        <v>0.45475260496083109</v>
      </c>
      <c r="E904" s="27">
        <v>0.13300000000000001</v>
      </c>
      <c r="F904" s="11">
        <v>6.3E-2</v>
      </c>
      <c r="G904" s="12">
        <v>0.18146043704301876</v>
      </c>
      <c r="H904" s="12">
        <v>-0.23774003332593299</v>
      </c>
      <c r="I904" s="12">
        <v>5.5944141247307212E-2</v>
      </c>
      <c r="J904" s="12">
        <v>2.4134238126721497E-2</v>
      </c>
      <c r="K904" s="12">
        <v>-3.1619424432349087E-2</v>
      </c>
      <c r="L904" s="12">
        <v>7.4405707858918599E-3</v>
      </c>
      <c r="M904" s="12">
        <v>1.1432007533710181E-2</v>
      </c>
      <c r="N904" s="12">
        <v>-1.4977622099533778E-2</v>
      </c>
      <c r="O904" s="12">
        <v>3.5244808985803542E-3</v>
      </c>
      <c r="P904">
        <f t="shared" si="42"/>
        <v>8.2519606442643667E-2</v>
      </c>
      <c r="Q904">
        <f t="shared" si="43"/>
        <v>-0.10811289945844282</v>
      </c>
      <c r="R904">
        <f t="shared" si="44"/>
        <v>2.5440743964509634E-2</v>
      </c>
    </row>
    <row r="905" spans="1:18" ht="13">
      <c r="A905" s="24" t="s">
        <v>197</v>
      </c>
      <c r="B905" s="9">
        <v>2020</v>
      </c>
      <c r="C905" s="4">
        <v>-3.3370549614793026</v>
      </c>
      <c r="D905" s="10">
        <v>0.24448047693920336</v>
      </c>
      <c r="E905" s="27">
        <v>0.13300000000000001</v>
      </c>
      <c r="F905" s="11">
        <v>6.3E-2</v>
      </c>
      <c r="G905" s="12">
        <v>-0.1089300532844165</v>
      </c>
      <c r="H905" s="12">
        <v>-0.16745283018867924</v>
      </c>
      <c r="I905" s="12">
        <v>0.32324332488935476</v>
      </c>
      <c r="J905" s="12">
        <v>-1.4487697086827395E-2</v>
      </c>
      <c r="K905" s="12">
        <v>-2.2271226415094339E-2</v>
      </c>
      <c r="L905" s="12">
        <v>4.2991362210284184E-2</v>
      </c>
      <c r="M905" s="12">
        <v>-6.8625933569182399E-3</v>
      </c>
      <c r="N905" s="12">
        <v>-1.0549528301886792E-2</v>
      </c>
      <c r="O905" s="12">
        <v>2.0364329468029348E-2</v>
      </c>
      <c r="P905">
        <f t="shared" si="42"/>
        <v>-2.6631271379986981E-2</v>
      </c>
      <c r="Q905">
        <f t="shared" si="43"/>
        <v>-4.0938947789347729E-2</v>
      </c>
      <c r="R905">
        <f t="shared" si="44"/>
        <v>7.9026682236363319E-2</v>
      </c>
    </row>
    <row r="906" spans="1:18" ht="13">
      <c r="A906" s="24" t="s">
        <v>197</v>
      </c>
      <c r="B906" s="9">
        <v>2021</v>
      </c>
      <c r="C906" s="4">
        <v>-3.6704459003351735</v>
      </c>
      <c r="D906" s="10">
        <v>0.15117179036861533</v>
      </c>
      <c r="E906" s="11">
        <v>4.24E-2</v>
      </c>
      <c r="F906" s="11">
        <v>3.4500000000000003E-2</v>
      </c>
      <c r="G906" s="12">
        <v>4.3045644824316782E-3</v>
      </c>
      <c r="H906" s="12">
        <v>-0.10584811902584063</v>
      </c>
      <c r="I906" s="12">
        <v>0.14887843767786196</v>
      </c>
      <c r="J906" s="12">
        <v>1.8251353405510315E-4</v>
      </c>
      <c r="K906" s="12">
        <v>-4.4879602466956423E-3</v>
      </c>
      <c r="L906" s="12">
        <v>6.3124457575413472E-3</v>
      </c>
      <c r="M906" s="12">
        <v>1.4850747464389291E-4</v>
      </c>
      <c r="N906" s="12">
        <v>-3.6517601063915019E-3</v>
      </c>
      <c r="O906" s="12">
        <v>5.1363060998862384E-3</v>
      </c>
      <c r="P906">
        <f t="shared" si="42"/>
        <v>6.5072871956634883E-4</v>
      </c>
      <c r="Q906">
        <f t="shared" si="43"/>
        <v>-1.6001249660286623E-2</v>
      </c>
      <c r="R906">
        <f t="shared" si="44"/>
        <v>2.2506219971044711E-2</v>
      </c>
    </row>
    <row r="907" spans="1:18" ht="13">
      <c r="A907" s="24" t="s">
        <v>198</v>
      </c>
      <c r="B907" s="9">
        <v>2017</v>
      </c>
      <c r="C907" s="4">
        <v>-3.4148973215002942</v>
      </c>
      <c r="D907" s="10">
        <v>0.24669261615532062</v>
      </c>
      <c r="E907" s="27">
        <v>0.14610000000000001</v>
      </c>
      <c r="F907" s="11">
        <v>2.0999999999999999E-3</v>
      </c>
      <c r="G907" s="12">
        <v>0.28602843468137396</v>
      </c>
      <c r="H907" s="12">
        <v>-7.9165539706245514E-2</v>
      </c>
      <c r="I907" s="12">
        <v>-9.0254830250361601E-2</v>
      </c>
      <c r="J907" s="12">
        <v>4.1788754306948735E-2</v>
      </c>
      <c r="K907" s="12">
        <v>-1.1566085351082471E-2</v>
      </c>
      <c r="L907" s="12">
        <v>-1.318623069957783E-2</v>
      </c>
      <c r="M907" s="12">
        <v>6.0065971283088527E-4</v>
      </c>
      <c r="N907" s="12">
        <v>-1.6624763338311558E-4</v>
      </c>
      <c r="O907" s="12">
        <v>-1.8953514352575935E-4</v>
      </c>
      <c r="P907">
        <f t="shared" si="42"/>
        <v>7.0561102846359386E-2</v>
      </c>
      <c r="Q907">
        <f t="shared" si="43"/>
        <v>-1.9529554099481618E-2</v>
      </c>
      <c r="R907">
        <f t="shared" si="44"/>
        <v>-2.2265200195116075E-2</v>
      </c>
    </row>
    <row r="908" spans="1:18" ht="13">
      <c r="A908" s="24" t="s">
        <v>198</v>
      </c>
      <c r="B908" s="9">
        <v>2018</v>
      </c>
      <c r="C908" s="4">
        <v>-3.0720168946824935</v>
      </c>
      <c r="D908" s="10">
        <v>0.29747530186608129</v>
      </c>
      <c r="E908" s="11">
        <v>0.13700000000000001</v>
      </c>
      <c r="F908" s="11">
        <v>2.0999999999999999E-3</v>
      </c>
      <c r="G908" s="12">
        <v>9.7356299434738461E-2</v>
      </c>
      <c r="H908" s="12">
        <v>-0.10238312627594201</v>
      </c>
      <c r="I908" s="12">
        <v>-1.5747304492341782E-2</v>
      </c>
      <c r="J908" s="12">
        <v>1.333781302255917E-2</v>
      </c>
      <c r="K908" s="12">
        <v>-1.4026488299804057E-2</v>
      </c>
      <c r="L908" s="12">
        <v>-2.1573807154508244E-3</v>
      </c>
      <c r="M908" s="12">
        <v>2.0444822881295074E-4</v>
      </c>
      <c r="N908" s="12">
        <v>-2.150045651794782E-4</v>
      </c>
      <c r="O908" s="12">
        <v>-3.3069339433917739E-5</v>
      </c>
      <c r="P908">
        <f t="shared" si="42"/>
        <v>2.8961094562913424E-2</v>
      </c>
      <c r="Q908">
        <f t="shared" si="43"/>
        <v>-3.0456451394928967E-2</v>
      </c>
      <c r="R908">
        <f t="shared" si="44"/>
        <v>-4.6844341574364696E-3</v>
      </c>
    </row>
    <row r="909" spans="1:18" ht="13">
      <c r="A909" s="24" t="s">
        <v>198</v>
      </c>
      <c r="B909" s="9">
        <v>2019</v>
      </c>
      <c r="C909" s="4">
        <v>-3.1856255974093872</v>
      </c>
      <c r="D909" s="10">
        <v>0.27120681397729302</v>
      </c>
      <c r="E909" s="11">
        <v>0.14000000000000001</v>
      </c>
      <c r="F909" s="11">
        <v>1.8E-3</v>
      </c>
      <c r="G909" s="12">
        <v>0.15691117225576834</v>
      </c>
      <c r="H909" s="12">
        <v>-9.5438879863269696E-2</v>
      </c>
      <c r="I909" s="12">
        <v>-4.7799261881732044E-2</v>
      </c>
      <c r="J909" s="12">
        <v>2.196756411580757E-2</v>
      </c>
      <c r="K909" s="12">
        <v>-1.3361443180857758E-2</v>
      </c>
      <c r="L909" s="12">
        <v>-6.6918966634424868E-3</v>
      </c>
      <c r="M909" s="12">
        <v>2.8244011006038302E-4</v>
      </c>
      <c r="N909" s="12">
        <v>-1.7178998375388545E-4</v>
      </c>
      <c r="O909" s="12">
        <v>-8.6038671387117673E-5</v>
      </c>
      <c r="P909">
        <f t="shared" si="42"/>
        <v>4.2555379104929146E-2</v>
      </c>
      <c r="Q909">
        <f t="shared" si="43"/>
        <v>-2.5883674537279001E-2</v>
      </c>
      <c r="R909">
        <f t="shared" si="44"/>
        <v>-1.2963485525410816E-2</v>
      </c>
    </row>
    <row r="910" spans="1:18" ht="13">
      <c r="A910" s="24" t="s">
        <v>198</v>
      </c>
      <c r="B910" s="9">
        <v>2020</v>
      </c>
      <c r="C910" s="4">
        <v>-2.9111485091066762</v>
      </c>
      <c r="D910" s="10">
        <v>0.32838777660695467</v>
      </c>
      <c r="E910" s="11">
        <v>9.1399999999999995E-2</v>
      </c>
      <c r="F910" s="11">
        <v>0</v>
      </c>
      <c r="G910" s="12">
        <v>0.1075763962065332</v>
      </c>
      <c r="H910" s="12">
        <v>-8.5732349841938879E-2</v>
      </c>
      <c r="I910" s="12">
        <v>-0.11474183350895679</v>
      </c>
      <c r="J910" s="12">
        <v>9.832482613277134E-3</v>
      </c>
      <c r="K910" s="12">
        <v>-7.8359367755532136E-3</v>
      </c>
      <c r="L910" s="12">
        <v>-1.048740358271865E-2</v>
      </c>
      <c r="M910" s="12">
        <v>0</v>
      </c>
      <c r="N910" s="12">
        <v>0</v>
      </c>
      <c r="O910" s="12">
        <v>0</v>
      </c>
      <c r="P910">
        <f t="shared" si="42"/>
        <v>3.5326773565652267E-2</v>
      </c>
      <c r="Q910">
        <f t="shared" si="43"/>
        <v>-2.8153455747883912E-2</v>
      </c>
      <c r="R910">
        <f t="shared" si="44"/>
        <v>-3.7679815589811691E-2</v>
      </c>
    </row>
    <row r="911" spans="1:18" ht="13">
      <c r="A911" s="24" t="s">
        <v>198</v>
      </c>
      <c r="B911" s="9">
        <v>2021</v>
      </c>
      <c r="C911" s="4">
        <v>-2.9014254177050729</v>
      </c>
      <c r="D911" s="10">
        <v>0.34743307974077203</v>
      </c>
      <c r="E911" s="11">
        <v>3.8800000000000001E-2</v>
      </c>
      <c r="F911" s="11">
        <v>0</v>
      </c>
      <c r="G911" s="12">
        <v>-2.1763877148492532E-2</v>
      </c>
      <c r="H911" s="12">
        <v>8.4237813468582695E-2</v>
      </c>
      <c r="I911" s="12">
        <v>-9.2240067624683009E-2</v>
      </c>
      <c r="J911" s="12">
        <v>-8.4443843336151029E-4</v>
      </c>
      <c r="K911" s="12">
        <v>3.2684271625810085E-3</v>
      </c>
      <c r="L911" s="12">
        <v>-3.578914623837701E-3</v>
      </c>
      <c r="M911" s="12">
        <v>0</v>
      </c>
      <c r="N911" s="12">
        <v>0</v>
      </c>
      <c r="O911" s="12">
        <v>0</v>
      </c>
      <c r="P911">
        <f t="shared" si="42"/>
        <v>-7.561490864800572E-3</v>
      </c>
      <c r="Q911">
        <f t="shared" si="43"/>
        <v>2.9267002964018372E-2</v>
      </c>
      <c r="R911">
        <f t="shared" si="44"/>
        <v>-3.2047250770340693E-2</v>
      </c>
    </row>
    <row r="912" spans="1:18" ht="13">
      <c r="A912" s="24" t="s">
        <v>199</v>
      </c>
      <c r="B912" s="9">
        <v>2017</v>
      </c>
      <c r="C912" s="4">
        <v>-0.90185896621279582</v>
      </c>
      <c r="D912" s="10">
        <v>0.6469568884291258</v>
      </c>
      <c r="E912" s="11">
        <v>0.49</v>
      </c>
      <c r="F912" s="11">
        <v>0</v>
      </c>
      <c r="G912" s="12">
        <v>9.4199078863272473E-2</v>
      </c>
      <c r="H912" s="12">
        <v>-3.9800618044528197E-2</v>
      </c>
      <c r="I912" s="12">
        <v>-4.3154399119714831E-2</v>
      </c>
      <c r="J912" s="12">
        <v>4.6157548643003511E-2</v>
      </c>
      <c r="K912" s="12">
        <v>-1.9502302841818815E-2</v>
      </c>
      <c r="L912" s="12">
        <v>-2.1145655568660267E-2</v>
      </c>
      <c r="M912" s="12">
        <v>0</v>
      </c>
      <c r="N912" s="12">
        <v>0</v>
      </c>
      <c r="O912" s="12">
        <v>0</v>
      </c>
      <c r="P912">
        <f t="shared" si="42"/>
        <v>6.0942742954272593E-2</v>
      </c>
      <c r="Q912">
        <f t="shared" si="43"/>
        <v>-2.5749284007644081E-2</v>
      </c>
      <c r="R912">
        <f t="shared" si="44"/>
        <v>-2.7919035776519312E-2</v>
      </c>
    </row>
    <row r="913" spans="1:18" ht="13">
      <c r="A913" s="24" t="s">
        <v>199</v>
      </c>
      <c r="B913" s="9">
        <v>2018</v>
      </c>
      <c r="C913" s="4">
        <v>-1.2058071915122193</v>
      </c>
      <c r="D913" s="10">
        <v>0.60693862342293514</v>
      </c>
      <c r="E913" s="11">
        <v>0.4884</v>
      </c>
      <c r="F913" s="11">
        <v>0</v>
      </c>
      <c r="G913" s="12">
        <v>2.6520248942977772E-2</v>
      </c>
      <c r="H913" s="12">
        <v>2.4500127797298089E-2</v>
      </c>
      <c r="I913" s="12">
        <v>-2.456787576254954E-2</v>
      </c>
      <c r="J913" s="12">
        <v>1.2952489583750344E-2</v>
      </c>
      <c r="K913" s="12">
        <v>1.1965862416200387E-2</v>
      </c>
      <c r="L913" s="12">
        <v>-1.1998950522429195E-2</v>
      </c>
      <c r="M913" s="12">
        <v>0</v>
      </c>
      <c r="N913" s="12">
        <v>0</v>
      </c>
      <c r="O913" s="12">
        <v>0</v>
      </c>
      <c r="P913">
        <f t="shared" si="42"/>
        <v>1.609616338628448E-2</v>
      </c>
      <c r="Q913">
        <f t="shared" si="43"/>
        <v>1.4870073838978089E-2</v>
      </c>
      <c r="R913">
        <f t="shared" si="44"/>
        <v>-1.491119269574751E-2</v>
      </c>
    </row>
    <row r="914" spans="1:18" ht="13">
      <c r="A914" s="24" t="s">
        <v>199</v>
      </c>
      <c r="B914" s="9">
        <v>2019</v>
      </c>
      <c r="C914" s="4">
        <v>-1.7182674241495866</v>
      </c>
      <c r="D914" s="10">
        <v>0.51236485561790057</v>
      </c>
      <c r="E914" s="11">
        <v>0.48580000000000001</v>
      </c>
      <c r="F914" s="11">
        <v>0</v>
      </c>
      <c r="G914" s="12">
        <v>0.1802723415902559</v>
      </c>
      <c r="H914" s="12">
        <v>-2.7483919529218557E-2</v>
      </c>
      <c r="I914" s="12">
        <v>-0.14974681811961132</v>
      </c>
      <c r="J914" s="12">
        <v>8.7576303544546319E-2</v>
      </c>
      <c r="K914" s="12">
        <v>-1.3351688107294375E-2</v>
      </c>
      <c r="L914" s="12">
        <v>-7.2747004242507185E-2</v>
      </c>
      <c r="M914" s="12">
        <v>0</v>
      </c>
      <c r="N914" s="12">
        <v>0</v>
      </c>
      <c r="O914" s="12">
        <v>0</v>
      </c>
      <c r="P914">
        <f t="shared" si="42"/>
        <v>9.2365212270792321E-2</v>
      </c>
      <c r="Q914">
        <f t="shared" si="43"/>
        <v>-1.4081794461402064E-2</v>
      </c>
      <c r="R914">
        <f t="shared" si="44"/>
        <v>-7.6725006845094673E-2</v>
      </c>
    </row>
    <row r="915" spans="1:18" ht="13">
      <c r="A915" s="24" t="s">
        <v>199</v>
      </c>
      <c r="B915" s="9">
        <v>2020</v>
      </c>
      <c r="C915" s="4">
        <v>-2.1615582331148109</v>
      </c>
      <c r="D915" s="10">
        <v>0.44942918002163673</v>
      </c>
      <c r="E915" s="11">
        <v>0.44529999999999997</v>
      </c>
      <c r="F915" s="11">
        <v>0</v>
      </c>
      <c r="G915" s="12">
        <v>0.12990774151497436</v>
      </c>
      <c r="H915" s="12">
        <v>-1.1349204749329732E-2</v>
      </c>
      <c r="I915" s="12">
        <v>-9.7459363933853418E-2</v>
      </c>
      <c r="J915" s="12">
        <v>5.7847917296618083E-2</v>
      </c>
      <c r="K915" s="12">
        <v>-5.0538008748765295E-3</v>
      </c>
      <c r="L915" s="12">
        <v>-4.3398654759744922E-2</v>
      </c>
      <c r="M915" s="12">
        <v>0</v>
      </c>
      <c r="N915" s="12">
        <v>0</v>
      </c>
      <c r="O915" s="12">
        <v>0</v>
      </c>
      <c r="P915">
        <f t="shared" si="42"/>
        <v>5.8384329747537662E-2</v>
      </c>
      <c r="Q915">
        <f t="shared" si="43"/>
        <v>-5.1006637843889263E-3</v>
      </c>
      <c r="R915">
        <f t="shared" si="44"/>
        <v>-4.3801082018222019E-2</v>
      </c>
    </row>
    <row r="916" spans="1:18" ht="13">
      <c r="A916" s="24" t="s">
        <v>199</v>
      </c>
      <c r="B916" s="9">
        <v>2021</v>
      </c>
      <c r="C916" s="4">
        <v>-1.4849877635534596</v>
      </c>
      <c r="D916" s="10">
        <v>0.52624924093068137</v>
      </c>
      <c r="E916" s="11">
        <v>0.46179999999999999</v>
      </c>
      <c r="F916" s="11">
        <v>7.0000000000000001E-3</v>
      </c>
      <c r="G916" s="12">
        <v>-2.4753285141096776E-2</v>
      </c>
      <c r="H916" s="12">
        <v>-3.2375866170880022E-2</v>
      </c>
      <c r="I916" s="12">
        <v>5.2298836232354241E-2</v>
      </c>
      <c r="J916" s="12">
        <v>-1.1431067078158491E-2</v>
      </c>
      <c r="K916" s="12">
        <v>-1.4951174997712393E-2</v>
      </c>
      <c r="L916" s="12">
        <v>2.4151602572101187E-2</v>
      </c>
      <c r="M916" s="12">
        <v>-1.7327299598767743E-4</v>
      </c>
      <c r="N916" s="12">
        <v>-2.2663106319616014E-4</v>
      </c>
      <c r="O916" s="12">
        <v>3.660918536264797E-4</v>
      </c>
      <c r="P916">
        <f t="shared" si="42"/>
        <v>-1.3026397516042893E-2</v>
      </c>
      <c r="Q916">
        <f t="shared" si="43"/>
        <v>-1.7037774996898937E-2</v>
      </c>
      <c r="R916">
        <f t="shared" si="44"/>
        <v>2.7522222868834434E-2</v>
      </c>
    </row>
    <row r="917" spans="1:18" ht="13">
      <c r="A917" s="24" t="s">
        <v>200</v>
      </c>
      <c r="B917" s="9">
        <v>2017</v>
      </c>
      <c r="C917" s="4">
        <v>-4.1710794855894848</v>
      </c>
      <c r="D917" s="10">
        <v>8.8213778561900255E-2</v>
      </c>
      <c r="E917" s="11">
        <v>2.69E-2</v>
      </c>
      <c r="F917" s="11">
        <v>5.3499999999999999E-2</v>
      </c>
      <c r="G917" s="12">
        <v>0.15426653470459142</v>
      </c>
      <c r="H917" s="12">
        <v>-1.3597831231980724E-2</v>
      </c>
      <c r="I917" s="12">
        <v>-0.11123542321098155</v>
      </c>
      <c r="J917" s="12">
        <v>4.1497697835535096E-3</v>
      </c>
      <c r="K917" s="12">
        <v>-3.657816601402815E-4</v>
      </c>
      <c r="L917" s="12">
        <v>-2.9922328843754037E-3</v>
      </c>
      <c r="M917" s="12">
        <v>8.2532596066956405E-3</v>
      </c>
      <c r="N917" s="12">
        <v>-7.2748397091096872E-4</v>
      </c>
      <c r="O917" s="12">
        <v>-5.9510951417875132E-3</v>
      </c>
      <c r="P917">
        <f t="shared" si="42"/>
        <v>1.3608433931942528E-2</v>
      </c>
      <c r="Q917">
        <f t="shared" si="43"/>
        <v>-1.1995160732200388E-3</v>
      </c>
      <c r="R917">
        <f t="shared" si="44"/>
        <v>-9.8124969913727864E-3</v>
      </c>
    </row>
    <row r="918" spans="1:18" ht="13">
      <c r="A918" s="24" t="s">
        <v>200</v>
      </c>
      <c r="B918" s="9">
        <v>2018</v>
      </c>
      <c r="C918" s="4">
        <v>-4.1778834805796938</v>
      </c>
      <c r="D918" s="10">
        <v>7.9270446917505732E-2</v>
      </c>
      <c r="E918" s="27">
        <v>3.3599999999999998E-2</v>
      </c>
      <c r="F918" s="11">
        <v>8.9999999999999998E-4</v>
      </c>
      <c r="G918" s="12">
        <v>0.10629747394453277</v>
      </c>
      <c r="H918" s="12">
        <v>-7.4633456986398158E-3</v>
      </c>
      <c r="I918" s="12">
        <v>-7.7415650945062711E-2</v>
      </c>
      <c r="J918" s="12">
        <v>3.5715951245363009E-3</v>
      </c>
      <c r="K918" s="12">
        <v>-2.5076841547429782E-4</v>
      </c>
      <c r="L918" s="12">
        <v>-2.6011658717541067E-3</v>
      </c>
      <c r="M918" s="12">
        <v>9.5667726550079489E-5</v>
      </c>
      <c r="N918" s="12">
        <v>-6.7170111287758338E-6</v>
      </c>
      <c r="O918" s="12">
        <v>-6.9674085850556438E-5</v>
      </c>
      <c r="P918">
        <f t="shared" si="42"/>
        <v>8.4262482657850336E-3</v>
      </c>
      <c r="Q918">
        <f t="shared" si="43"/>
        <v>-5.916227490310223E-4</v>
      </c>
      <c r="R918">
        <f t="shared" si="44"/>
        <v>-6.1367732488247463E-3</v>
      </c>
    </row>
    <row r="919" spans="1:18" ht="13">
      <c r="A919" s="24" t="s">
        <v>200</v>
      </c>
      <c r="B919" s="9">
        <v>2019</v>
      </c>
      <c r="C919" s="4">
        <v>-4.1819282035102106</v>
      </c>
      <c r="D919" s="10">
        <v>8.594407556345271E-2</v>
      </c>
      <c r="E919" s="11">
        <v>2.9499999999999998E-2</v>
      </c>
      <c r="F919" s="11">
        <v>8.9999999999999998E-4</v>
      </c>
      <c r="G919" s="12">
        <v>0.1287290750958571</v>
      </c>
      <c r="H919" s="12">
        <v>-0.25661647806976529</v>
      </c>
      <c r="I919" s="12">
        <v>-0.13148788927335639</v>
      </c>
      <c r="J919" s="12">
        <v>3.7975077153277843E-3</v>
      </c>
      <c r="K919" s="12">
        <v>-7.5701861030580755E-3</v>
      </c>
      <c r="L919" s="12">
        <v>-3.8788927335640135E-3</v>
      </c>
      <c r="M919" s="12">
        <v>1.1585616758627138E-4</v>
      </c>
      <c r="N919" s="12">
        <v>-2.3095483026278876E-4</v>
      </c>
      <c r="O919" s="12">
        <v>-1.1833910034602075E-4</v>
      </c>
      <c r="P919">
        <f t="shared" si="42"/>
        <v>1.1063501357251721E-2</v>
      </c>
      <c r="Q919">
        <f t="shared" si="43"/>
        <v>-2.2054665982055011E-2</v>
      </c>
      <c r="R919">
        <f t="shared" si="44"/>
        <v>-1.1300605091388244E-2</v>
      </c>
    </row>
    <row r="920" spans="1:18" ht="13">
      <c r="A920" s="24" t="s">
        <v>200</v>
      </c>
      <c r="B920" s="9">
        <v>2020</v>
      </c>
      <c r="C920" s="4">
        <v>-4.1701443241895424</v>
      </c>
      <c r="D920" s="10">
        <v>9.1527884920814997E-2</v>
      </c>
      <c r="E920" s="11">
        <v>3.1800000000000002E-2</v>
      </c>
      <c r="F920" s="11">
        <v>8.9999999999999998E-4</v>
      </c>
      <c r="G920" s="12">
        <v>4.855470345328311E-2</v>
      </c>
      <c r="H920" s="12">
        <v>0.21468439442755366</v>
      </c>
      <c r="I920" s="12">
        <v>-6.8067341289649225E-2</v>
      </c>
      <c r="J920" s="12">
        <v>1.544039569814403E-3</v>
      </c>
      <c r="K920" s="12">
        <v>6.8269637427962066E-3</v>
      </c>
      <c r="L920" s="12">
        <v>-2.1645414530108453E-3</v>
      </c>
      <c r="M920" s="12">
        <v>4.3699233107954797E-5</v>
      </c>
      <c r="N920" s="12">
        <v>1.932159549847983E-4</v>
      </c>
      <c r="O920" s="12">
        <v>-6.1260607160684298E-5</v>
      </c>
      <c r="P920">
        <f t="shared" si="42"/>
        <v>4.4441093100363949E-3</v>
      </c>
      <c r="Q920">
        <f t="shared" si="43"/>
        <v>1.9649608547459989E-2</v>
      </c>
      <c r="R920">
        <f t="shared" si="44"/>
        <v>-6.2300597804248537E-3</v>
      </c>
    </row>
    <row r="921" spans="1:18" ht="13">
      <c r="A921" s="24" t="s">
        <v>200</v>
      </c>
      <c r="B921" s="9">
        <v>2021</v>
      </c>
      <c r="C921" s="4">
        <v>-3.85745858820481</v>
      </c>
      <c r="D921" s="10">
        <v>0.17945118398050536</v>
      </c>
      <c r="E921" s="27">
        <v>2.3199999999999998E-2</v>
      </c>
      <c r="F921" s="11">
        <v>2.9999999999999997E-4</v>
      </c>
      <c r="G921" s="12">
        <v>-0.2520527626211792</v>
      </c>
      <c r="H921" s="12">
        <v>-1.316416803517508E-2</v>
      </c>
      <c r="I921" s="12">
        <v>0.11882184669174127</v>
      </c>
      <c r="J921" s="12">
        <v>-5.8476240928113567E-3</v>
      </c>
      <c r="K921" s="12">
        <v>-3.0540869841606181E-4</v>
      </c>
      <c r="L921" s="12">
        <v>2.7566668432483974E-3</v>
      </c>
      <c r="M921" s="12">
        <v>-7.5615828786353755E-5</v>
      </c>
      <c r="N921" s="12">
        <v>-3.9492504105525238E-6</v>
      </c>
      <c r="O921" s="12">
        <v>3.5646554007522377E-5</v>
      </c>
      <c r="P921">
        <f t="shared" si="42"/>
        <v>-4.5231166677927877E-2</v>
      </c>
      <c r="Q921">
        <f t="shared" si="43"/>
        <v>-2.362325540030491E-3</v>
      </c>
      <c r="R921">
        <f t="shared" si="44"/>
        <v>2.1322721071583065E-2</v>
      </c>
    </row>
    <row r="922" spans="1:18" ht="13">
      <c r="A922" s="24" t="s">
        <v>201</v>
      </c>
      <c r="B922" s="9">
        <v>2017</v>
      </c>
      <c r="C922" s="4">
        <v>-5.4444420020583149</v>
      </c>
      <c r="D922" s="10">
        <v>3.963486920098E-2</v>
      </c>
      <c r="E922" s="11">
        <v>0.1686</v>
      </c>
      <c r="F922" s="11">
        <v>0</v>
      </c>
      <c r="G922" s="12">
        <v>0.41697621117521533</v>
      </c>
      <c r="H922" s="12">
        <v>-1.177586343159725E-2</v>
      </c>
      <c r="I922" s="12">
        <v>-0.27791828024974313</v>
      </c>
      <c r="J922" s="12">
        <v>7.0302189204141302E-2</v>
      </c>
      <c r="K922" s="12">
        <v>-1.9854105745672965E-3</v>
      </c>
      <c r="L922" s="12">
        <v>-4.6857022050106695E-2</v>
      </c>
      <c r="M922" s="12">
        <v>0</v>
      </c>
      <c r="N922" s="12">
        <v>0</v>
      </c>
      <c r="O922" s="12">
        <v>0</v>
      </c>
      <c r="P922">
        <f t="shared" si="42"/>
        <v>1.6526797589849873E-2</v>
      </c>
      <c r="Q922">
        <f t="shared" si="43"/>
        <v>-4.6673480683996052E-4</v>
      </c>
      <c r="R922">
        <f t="shared" si="44"/>
        <v>-1.1015254686259872E-2</v>
      </c>
    </row>
    <row r="923" spans="1:18" ht="13">
      <c r="A923" s="24" t="s">
        <v>201</v>
      </c>
      <c r="B923" s="9">
        <v>2018</v>
      </c>
      <c r="C923" s="4">
        <v>-5.2084342396326617</v>
      </c>
      <c r="D923" s="10">
        <v>2.9519472661847596E-2</v>
      </c>
      <c r="E923" s="11">
        <v>0.17960000000000001</v>
      </c>
      <c r="F923" s="11">
        <v>0</v>
      </c>
      <c r="G923" s="12">
        <v>0.35213196191446677</v>
      </c>
      <c r="H923" s="12">
        <v>-0.21816386969397833</v>
      </c>
      <c r="I923" s="12">
        <v>-1.222813107027991E-2</v>
      </c>
      <c r="J923" s="12">
        <v>6.3242900359838233E-2</v>
      </c>
      <c r="K923" s="12">
        <v>-3.9182230997038513E-2</v>
      </c>
      <c r="L923" s="12">
        <v>-2.1961723402222719E-3</v>
      </c>
      <c r="M923" s="12">
        <v>0</v>
      </c>
      <c r="N923" s="12">
        <v>0</v>
      </c>
      <c r="O923" s="12">
        <v>0</v>
      </c>
      <c r="P923">
        <f t="shared" si="42"/>
        <v>1.039474982309686E-2</v>
      </c>
      <c r="Q923">
        <f t="shared" si="43"/>
        <v>-6.4400823872342748E-3</v>
      </c>
      <c r="R923">
        <f t="shared" si="44"/>
        <v>-3.6096798083461699E-4</v>
      </c>
    </row>
    <row r="924" spans="1:18" ht="13">
      <c r="A924" s="24" t="s">
        <v>201</v>
      </c>
      <c r="B924" s="9">
        <v>2019</v>
      </c>
      <c r="C924" s="4">
        <v>-4.8291899574760606</v>
      </c>
      <c r="D924" s="10">
        <v>6.0061936325111372E-2</v>
      </c>
      <c r="E924" s="11">
        <v>0.1968</v>
      </c>
      <c r="F924" s="11">
        <v>0</v>
      </c>
      <c r="G924" s="12">
        <v>0.23992176464196455</v>
      </c>
      <c r="H924" s="12">
        <v>-0.2927849614256221</v>
      </c>
      <c r="I924" s="12">
        <v>-6.9488210366184938E-2</v>
      </c>
      <c r="J924" s="12">
        <v>4.7216603281538622E-2</v>
      </c>
      <c r="K924" s="12">
        <v>-5.7620080408562431E-2</v>
      </c>
      <c r="L924" s="12">
        <v>-1.3675279800065197E-2</v>
      </c>
      <c r="M924" s="12">
        <v>0</v>
      </c>
      <c r="N924" s="12">
        <v>0</v>
      </c>
      <c r="O924" s="12">
        <v>0</v>
      </c>
      <c r="P924">
        <f t="shared" si="42"/>
        <v>1.4410165750934031E-2</v>
      </c>
      <c r="Q924">
        <f t="shared" si="43"/>
        <v>-1.7585231710095905E-2</v>
      </c>
      <c r="R924">
        <f t="shared" si="44"/>
        <v>-4.1735964663597441E-3</v>
      </c>
    </row>
    <row r="925" spans="1:18" ht="13">
      <c r="A925" s="24" t="s">
        <v>201</v>
      </c>
      <c r="B925" s="9">
        <v>2020</v>
      </c>
      <c r="C925" s="4">
        <v>-3.9357408226696302</v>
      </c>
      <c r="D925" s="10">
        <v>7.35190029235267E-2</v>
      </c>
      <c r="E925" s="11">
        <v>0.12379999999999999</v>
      </c>
      <c r="F925" s="11">
        <v>0</v>
      </c>
      <c r="G925" s="12">
        <v>2.4126788736728726E-2</v>
      </c>
      <c r="H925" s="12">
        <v>-3.6005539313740576E-3</v>
      </c>
      <c r="I925" s="12">
        <v>-5.9024465302354209E-2</v>
      </c>
      <c r="J925" s="12">
        <v>2.9868964456070163E-3</v>
      </c>
      <c r="K925" s="12">
        <v>-4.4574857670410828E-4</v>
      </c>
      <c r="L925" s="12">
        <v>-7.307228804431451E-3</v>
      </c>
      <c r="M925" s="12">
        <v>0</v>
      </c>
      <c r="N925" s="12">
        <v>0</v>
      </c>
      <c r="O925" s="12">
        <v>0</v>
      </c>
      <c r="P925">
        <f t="shared" si="42"/>
        <v>1.7737774516708702E-3</v>
      </c>
      <c r="Q925">
        <f t="shared" si="43"/>
        <v>-2.6470913500700489E-4</v>
      </c>
      <c r="R925">
        <f t="shared" si="44"/>
        <v>-4.339419837123379E-3</v>
      </c>
    </row>
    <row r="926" spans="1:18" ht="13">
      <c r="A926" s="24" t="s">
        <v>201</v>
      </c>
      <c r="B926" s="9">
        <v>2021</v>
      </c>
      <c r="C926" s="4">
        <v>-4.2117974202755457</v>
      </c>
      <c r="D926" s="10">
        <v>3.7359778897740205E-2</v>
      </c>
      <c r="E926" s="11">
        <v>0.16239999999999999</v>
      </c>
      <c r="F926" s="11">
        <v>0</v>
      </c>
      <c r="G926" s="12">
        <v>1.4436676963095432E-2</v>
      </c>
      <c r="H926" s="12">
        <v>7.8913997723947318E-2</v>
      </c>
      <c r="I926" s="12">
        <v>-2.077710941310356E-2</v>
      </c>
      <c r="J926" s="12">
        <v>2.344516338806698E-3</v>
      </c>
      <c r="K926" s="12">
        <v>1.2815633230369043E-2</v>
      </c>
      <c r="L926" s="12">
        <v>-3.3742025686880179E-3</v>
      </c>
      <c r="M926" s="12">
        <v>0</v>
      </c>
      <c r="N926" s="12">
        <v>0</v>
      </c>
      <c r="O926" s="12">
        <v>0</v>
      </c>
      <c r="P926">
        <f t="shared" si="42"/>
        <v>5.3935105935934489E-4</v>
      </c>
      <c r="Q926">
        <f t="shared" si="43"/>
        <v>2.9482095069034457E-3</v>
      </c>
      <c r="R926">
        <f t="shared" si="44"/>
        <v>-7.7622821380770582E-4</v>
      </c>
    </row>
    <row r="927" spans="1:18" ht="13">
      <c r="A927" s="24" t="s">
        <v>202</v>
      </c>
      <c r="B927" s="9">
        <v>2017</v>
      </c>
      <c r="C927" s="4">
        <v>-2.8753255450285642</v>
      </c>
      <c r="D927" s="10">
        <v>0.33526630715815908</v>
      </c>
      <c r="E927" s="11">
        <v>1.54E-2</v>
      </c>
      <c r="F927" s="11">
        <v>3.8E-3</v>
      </c>
      <c r="G927" s="12">
        <v>-2.4599246509566373E-2</v>
      </c>
      <c r="H927" s="12">
        <v>-1.2188815838073427E-3</v>
      </c>
      <c r="I927" s="12">
        <v>2.8218955455418481E-2</v>
      </c>
      <c r="J927" s="12">
        <v>-3.7882839624732217E-4</v>
      </c>
      <c r="K927" s="12">
        <v>-1.877077639063308E-5</v>
      </c>
      <c r="L927" s="12">
        <v>4.345719140134446E-4</v>
      </c>
      <c r="M927" s="12">
        <v>-9.3477136736352221E-5</v>
      </c>
      <c r="N927" s="12">
        <v>-4.6317500184679027E-6</v>
      </c>
      <c r="O927" s="12">
        <v>1.0723203073059022E-4</v>
      </c>
      <c r="P927">
        <f t="shared" si="42"/>
        <v>-8.2472985361355527E-3</v>
      </c>
      <c r="Q927">
        <f t="shared" si="43"/>
        <v>-4.0864992746617599E-4</v>
      </c>
      <c r="R927">
        <f t="shared" si="44"/>
        <v>9.460864987398742E-3</v>
      </c>
    </row>
    <row r="928" spans="1:18" ht="13">
      <c r="A928" s="24" t="s">
        <v>202</v>
      </c>
      <c r="B928" s="9">
        <v>2018</v>
      </c>
      <c r="C928" s="4">
        <v>-2.0429596369639875</v>
      </c>
      <c r="D928" s="10">
        <v>0.4301210824122666</v>
      </c>
      <c r="E928" s="11">
        <v>1.95E-2</v>
      </c>
      <c r="F928" s="11">
        <v>0</v>
      </c>
      <c r="G928" s="12">
        <v>-2.4245800228678647E-2</v>
      </c>
      <c r="H928" s="12">
        <v>3.5181330440646165E-4</v>
      </c>
      <c r="I928" s="12">
        <v>1.9642909496027445E-2</v>
      </c>
      <c r="J928" s="12">
        <v>-4.7279310445923363E-4</v>
      </c>
      <c r="K928" s="12">
        <v>6.8603594359260026E-6</v>
      </c>
      <c r="L928" s="12">
        <v>3.8303673517253516E-4</v>
      </c>
      <c r="M928" s="12">
        <v>0</v>
      </c>
      <c r="N928" s="12">
        <v>0</v>
      </c>
      <c r="O928" s="12">
        <v>0</v>
      </c>
      <c r="P928">
        <f t="shared" si="42"/>
        <v>-1.0428629838310841E-2</v>
      </c>
      <c r="Q928">
        <f t="shared" si="43"/>
        <v>1.5132231929834353E-4</v>
      </c>
      <c r="R928">
        <f t="shared" si="44"/>
        <v>8.448829494157515E-3</v>
      </c>
    </row>
    <row r="929" spans="1:18" ht="13">
      <c r="A929" s="24" t="s">
        <v>202</v>
      </c>
      <c r="B929" s="9">
        <v>2019</v>
      </c>
      <c r="C929" s="4">
        <v>-1.1916349405995861</v>
      </c>
      <c r="D929" s="10">
        <v>0.552648819609172</v>
      </c>
      <c r="E929" s="11">
        <v>2.76E-2</v>
      </c>
      <c r="F929" s="11">
        <v>0.113</v>
      </c>
      <c r="G929" s="12">
        <v>-0.12714334124025756</v>
      </c>
      <c r="H929" s="12">
        <v>-7.5929063594261839E-2</v>
      </c>
      <c r="I929" s="12">
        <v>0.1925223088218683</v>
      </c>
      <c r="J929" s="12">
        <v>-3.5091562182311084E-3</v>
      </c>
      <c r="K929" s="12">
        <v>-2.0956421552016267E-3</v>
      </c>
      <c r="L929" s="12">
        <v>5.3136157234835646E-3</v>
      </c>
      <c r="M929" s="12">
        <v>-1.4367197560149104E-2</v>
      </c>
      <c r="N929" s="12">
        <v>-8.5799841861515878E-3</v>
      </c>
      <c r="O929" s="12">
        <v>2.1755020896871119E-2</v>
      </c>
      <c r="P929">
        <f t="shared" si="42"/>
        <v>-7.0265617457594493E-2</v>
      </c>
      <c r="Q929">
        <f t="shared" si="43"/>
        <v>-4.1962107369398559E-2</v>
      </c>
      <c r="R929">
        <f t="shared" si="44"/>
        <v>0.106397226718838</v>
      </c>
    </row>
    <row r="930" spans="1:18" ht="13">
      <c r="A930" s="24" t="s">
        <v>202</v>
      </c>
      <c r="B930" s="9">
        <v>2020</v>
      </c>
      <c r="C930" s="4">
        <v>-1.1591114008658776</v>
      </c>
      <c r="D930" s="10">
        <v>0.55275544445195146</v>
      </c>
      <c r="E930" s="11">
        <v>1.7399999999999999E-2</v>
      </c>
      <c r="F930" s="11">
        <v>0.1011</v>
      </c>
      <c r="G930" s="12">
        <v>-4.3375447604891565E-2</v>
      </c>
      <c r="H930" s="12">
        <v>-1.8129405670788013E-2</v>
      </c>
      <c r="I930" s="12">
        <v>5.2834267954867918E-2</v>
      </c>
      <c r="J930" s="12">
        <v>-7.5473278832511312E-4</v>
      </c>
      <c r="K930" s="12">
        <v>-3.1545165867171142E-4</v>
      </c>
      <c r="L930" s="12">
        <v>9.1931626241470172E-4</v>
      </c>
      <c r="M930" s="12">
        <v>-4.3852577528545374E-3</v>
      </c>
      <c r="N930" s="12">
        <v>-1.832882913316668E-3</v>
      </c>
      <c r="O930" s="12">
        <v>5.3415444902371462E-3</v>
      </c>
      <c r="P930">
        <f t="shared" si="42"/>
        <v>-2.397601481914417E-2</v>
      </c>
      <c r="Q930">
        <f t="shared" si="43"/>
        <v>-1.0021127689206157E-2</v>
      </c>
      <c r="R930">
        <f t="shared" si="44"/>
        <v>2.9204429265686511E-2</v>
      </c>
    </row>
    <row r="931" spans="1:18" ht="13">
      <c r="A931" s="24" t="s">
        <v>202</v>
      </c>
      <c r="B931" s="9">
        <v>2021</v>
      </c>
      <c r="C931" s="4">
        <v>-0.8680368038954458</v>
      </c>
      <c r="D931" s="10">
        <v>0.62453792112685935</v>
      </c>
      <c r="E931" s="11">
        <v>2.41E-2</v>
      </c>
      <c r="F931" s="11">
        <v>0.10009999999999999</v>
      </c>
      <c r="G931" s="12">
        <v>-2.1181169957427425E-2</v>
      </c>
      <c r="H931" s="12">
        <v>1.7519578128558667E-5</v>
      </c>
      <c r="I931" s="12">
        <v>3.1044692443805953E-2</v>
      </c>
      <c r="J931" s="12">
        <v>-5.1046619597400092E-4</v>
      </c>
      <c r="K931" s="12">
        <v>4.2222183289826389E-7</v>
      </c>
      <c r="L931" s="12">
        <v>7.481770878957234E-4</v>
      </c>
      <c r="M931" s="12">
        <v>-2.120235112738485E-3</v>
      </c>
      <c r="N931" s="12">
        <v>1.7537097706687225E-6</v>
      </c>
      <c r="O931" s="12">
        <v>3.1075737136249757E-3</v>
      </c>
      <c r="P931">
        <f t="shared" si="42"/>
        <v>-1.3228443852246412E-2</v>
      </c>
      <c r="Q931">
        <f t="shared" si="43"/>
        <v>1.0941640903429622E-5</v>
      </c>
      <c r="R931">
        <f t="shared" si="44"/>
        <v>1.9388587680877287E-2</v>
      </c>
    </row>
    <row r="932" spans="1:18" ht="13">
      <c r="A932" s="24" t="s">
        <v>203</v>
      </c>
      <c r="B932" s="9">
        <v>2017</v>
      </c>
      <c r="C932" s="4">
        <v>-0.81524289560880658</v>
      </c>
      <c r="D932" s="10">
        <v>0.64063887709001033</v>
      </c>
      <c r="E932" s="11">
        <v>0.46650000000000003</v>
      </c>
      <c r="F932" s="11">
        <v>1.44E-2</v>
      </c>
      <c r="G932" s="12">
        <v>6.8999304938795983E-2</v>
      </c>
      <c r="H932" s="12">
        <v>-0.15244526393018493</v>
      </c>
      <c r="I932" s="12">
        <v>0.23276344750357184</v>
      </c>
      <c r="J932" s="12">
        <v>3.2188175753948327E-2</v>
      </c>
      <c r="K932" s="12">
        <v>-7.1115715623431275E-2</v>
      </c>
      <c r="L932" s="12">
        <v>0.10858414826041626</v>
      </c>
      <c r="M932" s="12">
        <v>9.935899911186622E-4</v>
      </c>
      <c r="N932" s="12">
        <v>-2.1952118005946629E-3</v>
      </c>
      <c r="O932" s="12">
        <v>3.3517936440514342E-3</v>
      </c>
      <c r="P932">
        <f t="shared" si="42"/>
        <v>4.4203637235981461E-2</v>
      </c>
      <c r="Q932">
        <f t="shared" si="43"/>
        <v>-9.7662362701923924E-2</v>
      </c>
      <c r="R932">
        <f t="shared" si="44"/>
        <v>0.14911731363628783</v>
      </c>
    </row>
    <row r="933" spans="1:18" ht="13">
      <c r="A933" s="24" t="s">
        <v>203</v>
      </c>
      <c r="B933" s="9">
        <v>2018</v>
      </c>
      <c r="C933" s="4">
        <v>-2.6154173567928294</v>
      </c>
      <c r="D933" s="10">
        <v>0.37981422555768679</v>
      </c>
      <c r="E933" s="11">
        <v>0.3478</v>
      </c>
      <c r="F933" s="11">
        <v>1.5599999999999999E-2</v>
      </c>
      <c r="G933" s="12">
        <v>8.9900961307243635E-2</v>
      </c>
      <c r="H933" s="12">
        <v>-7.8459224131663848E-3</v>
      </c>
      <c r="I933" s="12">
        <v>-0.23335887126088392</v>
      </c>
      <c r="J933" s="12">
        <v>3.1267554342659334E-2</v>
      </c>
      <c r="K933" s="12">
        <v>-2.7288118152992685E-3</v>
      </c>
      <c r="L933" s="12">
        <v>-8.116221542453543E-2</v>
      </c>
      <c r="M933" s="12">
        <v>1.4024549963930007E-3</v>
      </c>
      <c r="N933" s="12">
        <v>-1.223963896453956E-4</v>
      </c>
      <c r="O933" s="12">
        <v>-3.640398391669789E-3</v>
      </c>
      <c r="P933">
        <f t="shared" si="42"/>
        <v>3.4145663995802308E-2</v>
      </c>
      <c r="Q933">
        <f t="shared" si="43"/>
        <v>-2.9799929451424876E-3</v>
      </c>
      <c r="R933">
        <f t="shared" si="44"/>
        <v>-8.8633018964968557E-2</v>
      </c>
    </row>
    <row r="934" spans="1:18" ht="13">
      <c r="A934" s="24" t="s">
        <v>203</v>
      </c>
      <c r="B934" s="9">
        <v>2019</v>
      </c>
      <c r="C934" s="4">
        <v>-2.8205841754260779</v>
      </c>
      <c r="D934" s="10">
        <v>0.3293048788272091</v>
      </c>
      <c r="E934" s="11">
        <v>0.30759999999999998</v>
      </c>
      <c r="F934" s="11">
        <v>1.865E-2</v>
      </c>
      <c r="G934" s="12">
        <v>7.3550501074490959E-2</v>
      </c>
      <c r="H934" s="12">
        <v>-0.1207770378093151</v>
      </c>
      <c r="I934" s="12">
        <v>0.16537373135598632</v>
      </c>
      <c r="J934" s="12">
        <v>2.2624134130513417E-2</v>
      </c>
      <c r="K934" s="12">
        <v>-3.7151016830145323E-2</v>
      </c>
      <c r="L934" s="12">
        <v>5.086895976510139E-2</v>
      </c>
      <c r="M934" s="12">
        <v>1.3717168450392565E-3</v>
      </c>
      <c r="N934" s="12">
        <v>-2.2524917551437268E-3</v>
      </c>
      <c r="O934" s="12">
        <v>3.0842200897891448E-3</v>
      </c>
      <c r="P934">
        <f t="shared" si="42"/>
        <v>2.422053884401576E-2</v>
      </c>
      <c r="Q934">
        <f t="shared" si="43"/>
        <v>-3.9772467800905764E-2</v>
      </c>
      <c r="R934">
        <f t="shared" si="44"/>
        <v>5.4458376565386504E-2</v>
      </c>
    </row>
    <row r="935" spans="1:18" ht="13">
      <c r="A935" s="24" t="s">
        <v>203</v>
      </c>
      <c r="B935" s="9">
        <v>2020</v>
      </c>
      <c r="C935" s="4">
        <v>-2.8937244094351984</v>
      </c>
      <c r="D935" s="10">
        <v>0.30442455565359888</v>
      </c>
      <c r="E935" s="11">
        <v>5.7000000000000002E-2</v>
      </c>
      <c r="F935" s="11">
        <v>3.2210000000000003E-2</v>
      </c>
      <c r="G935" s="12">
        <v>0.10610950039917644</v>
      </c>
      <c r="H935" s="12">
        <v>-0.15755283835455269</v>
      </c>
      <c r="I935" s="12">
        <v>-6.190596243539645E-2</v>
      </c>
      <c r="J935" s="12">
        <v>6.0482415227530572E-3</v>
      </c>
      <c r="K935" s="12">
        <v>-8.9805117862095038E-3</v>
      </c>
      <c r="L935" s="12">
        <v>-3.5286398588175978E-3</v>
      </c>
      <c r="M935" s="12">
        <v>3.4177870078574732E-3</v>
      </c>
      <c r="N935" s="12">
        <v>-5.0747769234001424E-3</v>
      </c>
      <c r="O935" s="12">
        <v>-1.99399105004412E-3</v>
      </c>
      <c r="P935">
        <f t="shared" si="42"/>
        <v>3.230233750964466E-2</v>
      </c>
      <c r="Q935">
        <f t="shared" si="43"/>
        <v>-4.7962952808047993E-2</v>
      </c>
      <c r="R935">
        <f t="shared" si="44"/>
        <v>-1.8845695106703947E-2</v>
      </c>
    </row>
    <row r="936" spans="1:18" ht="13">
      <c r="A936" s="24" t="s">
        <v>203</v>
      </c>
      <c r="B936" s="9">
        <v>2021</v>
      </c>
      <c r="C936" s="4">
        <v>-3.5938735940109874</v>
      </c>
      <c r="D936" s="10">
        <v>0.23223840387805417</v>
      </c>
      <c r="E936" s="27">
        <v>2.7300000000000001E-2</v>
      </c>
      <c r="F936" s="37">
        <v>0.35199999999999998</v>
      </c>
      <c r="G936" s="12">
        <v>0.14361023227582079</v>
      </c>
      <c r="H936" s="12">
        <v>-1.4833723439195454E-2</v>
      </c>
      <c r="I936" s="12">
        <v>-0.11496551408746408</v>
      </c>
      <c r="J936" s="12">
        <v>3.9205593411299079E-3</v>
      </c>
      <c r="K936" s="12">
        <v>-4.0496064989003594E-4</v>
      </c>
      <c r="L936" s="12">
        <v>-3.1385585345877695E-3</v>
      </c>
      <c r="M936" s="12">
        <v>5.0550801761088913E-2</v>
      </c>
      <c r="N936" s="12">
        <v>-5.2214706505967993E-3</v>
      </c>
      <c r="O936" s="12">
        <v>-4.0467860958787356E-2</v>
      </c>
      <c r="P936">
        <f t="shared" si="42"/>
        <v>3.3351811124293237E-2</v>
      </c>
      <c r="Q936">
        <f t="shared" si="43"/>
        <v>-3.4449602550872325E-3</v>
      </c>
      <c r="R936">
        <f t="shared" si="44"/>
        <v>-2.669940749269261E-2</v>
      </c>
    </row>
    <row r="937" spans="1:18" ht="13">
      <c r="A937" s="24" t="s">
        <v>204</v>
      </c>
      <c r="B937" s="9">
        <v>2017</v>
      </c>
      <c r="C937" s="4">
        <v>-1.0010183769919765</v>
      </c>
      <c r="D937" s="10">
        <v>0.61947843147941251</v>
      </c>
      <c r="E937" s="11">
        <v>2.4E-2</v>
      </c>
      <c r="F937" s="11">
        <v>1E-4</v>
      </c>
      <c r="G937" s="12">
        <v>0.23146306237567102</v>
      </c>
      <c r="H937" s="12">
        <v>-0.19832683870616125</v>
      </c>
      <c r="I937" s="12">
        <v>1.9701882987710168E-2</v>
      </c>
      <c r="J937" s="12">
        <v>5.5551134970161049E-3</v>
      </c>
      <c r="K937" s="12">
        <v>-4.7598441289478698E-3</v>
      </c>
      <c r="L937" s="12">
        <v>4.7284519170504404E-4</v>
      </c>
      <c r="M937" s="12">
        <v>2.3146306237567102E-5</v>
      </c>
      <c r="N937" s="12">
        <v>-1.9832683870616124E-5</v>
      </c>
      <c r="O937" s="12">
        <v>1.9701882987710167E-6</v>
      </c>
      <c r="P937">
        <f t="shared" si="42"/>
        <v>0.14338637482590211</v>
      </c>
      <c r="Q937">
        <f t="shared" si="43"/>
        <v>-0.12285919896196321</v>
      </c>
      <c r="R937">
        <f t="shared" si="44"/>
        <v>1.2204891570417617E-2</v>
      </c>
    </row>
    <row r="938" spans="1:18" ht="13">
      <c r="A938" s="24" t="s">
        <v>204</v>
      </c>
      <c r="B938" s="9">
        <v>2018</v>
      </c>
      <c r="C938" s="4">
        <v>-1.0806323682364347</v>
      </c>
      <c r="D938" s="10">
        <v>0.59800062303531476</v>
      </c>
      <c r="E938" s="11">
        <v>2.7E-2</v>
      </c>
      <c r="F938" s="11">
        <v>1E-4</v>
      </c>
      <c r="G938" s="12">
        <v>0.25230098269661011</v>
      </c>
      <c r="H938" s="12">
        <v>-0.14148565602786667</v>
      </c>
      <c r="I938" s="12">
        <v>-7.1932259069411794E-2</v>
      </c>
      <c r="J938" s="12">
        <v>6.8121265328084726E-3</v>
      </c>
      <c r="K938" s="12">
        <v>-3.8201127127524001E-3</v>
      </c>
      <c r="L938" s="12">
        <v>-1.9421709948741184E-3</v>
      </c>
      <c r="M938" s="12">
        <v>2.5230098269661011E-5</v>
      </c>
      <c r="N938" s="12">
        <v>-1.4148565602786668E-5</v>
      </c>
      <c r="O938" s="12">
        <v>-7.1932259069411796E-6</v>
      </c>
      <c r="P938">
        <f t="shared" si="42"/>
        <v>0.15087614484499501</v>
      </c>
      <c r="Q938">
        <f t="shared" si="43"/>
        <v>-8.4608510455224509E-2</v>
      </c>
      <c r="R938">
        <f t="shared" si="44"/>
        <v>-4.3015535739845921E-2</v>
      </c>
    </row>
    <row r="939" spans="1:18" ht="13">
      <c r="A939" s="24" t="s">
        <v>204</v>
      </c>
      <c r="B939" s="9">
        <v>2019</v>
      </c>
      <c r="C939" s="4">
        <v>-1.0712107189785718</v>
      </c>
      <c r="D939" s="10">
        <v>0.60785042757741536</v>
      </c>
      <c r="E939" s="11">
        <v>2.63E-2</v>
      </c>
      <c r="F939" s="11">
        <v>1E-4</v>
      </c>
      <c r="G939" s="12">
        <v>0.22095926063632018</v>
      </c>
      <c r="H939" s="12">
        <v>-0.14144579593137513</v>
      </c>
      <c r="I939" s="12">
        <v>-5.5000796728103256E-2</v>
      </c>
      <c r="J939" s="12">
        <v>5.8112285547352212E-3</v>
      </c>
      <c r="K939" s="12">
        <v>-3.7200244329951659E-3</v>
      </c>
      <c r="L939" s="12">
        <v>-1.4465209539491156E-3</v>
      </c>
      <c r="M939" s="12">
        <v>2.2095926063632019E-5</v>
      </c>
      <c r="N939" s="12">
        <v>-1.4144579593137514E-5</v>
      </c>
      <c r="O939" s="12">
        <v>-5.500079672810326E-6</v>
      </c>
      <c r="P939">
        <f t="shared" si="42"/>
        <v>0.13431018105497677</v>
      </c>
      <c r="Q939">
        <f t="shared" si="43"/>
        <v>-8.5977887535914205E-2</v>
      </c>
      <c r="R939">
        <f t="shared" si="44"/>
        <v>-3.3432257808276071E-2</v>
      </c>
    </row>
    <row r="940" spans="1:18" ht="13">
      <c r="A940" s="24" t="s">
        <v>204</v>
      </c>
      <c r="B940" s="9">
        <v>2020</v>
      </c>
      <c r="C940" s="4">
        <v>-1.080488447031853</v>
      </c>
      <c r="D940" s="10">
        <v>0.6275043120605015</v>
      </c>
      <c r="E940" s="11">
        <v>2.6499999999999999E-2</v>
      </c>
      <c r="F940" s="11">
        <v>1E-4</v>
      </c>
      <c r="G940" s="12">
        <v>0.33079032329397196</v>
      </c>
      <c r="H940" s="12">
        <v>-0.11646985980275087</v>
      </c>
      <c r="I940" s="12">
        <v>-5.0793861394896285E-2</v>
      </c>
      <c r="J940" s="12">
        <v>8.7659435672902564E-3</v>
      </c>
      <c r="K940" s="12">
        <v>-3.086451284772898E-3</v>
      </c>
      <c r="L940" s="12">
        <v>-1.3460373269647515E-3</v>
      </c>
      <c r="M940" s="12">
        <v>3.3079032329397195E-5</v>
      </c>
      <c r="N940" s="12">
        <v>-1.1646985980275088E-5</v>
      </c>
      <c r="O940" s="12">
        <v>-5.0793861394896289E-6</v>
      </c>
      <c r="P940">
        <f t="shared" si="42"/>
        <v>0.20757235425485476</v>
      </c>
      <c r="Q940">
        <f t="shared" si="43"/>
        <v>-7.3085339251308251E-2</v>
      </c>
      <c r="R940">
        <f t="shared" si="44"/>
        <v>-3.1873367051500859E-2</v>
      </c>
    </row>
    <row r="941" spans="1:18" ht="13">
      <c r="A941" s="24" t="s">
        <v>204</v>
      </c>
      <c r="B941" s="9">
        <v>2021</v>
      </c>
      <c r="C941" s="4">
        <v>-1.6757933774834433</v>
      </c>
      <c r="D941" s="10">
        <v>0.52805298013245039</v>
      </c>
      <c r="E941" s="11">
        <v>2.87E-2</v>
      </c>
      <c r="F941" s="11">
        <v>0</v>
      </c>
      <c r="G941" s="12">
        <v>-1.9629139072847683E-2</v>
      </c>
      <c r="H941" s="12">
        <v>-7.7827814569536427E-2</v>
      </c>
      <c r="I941" s="12">
        <v>-6.1086092715231785E-2</v>
      </c>
      <c r="J941" s="12">
        <v>-5.6335629139072849E-4</v>
      </c>
      <c r="K941" s="12">
        <v>-2.2336582781456956E-3</v>
      </c>
      <c r="L941" s="12">
        <v>-1.7531708609271521E-3</v>
      </c>
      <c r="M941" s="12">
        <v>0</v>
      </c>
      <c r="N941" s="12">
        <v>0</v>
      </c>
      <c r="O941" s="12">
        <v>0</v>
      </c>
      <c r="P941">
        <f t="shared" si="42"/>
        <v>-1.0365225384851543E-2</v>
      </c>
      <c r="Q941">
        <f t="shared" si="43"/>
        <v>-4.1097209420639449E-2</v>
      </c>
      <c r="R941">
        <f t="shared" si="44"/>
        <v>-3.2256693302925313E-2</v>
      </c>
    </row>
    <row r="942" spans="1:18" ht="13">
      <c r="A942" s="24" t="s">
        <v>205</v>
      </c>
      <c r="B942" s="9">
        <v>2017</v>
      </c>
      <c r="C942" s="4">
        <v>-3.7633888545475962</v>
      </c>
      <c r="D942" s="10">
        <v>0.18719689621726479</v>
      </c>
      <c r="E942" s="11">
        <v>1.8100000000000002E-2</v>
      </c>
      <c r="F942" s="11">
        <v>7.2999999999999996E-4</v>
      </c>
      <c r="G942" s="12">
        <v>-5.388511693070374E-3</v>
      </c>
      <c r="H942" s="12">
        <v>0.10040593454754464</v>
      </c>
      <c r="I942" s="12">
        <v>2.4356072852678091E-2</v>
      </c>
      <c r="J942" s="12">
        <v>-9.7532061644573778E-5</v>
      </c>
      <c r="K942" s="12">
        <v>1.8173474153105581E-3</v>
      </c>
      <c r="L942" s="12">
        <v>4.4084491863347346E-4</v>
      </c>
      <c r="M942" s="12">
        <v>-3.9336135359413725E-6</v>
      </c>
      <c r="N942" s="12">
        <v>7.3296332219707579E-5</v>
      </c>
      <c r="O942" s="12">
        <v>1.7779933182455006E-5</v>
      </c>
      <c r="P942">
        <f t="shared" si="42"/>
        <v>-1.0087126641732127E-3</v>
      </c>
      <c r="Q942">
        <f t="shared" si="43"/>
        <v>1.8795679309094194E-2</v>
      </c>
      <c r="R942">
        <f t="shared" si="44"/>
        <v>4.5593812420629213E-3</v>
      </c>
    </row>
    <row r="943" spans="1:18" ht="13">
      <c r="A943" s="24" t="s">
        <v>205</v>
      </c>
      <c r="B943" s="9">
        <v>2018</v>
      </c>
      <c r="C943" s="4">
        <v>-3.1797634037413531</v>
      </c>
      <c r="D943" s="10">
        <v>0.27022360600056605</v>
      </c>
      <c r="E943" s="11">
        <v>1.7000000000000001E-2</v>
      </c>
      <c r="F943" s="11">
        <v>6.5030000000000004E-2</v>
      </c>
      <c r="G943" s="12">
        <v>0.13642796490234929</v>
      </c>
      <c r="H943" s="12">
        <v>-0.18366827059156524</v>
      </c>
      <c r="I943" s="12">
        <v>-1.2142654967449758E-2</v>
      </c>
      <c r="J943" s="12">
        <v>2.3192754033399383E-3</v>
      </c>
      <c r="K943" s="12">
        <v>-3.1223606000566092E-3</v>
      </c>
      <c r="L943" s="12">
        <v>-2.0642513444664592E-4</v>
      </c>
      <c r="M943" s="12">
        <v>8.8719105575997756E-3</v>
      </c>
      <c r="N943" s="12">
        <v>-1.1943947636569488E-2</v>
      </c>
      <c r="O943" s="12">
        <v>-7.8963685253325788E-4</v>
      </c>
      <c r="P943">
        <f t="shared" si="42"/>
        <v>3.6866056635231487E-2</v>
      </c>
      <c r="Q943">
        <f t="shared" si="43"/>
        <v>-4.963150238714048E-2</v>
      </c>
      <c r="R943">
        <f t="shared" si="44"/>
        <v>-3.2812320117249598E-3</v>
      </c>
    </row>
    <row r="944" spans="1:18" ht="13">
      <c r="A944" s="24" t="s">
        <v>205</v>
      </c>
      <c r="B944" s="9">
        <v>2019</v>
      </c>
      <c r="C944" s="4">
        <v>-3.2084590207654378</v>
      </c>
      <c r="D944" s="10">
        <v>0.20101700003752765</v>
      </c>
      <c r="E944" s="11">
        <v>9.1000000000000004E-3</v>
      </c>
      <c r="F944" s="11">
        <v>4.2979999999999997E-2</v>
      </c>
      <c r="G944" s="12">
        <v>0.1356250234547979</v>
      </c>
      <c r="H944" s="12">
        <v>-0.30637595226479525</v>
      </c>
      <c r="I944" s="12">
        <v>0.15816039329005141</v>
      </c>
      <c r="J944" s="12">
        <v>1.2341877134386611E-3</v>
      </c>
      <c r="K944" s="12">
        <v>-2.788021165609637E-3</v>
      </c>
      <c r="L944" s="12">
        <v>1.439259578939468E-3</v>
      </c>
      <c r="M944" s="12">
        <v>5.8291635080872138E-3</v>
      </c>
      <c r="N944" s="12">
        <v>-1.3168038428340899E-2</v>
      </c>
      <c r="O944" s="12">
        <v>6.7977337036064095E-3</v>
      </c>
      <c r="P944">
        <f t="shared" si="42"/>
        <v>2.7262935344902799E-2</v>
      </c>
      <c r="Q944">
        <f t="shared" si="43"/>
        <v>-6.1586774807909916E-2</v>
      </c>
      <c r="R944">
        <f t="shared" si="44"/>
        <v>3.1792927783921655E-2</v>
      </c>
    </row>
    <row r="945" spans="1:18" ht="13">
      <c r="A945" s="24" t="s">
        <v>205</v>
      </c>
      <c r="B945" s="9">
        <v>2020</v>
      </c>
      <c r="C945" s="4">
        <v>-3.1987394983908639</v>
      </c>
      <c r="D945" s="10">
        <v>0.20610984265208235</v>
      </c>
      <c r="E945" s="11">
        <v>3.8E-3</v>
      </c>
      <c r="F945" s="11">
        <v>0</v>
      </c>
      <c r="G945" s="12">
        <v>7.4744685746650372E-2</v>
      </c>
      <c r="H945" s="12">
        <v>-0.1036301527460663</v>
      </c>
      <c r="I945" s="12">
        <v>3.0761606400113273E-2</v>
      </c>
      <c r="J945" s="12">
        <v>2.8402980583727141E-4</v>
      </c>
      <c r="K945" s="12">
        <v>-3.937945804350519E-4</v>
      </c>
      <c r="L945" s="12">
        <v>1.1689410432043044E-4</v>
      </c>
      <c r="M945" s="12">
        <v>0</v>
      </c>
      <c r="N945" s="12">
        <v>0</v>
      </c>
      <c r="O945" s="12">
        <v>0</v>
      </c>
      <c r="P945">
        <f t="shared" si="42"/>
        <v>1.540561541832145E-2</v>
      </c>
      <c r="Q945">
        <f t="shared" si="43"/>
        <v>-2.1359194476502984E-2</v>
      </c>
      <c r="R945">
        <f t="shared" si="44"/>
        <v>6.3402698548526357E-3</v>
      </c>
    </row>
    <row r="946" spans="1:18" ht="13">
      <c r="A946" s="24" t="s">
        <v>205</v>
      </c>
      <c r="B946" s="9">
        <v>2021</v>
      </c>
      <c r="C946" s="4">
        <v>-3.0556936883638843</v>
      </c>
      <c r="D946" s="10">
        <v>0.25014086807398639</v>
      </c>
      <c r="E946" s="11">
        <v>4.1999999999999997E-3</v>
      </c>
      <c r="F946" s="11">
        <v>9.4459999999999995E-3</v>
      </c>
      <c r="G946" s="12">
        <v>-0.1572985994855253</v>
      </c>
      <c r="H946" s="12">
        <v>-0.17259401412763872</v>
      </c>
      <c r="I946" s="12">
        <v>0.37599934669878732</v>
      </c>
      <c r="J946" s="12">
        <v>-6.6065411783920616E-4</v>
      </c>
      <c r="K946" s="12">
        <v>-7.2489485933608256E-4</v>
      </c>
      <c r="L946" s="12">
        <v>1.5791972561349065E-3</v>
      </c>
      <c r="M946" s="12">
        <v>-1.4858425707402719E-3</v>
      </c>
      <c r="N946" s="12">
        <v>-1.6303230574496754E-3</v>
      </c>
      <c r="O946" s="12">
        <v>3.5516898289167449E-3</v>
      </c>
      <c r="P946">
        <f t="shared" si="42"/>
        <v>-3.9346808222131609E-2</v>
      </c>
      <c r="Q946">
        <f t="shared" si="43"/>
        <v>-4.3172816518261423E-2</v>
      </c>
      <c r="R946">
        <f t="shared" si="44"/>
        <v>9.4052802978486422E-2</v>
      </c>
    </row>
    <row r="947" spans="1:18" ht="13">
      <c r="A947" s="24" t="s">
        <v>208</v>
      </c>
      <c r="B947" s="9">
        <v>2017</v>
      </c>
      <c r="C947" s="4">
        <v>-1.2143869733288808</v>
      </c>
      <c r="D947" s="10">
        <v>0.62638945351065678</v>
      </c>
      <c r="E947" s="11">
        <v>5.0000000000000001E-3</v>
      </c>
      <c r="F947" s="11">
        <v>0.10968700000000001</v>
      </c>
      <c r="G947" s="12">
        <v>6.7146756489923923E-2</v>
      </c>
      <c r="H947" s="12">
        <v>-0.10372263197630524</v>
      </c>
      <c r="I947" s="12">
        <v>7.0282827109588233E-2</v>
      </c>
      <c r="J947" s="12">
        <v>3.3573378244961964E-4</v>
      </c>
      <c r="K947" s="12">
        <v>-5.1861315988152622E-4</v>
      </c>
      <c r="L947" s="12">
        <v>3.5141413554794118E-4</v>
      </c>
      <c r="M947" s="12">
        <v>7.3651262791102857E-3</v>
      </c>
      <c r="N947" s="12">
        <v>-1.1377024333584994E-2</v>
      </c>
      <c r="O947" s="12">
        <v>7.7091124571694054E-3</v>
      </c>
      <c r="P947">
        <f t="shared" si="42"/>
        <v>4.2060020102736594E-2</v>
      </c>
      <c r="Q947">
        <f t="shared" si="43"/>
        <v>-6.4970762760324818E-2</v>
      </c>
      <c r="R947">
        <f t="shared" si="44"/>
        <v>4.4024421664358944E-2</v>
      </c>
    </row>
    <row r="948" spans="1:18" ht="13">
      <c r="A948" s="24" t="s">
        <v>208</v>
      </c>
      <c r="B948" s="9">
        <v>2018</v>
      </c>
      <c r="C948" s="4">
        <v>-1.0155171515747434</v>
      </c>
      <c r="D948" s="10">
        <v>0.64073956008925725</v>
      </c>
      <c r="E948" s="11">
        <v>4.5999999999999999E-3</v>
      </c>
      <c r="F948" s="11">
        <v>0.128887</v>
      </c>
      <c r="G948" s="12">
        <v>5.3574917478174128E-3</v>
      </c>
      <c r="H948" s="12">
        <v>-2.4288667002581057E-2</v>
      </c>
      <c r="I948" s="12">
        <v>-3.2803068475120052E-3</v>
      </c>
      <c r="J948" s="12">
        <v>2.4644462039960098E-5</v>
      </c>
      <c r="K948" s="12">
        <v>-1.1172786821187286E-4</v>
      </c>
      <c r="L948" s="12">
        <v>-1.5089411498555224E-5</v>
      </c>
      <c r="M948" s="12">
        <v>6.9051103890094289E-4</v>
      </c>
      <c r="N948" s="12">
        <v>-3.1304934239616646E-3</v>
      </c>
      <c r="O948" s="12">
        <v>-4.2278890865527982E-4</v>
      </c>
      <c r="P948">
        <f t="shared" si="42"/>
        <v>3.4327569056783551E-3</v>
      </c>
      <c r="Q948">
        <f t="shared" si="43"/>
        <v>-1.5562709810388245E-2</v>
      </c>
      <c r="R948">
        <f t="shared" si="44"/>
        <v>-2.1018223664326205E-3</v>
      </c>
    </row>
    <row r="949" spans="1:18" ht="13">
      <c r="A949" s="24" t="s">
        <v>208</v>
      </c>
      <c r="B949" s="9">
        <v>2019</v>
      </c>
      <c r="C949" s="4">
        <v>-0.82765231817479323</v>
      </c>
      <c r="D949" s="10">
        <v>0.67862865240460879</v>
      </c>
      <c r="E949" s="11">
        <v>4.1000000000000003E-3</v>
      </c>
      <c r="F949" s="11">
        <v>0.14299000000000001</v>
      </c>
      <c r="G949" s="12">
        <v>0.12551630850489939</v>
      </c>
      <c r="H949" s="12">
        <v>-0.1021425293279334</v>
      </c>
      <c r="I949" s="12">
        <v>2.1127384278456347E-2</v>
      </c>
      <c r="J949" s="12">
        <v>5.1461686487008751E-4</v>
      </c>
      <c r="K949" s="12">
        <v>-4.1878437024452699E-4</v>
      </c>
      <c r="L949" s="12">
        <v>8.6622275541671035E-5</v>
      </c>
      <c r="M949" s="12">
        <v>1.7947576953115565E-2</v>
      </c>
      <c r="N949" s="12">
        <v>-1.4605360268601198E-2</v>
      </c>
      <c r="O949" s="12">
        <v>3.021004677976473E-3</v>
      </c>
      <c r="P949">
        <f t="shared" si="42"/>
        <v>8.5178963295481011E-2</v>
      </c>
      <c r="Q949">
        <f t="shared" si="43"/>
        <v>-6.9316847031013679E-2</v>
      </c>
      <c r="R949">
        <f t="shared" si="44"/>
        <v>1.433764832172315E-2</v>
      </c>
    </row>
    <row r="950" spans="1:18" ht="13">
      <c r="A950" s="24" t="s">
        <v>208</v>
      </c>
      <c r="B950" s="9">
        <v>2020</v>
      </c>
      <c r="C950" s="4">
        <v>-1.070292991058843</v>
      </c>
      <c r="D950" s="10">
        <v>0.65960574812606121</v>
      </c>
      <c r="E950" s="11">
        <v>8.0000000000000007E-5</v>
      </c>
      <c r="F950" s="11">
        <v>0.14668700000000001</v>
      </c>
      <c r="G950" s="12">
        <v>0.15538852307394985</v>
      </c>
      <c r="H950" s="12">
        <v>-0.13216962769702242</v>
      </c>
      <c r="I950" s="12">
        <v>-3.2350464515950909E-2</v>
      </c>
      <c r="J950" s="12">
        <v>1.2431081845915989E-5</v>
      </c>
      <c r="K950" s="12">
        <v>-1.0573570215761795E-5</v>
      </c>
      <c r="L950" s="12">
        <v>-2.5880371612760731E-6</v>
      </c>
      <c r="M950" s="12">
        <v>2.2793476284148483E-2</v>
      </c>
      <c r="N950" s="12">
        <v>-1.9387566177993129E-2</v>
      </c>
      <c r="O950" s="12">
        <v>-4.7453925884512914E-3</v>
      </c>
      <c r="P950">
        <f t="shared" si="42"/>
        <v>0.10249516301239642</v>
      </c>
      <c r="Q950">
        <f t="shared" si="43"/>
        <v>-8.7179846156637458E-2</v>
      </c>
      <c r="R950">
        <f t="shared" si="44"/>
        <v>-2.1338552349269395E-2</v>
      </c>
    </row>
    <row r="951" spans="1:18" ht="13">
      <c r="A951" s="24" t="s">
        <v>208</v>
      </c>
      <c r="B951" s="9">
        <v>2021</v>
      </c>
      <c r="C951" s="4">
        <v>-0.92073193607646275</v>
      </c>
      <c r="D951" s="10">
        <v>0.65893356474785447</v>
      </c>
      <c r="E951" s="11">
        <v>1.49E-2</v>
      </c>
      <c r="F951" s="11">
        <v>0.1356</v>
      </c>
      <c r="G951" s="12">
        <v>6.5220325908784099E-2</v>
      </c>
      <c r="H951" s="12">
        <v>-1.9927361553048563E-2</v>
      </c>
      <c r="I951" s="12">
        <v>-1.5749043808054512E-3</v>
      </c>
      <c r="J951" s="12">
        <v>9.7178285604088306E-4</v>
      </c>
      <c r="K951" s="12">
        <v>-2.9691768714042361E-4</v>
      </c>
      <c r="L951" s="12">
        <v>-2.3466075274001224E-5</v>
      </c>
      <c r="M951" s="12">
        <v>8.8438761932311243E-3</v>
      </c>
      <c r="N951" s="12">
        <v>-2.7021502265933851E-3</v>
      </c>
      <c r="O951" s="12">
        <v>-2.1355703403721918E-4</v>
      </c>
      <c r="P951">
        <f t="shared" si="42"/>
        <v>4.2975861845091959E-2</v>
      </c>
      <c r="Q951">
        <f t="shared" si="43"/>
        <v>-1.3130807384169631E-2</v>
      </c>
      <c r="R951">
        <f t="shared" si="44"/>
        <v>-1.0377573577811485E-3</v>
      </c>
    </row>
    <row r="952" spans="1:18" ht="13">
      <c r="A952" s="24" t="s">
        <v>206</v>
      </c>
      <c r="B952" s="9">
        <v>2017</v>
      </c>
      <c r="C952" s="4">
        <v>-2.9550729966888558</v>
      </c>
      <c r="D952" s="10">
        <v>0.32535399568666867</v>
      </c>
      <c r="E952" s="27">
        <v>9.4500000000000001E-2</v>
      </c>
      <c r="F952" s="11">
        <v>6.1999999999999998E-3</v>
      </c>
      <c r="G952" s="12">
        <v>3.6712109531291164E-2</v>
      </c>
      <c r="H952" s="12">
        <v>-4.2420930391420177E-2</v>
      </c>
      <c r="I952" s="12">
        <v>8.8608706683711812E-3</v>
      </c>
      <c r="J952" s="12">
        <v>3.469294350707015E-3</v>
      </c>
      <c r="K952" s="12">
        <v>-4.008777921989207E-3</v>
      </c>
      <c r="L952" s="12">
        <v>8.3735227816107661E-4</v>
      </c>
      <c r="M952" s="12">
        <v>2.2761507909400521E-4</v>
      </c>
      <c r="N952" s="12">
        <v>-2.6300976842680507E-4</v>
      </c>
      <c r="O952" s="12">
        <v>5.4937398143901324E-5</v>
      </c>
      <c r="P952">
        <f t="shared" si="42"/>
        <v>1.1944431526092213E-2</v>
      </c>
      <c r="Q952">
        <f t="shared" si="43"/>
        <v>-1.3801819203594592E-2</v>
      </c>
      <c r="R952">
        <f t="shared" si="44"/>
        <v>2.8829196772173662E-3</v>
      </c>
    </row>
    <row r="953" spans="1:18" ht="13">
      <c r="A953" s="24" t="s">
        <v>206</v>
      </c>
      <c r="B953" s="9">
        <v>2018</v>
      </c>
      <c r="C953" s="4">
        <v>-2.9401696998839526</v>
      </c>
      <c r="D953" s="10">
        <v>0.31551160942879841</v>
      </c>
      <c r="E953" s="27">
        <v>9.4500000000000001E-2</v>
      </c>
      <c r="F953" s="11">
        <v>2.8E-3</v>
      </c>
      <c r="G953" s="12">
        <v>0.10694800035313852</v>
      </c>
      <c r="H953" s="12">
        <v>-5.4047850269268116E-2</v>
      </c>
      <c r="I953" s="12">
        <v>2.0835172596450957E-2</v>
      </c>
      <c r="J953" s="12">
        <v>1.0106586033371591E-2</v>
      </c>
      <c r="K953" s="12">
        <v>-5.1075218504458373E-3</v>
      </c>
      <c r="L953" s="12">
        <v>1.9689238103646153E-3</v>
      </c>
      <c r="M953" s="12">
        <v>2.9945440098878785E-4</v>
      </c>
      <c r="N953" s="12">
        <v>-1.5133398075395073E-4</v>
      </c>
      <c r="O953" s="12">
        <v>5.8338483270062676E-5</v>
      </c>
      <c r="P953">
        <f t="shared" si="42"/>
        <v>3.3743335716610437E-2</v>
      </c>
      <c r="Q953">
        <f t="shared" si="43"/>
        <v>-1.7052724224623499E-2</v>
      </c>
      <c r="R953">
        <f t="shared" si="44"/>
        <v>6.573738838633038E-3</v>
      </c>
    </row>
    <row r="954" spans="1:18" ht="13">
      <c r="A954" s="24" t="s">
        <v>206</v>
      </c>
      <c r="B954" s="9">
        <v>2019</v>
      </c>
      <c r="C954" s="4">
        <v>-2.9315024690415066</v>
      </c>
      <c r="D954" s="10">
        <v>0.30645117107245584</v>
      </c>
      <c r="E954" s="11">
        <v>8.9999999999999998E-4</v>
      </c>
      <c r="F954" s="11">
        <v>2.8E-3</v>
      </c>
      <c r="G954" s="12">
        <v>5.0577546454823534E-2</v>
      </c>
      <c r="H954" s="12">
        <v>-6.5771812080536909E-2</v>
      </c>
      <c r="I954" s="12">
        <v>-9.5192439391864114E-2</v>
      </c>
      <c r="J954" s="12">
        <v>4.551979180934118E-5</v>
      </c>
      <c r="K954" s="12">
        <v>-5.9194630872483217E-5</v>
      </c>
      <c r="L954" s="12">
        <v>-8.5673195452677702E-5</v>
      </c>
      <c r="M954" s="12">
        <v>1.4161713007350589E-4</v>
      </c>
      <c r="N954" s="12">
        <v>-1.8416107382550334E-4</v>
      </c>
      <c r="O954" s="12">
        <v>-2.6653883029721952E-4</v>
      </c>
      <c r="P954">
        <f t="shared" si="42"/>
        <v>1.5499548341052209E-2</v>
      </c>
      <c r="Q954">
        <f t="shared" si="43"/>
        <v>-2.0155848835638035E-2</v>
      </c>
      <c r="R954">
        <f t="shared" si="44"/>
        <v>-2.9171834528880534E-2</v>
      </c>
    </row>
    <row r="955" spans="1:18" ht="13">
      <c r="A955" s="24" t="s">
        <v>206</v>
      </c>
      <c r="B955" s="9">
        <v>2020</v>
      </c>
      <c r="C955" s="4">
        <v>-2.8554190584205044</v>
      </c>
      <c r="D955" s="10">
        <v>0.32060634513641867</v>
      </c>
      <c r="E955" s="11">
        <v>8.9999999999999998E-4</v>
      </c>
      <c r="F955" s="11">
        <v>2.8E-3</v>
      </c>
      <c r="G955" s="12">
        <v>9.6766038894205611E-2</v>
      </c>
      <c r="H955" s="12">
        <v>-3.2411837994980228E-3</v>
      </c>
      <c r="I955" s="12">
        <v>-6.7703725104277648E-2</v>
      </c>
      <c r="J955" s="12">
        <v>8.7089435004785047E-5</v>
      </c>
      <c r="K955" s="12">
        <v>-2.9170654195482205E-6</v>
      </c>
      <c r="L955" s="12">
        <v>-6.0933352593849884E-5</v>
      </c>
      <c r="M955" s="12">
        <v>2.7094490890377572E-4</v>
      </c>
      <c r="N955" s="12">
        <v>-9.0753146385944639E-6</v>
      </c>
      <c r="O955" s="12">
        <v>-1.8957043029197741E-4</v>
      </c>
      <c r="P955">
        <f t="shared" si="42"/>
        <v>3.1023806063199797E-2</v>
      </c>
      <c r="Q955">
        <f t="shared" si="43"/>
        <v>-1.0391440918724318E-3</v>
      </c>
      <c r="R955">
        <f t="shared" si="44"/>
        <v>-2.1706243857803252E-2</v>
      </c>
    </row>
    <row r="956" spans="1:18" ht="13">
      <c r="A956" s="24" t="s">
        <v>206</v>
      </c>
      <c r="B956" s="9">
        <v>2021</v>
      </c>
      <c r="C956" s="4">
        <v>-3.0267465907771305</v>
      </c>
      <c r="D956" s="10">
        <v>0.30981424305309507</v>
      </c>
      <c r="E956" s="11">
        <v>3.3999999999999998E-3</v>
      </c>
      <c r="F956" s="11">
        <v>2.8E-3</v>
      </c>
      <c r="G956" s="12">
        <v>8.6281655447014549E-2</v>
      </c>
      <c r="H956" s="12">
        <v>-5.2074370265391162E-2</v>
      </c>
      <c r="I956" s="12">
        <v>-4.4878608425705659E-2</v>
      </c>
      <c r="J956" s="12">
        <v>2.9335762851984945E-4</v>
      </c>
      <c r="K956" s="12">
        <v>-1.7705285890232995E-4</v>
      </c>
      <c r="L956" s="12">
        <v>-1.5258726864739923E-4</v>
      </c>
      <c r="M956" s="12">
        <v>2.4158863525164072E-4</v>
      </c>
      <c r="N956" s="12">
        <v>-1.4580823674309524E-4</v>
      </c>
      <c r="O956" s="12">
        <v>-1.2566010359197583E-4</v>
      </c>
      <c r="P956">
        <f t="shared" si="42"/>
        <v>2.6731285771684769E-2</v>
      </c>
      <c r="Q956">
        <f t="shared" si="43"/>
        <v>-1.6133381606238766E-2</v>
      </c>
      <c r="R956">
        <f t="shared" si="44"/>
        <v>-1.3904032098686254E-2</v>
      </c>
    </row>
    <row r="957" spans="1:18" ht="13">
      <c r="A957" s="24" t="s">
        <v>207</v>
      </c>
      <c r="B957" s="9">
        <v>2017</v>
      </c>
      <c r="C957" s="4">
        <v>-2.7476618389525611</v>
      </c>
      <c r="D957" s="10">
        <v>0.31789745682034543</v>
      </c>
      <c r="E957" s="11">
        <v>0</v>
      </c>
      <c r="F957" s="11">
        <v>5.4800000000000001E-2</v>
      </c>
      <c r="G957" s="12">
        <v>-7.6159390724874196E-2</v>
      </c>
      <c r="H957" s="12">
        <v>2.4615803073575412E-2</v>
      </c>
      <c r="I957" s="12">
        <v>0.10403916768665851</v>
      </c>
      <c r="J957" s="12">
        <v>0</v>
      </c>
      <c r="K957" s="12">
        <v>0</v>
      </c>
      <c r="L957" s="12">
        <v>0</v>
      </c>
      <c r="M957" s="12">
        <v>-4.1735346117231058E-3</v>
      </c>
      <c r="N957" s="12">
        <v>1.3489460084319326E-3</v>
      </c>
      <c r="O957" s="12">
        <v>5.7013463892288865E-3</v>
      </c>
      <c r="P957">
        <f t="shared" si="42"/>
        <v>-2.4210876624424511E-2</v>
      </c>
      <c r="Q957">
        <f t="shared" si="43"/>
        <v>7.8253011946800653E-3</v>
      </c>
      <c r="R957">
        <f t="shared" si="44"/>
        <v>3.3073786817294198E-2</v>
      </c>
    </row>
    <row r="958" spans="1:18" ht="13">
      <c r="A958" s="24" t="s">
        <v>207</v>
      </c>
      <c r="B958" s="9">
        <v>2018</v>
      </c>
      <c r="C958" s="4">
        <v>-2.3645679088590716</v>
      </c>
      <c r="D958" s="10">
        <v>0.38668043366029936</v>
      </c>
      <c r="E958" s="11">
        <v>4.1999999999999997E-3</v>
      </c>
      <c r="F958" s="11">
        <v>8.1780000000000004E-4</v>
      </c>
      <c r="G958" s="12">
        <v>5.3777318877990019E-2</v>
      </c>
      <c r="H958" s="12">
        <v>-0.16001261974416336</v>
      </c>
      <c r="I958" s="12">
        <v>5.8366316755578497E-2</v>
      </c>
      <c r="J958" s="12">
        <v>2.2586473928755806E-4</v>
      </c>
      <c r="K958" s="12">
        <v>-6.7205300292548606E-4</v>
      </c>
      <c r="L958" s="12">
        <v>2.4513853037342969E-4</v>
      </c>
      <c r="M958" s="12">
        <v>4.3979091378420239E-5</v>
      </c>
      <c r="N958" s="12">
        <v>-1.308583204267768E-4</v>
      </c>
      <c r="O958" s="12">
        <v>4.7731973842712099E-5</v>
      </c>
      <c r="P958">
        <f t="shared" si="42"/>
        <v>2.0794636984829383E-2</v>
      </c>
      <c r="Q958">
        <f t="shared" si="43"/>
        <v>-6.1873749193793667E-2</v>
      </c>
      <c r="R958">
        <f t="shared" si="44"/>
        <v>2.2569112674201489E-2</v>
      </c>
    </row>
    <row r="959" spans="1:18" ht="13">
      <c r="A959" s="24" t="s">
        <v>207</v>
      </c>
      <c r="B959" s="9">
        <v>2019</v>
      </c>
      <c r="C959" s="4">
        <v>-1.4840908165996436</v>
      </c>
      <c r="D959" s="10">
        <v>0.51754646524654169</v>
      </c>
      <c r="E959" s="11">
        <v>1.3899999999999999E-2</v>
      </c>
      <c r="F959" s="11">
        <v>8.1780000000000004E-4</v>
      </c>
      <c r="G959" s="12">
        <v>4.1585334804379197E-2</v>
      </c>
      <c r="H959" s="12">
        <v>-4.9669014682169228E-2</v>
      </c>
      <c r="I959" s="12">
        <v>6.3714673682423839E-2</v>
      </c>
      <c r="J959" s="12">
        <v>5.7803615378087083E-4</v>
      </c>
      <c r="K959" s="12">
        <v>-6.9039930408215221E-4</v>
      </c>
      <c r="L959" s="12">
        <v>8.8563396418569129E-4</v>
      </c>
      <c r="M959" s="12">
        <v>3.4008486803021312E-5</v>
      </c>
      <c r="N959" s="12">
        <v>-4.0619320207077994E-5</v>
      </c>
      <c r="O959" s="12">
        <v>5.2105860137486216E-5</v>
      </c>
      <c r="P959">
        <f t="shared" si="42"/>
        <v>2.1522343034100437E-2</v>
      </c>
      <c r="Q959">
        <f t="shared" si="43"/>
        <v>-2.5706022981035265E-2</v>
      </c>
      <c r="R959">
        <f t="shared" si="44"/>
        <v>3.2975304148675312E-2</v>
      </c>
    </row>
    <row r="960" spans="1:18" ht="13">
      <c r="A960" s="24" t="s">
        <v>207</v>
      </c>
      <c r="B960" s="9">
        <v>2020</v>
      </c>
      <c r="C960" s="4">
        <v>-2.7600296502753667</v>
      </c>
      <c r="D960" s="10">
        <v>0.29604053773238059</v>
      </c>
      <c r="E960" s="11">
        <v>2.23E-2</v>
      </c>
      <c r="F960" s="11">
        <v>7.7999999999999999E-4</v>
      </c>
      <c r="G960" s="12">
        <v>-7.3210888920858697E-2</v>
      </c>
      <c r="H960" s="12">
        <v>-0.28641762176505381</v>
      </c>
      <c r="I960" s="12">
        <v>0.34819929986093129</v>
      </c>
      <c r="J960" s="12">
        <v>-1.632602822935149E-3</v>
      </c>
      <c r="K960" s="12">
        <v>-6.3871129653606997E-3</v>
      </c>
      <c r="L960" s="12">
        <v>7.7648443868987681E-3</v>
      </c>
      <c r="M960" s="12">
        <v>-5.7104493358269779E-5</v>
      </c>
      <c r="N960" s="12">
        <v>-2.2340574497674198E-4</v>
      </c>
      <c r="O960" s="12">
        <v>2.7159545389152638E-4</v>
      </c>
      <c r="P960">
        <f t="shared" si="42"/>
        <v>-2.1673390923996592E-2</v>
      </c>
      <c r="Q960">
        <f t="shared" si="43"/>
        <v>-8.4791226763356126E-2</v>
      </c>
      <c r="R960">
        <f t="shared" si="44"/>
        <v>0.10308110796886853</v>
      </c>
    </row>
    <row r="961" spans="1:18" ht="13">
      <c r="A961" s="24" t="s">
        <v>207</v>
      </c>
      <c r="B961" s="9">
        <v>2021</v>
      </c>
      <c r="C961" s="4">
        <v>-2.8965531491460781</v>
      </c>
      <c r="D961" s="10">
        <v>0.27064037367086996</v>
      </c>
      <c r="E961" s="11">
        <v>1.4500000000000001E-2</v>
      </c>
      <c r="F961" s="11">
        <v>8.2799999999999999E-2</v>
      </c>
      <c r="G961" s="12">
        <v>4.2324921487669184E-2</v>
      </c>
      <c r="H961" s="12">
        <v>-6.2283792185432577E-2</v>
      </c>
      <c r="I961" s="12">
        <v>1.3901066492371951E-2</v>
      </c>
      <c r="J961" s="12">
        <v>6.1371136157120317E-4</v>
      </c>
      <c r="K961" s="12">
        <v>-9.0311498668877235E-4</v>
      </c>
      <c r="L961" s="12">
        <v>2.015654641393933E-4</v>
      </c>
      <c r="M961" s="12">
        <v>3.5045034991790084E-3</v>
      </c>
      <c r="N961" s="12">
        <v>-5.1570979929538175E-3</v>
      </c>
      <c r="O961" s="12">
        <v>1.1510083055683974E-3</v>
      </c>
      <c r="P961">
        <f t="shared" si="42"/>
        <v>1.1454832567013021E-2</v>
      </c>
      <c r="Q961">
        <f t="shared" si="43"/>
        <v>-1.6856508790704283E-2</v>
      </c>
      <c r="R961">
        <f t="shared" si="44"/>
        <v>3.7621898299191542E-3</v>
      </c>
    </row>
    <row r="962" spans="1:18" ht="13">
      <c r="A962" s="24" t="s">
        <v>209</v>
      </c>
      <c r="B962" s="9">
        <v>2017</v>
      </c>
      <c r="C962" s="4">
        <v>-2.6193488079886156</v>
      </c>
      <c r="D962" s="10">
        <v>0.42359787348546196</v>
      </c>
      <c r="E962" s="11">
        <v>0</v>
      </c>
      <c r="F962" s="11">
        <v>1.0500000000000001E-2</v>
      </c>
      <c r="G962" s="12">
        <v>4.9184450491140362E-2</v>
      </c>
      <c r="H962" s="12">
        <v>-0.14472168712875272</v>
      </c>
      <c r="I962" s="12">
        <v>-5.0205459126962171E-2</v>
      </c>
      <c r="J962" s="12">
        <v>0</v>
      </c>
      <c r="K962" s="12">
        <v>0</v>
      </c>
      <c r="L962" s="12">
        <v>0</v>
      </c>
      <c r="M962" s="12">
        <v>5.1643673015697384E-4</v>
      </c>
      <c r="N962" s="12">
        <v>-1.5195777148519036E-3</v>
      </c>
      <c r="O962" s="12">
        <v>-5.2715732083310281E-4</v>
      </c>
      <c r="P962">
        <f t="shared" si="42"/>
        <v>2.0834428636598044E-2</v>
      </c>
      <c r="Q962">
        <f t="shared" si="43"/>
        <v>-6.1303798914968004E-2</v>
      </c>
      <c r="R962">
        <f t="shared" si="44"/>
        <v>-2.1266925723542454E-2</v>
      </c>
    </row>
    <row r="963" spans="1:18" ht="13">
      <c r="A963" s="24" t="s">
        <v>209</v>
      </c>
      <c r="B963" s="9">
        <v>2018</v>
      </c>
      <c r="C963" s="4">
        <v>-1.924623692770512</v>
      </c>
      <c r="D963" s="10">
        <v>0.5036989449040481</v>
      </c>
      <c r="E963" s="11">
        <v>5.9999999999999995E-4</v>
      </c>
      <c r="F963" s="11">
        <v>7.4000000000000003E-3</v>
      </c>
      <c r="G963" s="12">
        <v>0.10442178613516422</v>
      </c>
      <c r="H963" s="12">
        <v>-0.19395714189996099</v>
      </c>
      <c r="I963" s="12">
        <v>1.7050224459150009E-2</v>
      </c>
      <c r="J963" s="12">
        <v>6.2653071681098528E-5</v>
      </c>
      <c r="K963" s="12">
        <v>-1.1637428513997659E-4</v>
      </c>
      <c r="L963" s="12">
        <v>1.0230134675490004E-5</v>
      </c>
      <c r="M963" s="12">
        <v>7.7272121740021521E-4</v>
      </c>
      <c r="N963" s="12">
        <v>-1.4352828500597114E-3</v>
      </c>
      <c r="O963" s="12">
        <v>1.2617166099771008E-4</v>
      </c>
      <c r="P963">
        <f t="shared" ref="P963:P1016" si="45">G963*D963</f>
        <v>5.2597143501278372E-2</v>
      </c>
      <c r="Q963">
        <f t="shared" ref="Q963:Q1016" si="46">H963*D963</f>
        <v>-9.7696007731615089E-2</v>
      </c>
      <c r="R963">
        <f t="shared" ref="R963:R1016" si="47">I963*D963</f>
        <v>8.5881800704510538E-3</v>
      </c>
    </row>
    <row r="964" spans="1:18" ht="13">
      <c r="A964" s="24" t="s">
        <v>209</v>
      </c>
      <c r="B964" s="9">
        <v>2019</v>
      </c>
      <c r="C964" s="4">
        <v>-1.0721341373269639</v>
      </c>
      <c r="D964" s="10">
        <v>0.61009465108396832</v>
      </c>
      <c r="E964" s="11">
        <v>8.0000000000000004E-4</v>
      </c>
      <c r="F964" s="11">
        <v>7.4000000000000003E-3</v>
      </c>
      <c r="G964" s="12">
        <v>-0.17655753756543352</v>
      </c>
      <c r="H964" s="12">
        <v>3.1367293907934878E-2</v>
      </c>
      <c r="I964" s="12">
        <v>0.16980078080867675</v>
      </c>
      <c r="J964" s="12">
        <v>-1.4124603005234682E-4</v>
      </c>
      <c r="K964" s="12">
        <v>2.5093835126347903E-5</v>
      </c>
      <c r="L964" s="12">
        <v>1.358406246469414E-4</v>
      </c>
      <c r="M964" s="12">
        <v>-1.3065257779842081E-3</v>
      </c>
      <c r="N964" s="12">
        <v>2.321179749187181E-4</v>
      </c>
      <c r="O964" s="12">
        <v>1.256525777984208E-3</v>
      </c>
      <c r="P964">
        <f t="shared" si="45"/>
        <v>-0.10771680927722779</v>
      </c>
      <c r="Q964">
        <f t="shared" si="46"/>
        <v>1.9137018232209813E-2</v>
      </c>
      <c r="R964">
        <f t="shared" si="47"/>
        <v>0.10359454812125503</v>
      </c>
    </row>
    <row r="965" spans="1:18" ht="13">
      <c r="A965" s="24" t="s">
        <v>209</v>
      </c>
      <c r="B965" s="9">
        <v>2020</v>
      </c>
      <c r="C965" s="4">
        <v>-1.1528331786876029</v>
      </c>
      <c r="D965" s="10">
        <v>0.59154510542054373</v>
      </c>
      <c r="E965" s="11">
        <v>5.9999999999999995E-4</v>
      </c>
      <c r="F965" s="11">
        <v>4.8999999999999998E-3</v>
      </c>
      <c r="G965" s="12">
        <v>0.1008970992273714</v>
      </c>
      <c r="H965" s="12">
        <v>-1.4505381077429835E-2</v>
      </c>
      <c r="I965" s="12">
        <v>-8.7536240683677644E-2</v>
      </c>
      <c r="J965" s="12">
        <v>6.0538259536422839E-5</v>
      </c>
      <c r="K965" s="12">
        <v>-8.7032286464579E-6</v>
      </c>
      <c r="L965" s="12">
        <v>-5.252174441020658E-5</v>
      </c>
      <c r="M965" s="12">
        <v>4.9439578621411986E-4</v>
      </c>
      <c r="N965" s="12">
        <v>-7.1076367279406183E-5</v>
      </c>
      <c r="O965" s="12">
        <v>-4.2892757935002044E-4</v>
      </c>
      <c r="P965">
        <f t="shared" si="45"/>
        <v>5.9685185199082474E-2</v>
      </c>
      <c r="Q965">
        <f t="shared" si="46"/>
        <v>-8.5805871786133921E-3</v>
      </c>
      <c r="R965">
        <f t="shared" si="47"/>
        <v>-5.1781634723344183E-2</v>
      </c>
    </row>
    <row r="966" spans="1:18" ht="13">
      <c r="A966" s="24" t="s">
        <v>209</v>
      </c>
      <c r="B966" s="9">
        <v>2021</v>
      </c>
      <c r="C966" s="4">
        <v>-1.2709451922555703</v>
      </c>
      <c r="D966" s="10">
        <v>0.55511601181838632</v>
      </c>
      <c r="E966" s="11">
        <v>6.9999999999999999E-4</v>
      </c>
      <c r="F966" s="11">
        <v>3.5999999999999999E-3</v>
      </c>
      <c r="G966" s="12">
        <v>4.5557475991977299E-2</v>
      </c>
      <c r="H966" s="12">
        <v>-2.8523102233970775E-2</v>
      </c>
      <c r="I966" s="12">
        <v>-1.78323304958115E-2</v>
      </c>
      <c r="J966" s="12">
        <v>3.1890233194384106E-5</v>
      </c>
      <c r="K966" s="12">
        <v>-1.9966171563779542E-5</v>
      </c>
      <c r="L966" s="12">
        <v>-1.248263134706805E-5</v>
      </c>
      <c r="M966" s="12">
        <v>1.6400691357111827E-4</v>
      </c>
      <c r="N966" s="12">
        <v>-1.0268316804229479E-4</v>
      </c>
      <c r="O966" s="12">
        <v>-6.4196389784921401E-5</v>
      </c>
      <c r="P966">
        <f t="shared" si="45"/>
        <v>2.5289684381178321E-2</v>
      </c>
      <c r="Q966">
        <f t="shared" si="46"/>
        <v>-1.5833630756809963E-2</v>
      </c>
      <c r="R966">
        <f t="shared" si="47"/>
        <v>-9.8990121862622682E-3</v>
      </c>
    </row>
    <row r="967" spans="1:18" ht="13">
      <c r="A967" s="24" t="s">
        <v>210</v>
      </c>
      <c r="B967" s="9">
        <v>2017</v>
      </c>
      <c r="C967" s="4">
        <v>-3.8673355568493122</v>
      </c>
      <c r="D967" s="10">
        <v>0.31136701654468818</v>
      </c>
      <c r="E967" s="11">
        <v>0.59789999999999999</v>
      </c>
      <c r="F967" s="11">
        <v>1.2999999999999999E-3</v>
      </c>
      <c r="G967" s="12">
        <v>0.27696372260676627</v>
      </c>
      <c r="H967" s="12">
        <v>-5.1085287238817424E-2</v>
      </c>
      <c r="I967" s="12">
        <v>-0.21736176895127746</v>
      </c>
      <c r="J967" s="12">
        <v>0.16559660974658555</v>
      </c>
      <c r="K967" s="12">
        <v>-3.0543893240088937E-2</v>
      </c>
      <c r="L967" s="12">
        <v>-0.12996060165596879</v>
      </c>
      <c r="M967" s="12">
        <v>3.6005283938879613E-4</v>
      </c>
      <c r="N967" s="12">
        <v>-6.6410873410462643E-5</v>
      </c>
      <c r="O967" s="12">
        <v>-2.825702996366607E-4</v>
      </c>
      <c r="P967">
        <f t="shared" si="45"/>
        <v>8.6237367999179415E-2</v>
      </c>
      <c r="Q967">
        <f t="shared" si="46"/>
        <v>-1.5906273476879014E-2</v>
      </c>
      <c r="R967">
        <f t="shared" si="47"/>
        <v>-6.7679285509235104E-2</v>
      </c>
    </row>
    <row r="968" spans="1:18" ht="13">
      <c r="A968" s="24" t="s">
        <v>210</v>
      </c>
      <c r="B968" s="9">
        <v>2018</v>
      </c>
      <c r="C968" s="4">
        <v>-3.8443502013729178</v>
      </c>
      <c r="D968" s="10">
        <v>0.29691985598714982</v>
      </c>
      <c r="E968" s="11">
        <v>0.59209999999999996</v>
      </c>
      <c r="F968" s="11">
        <v>1.2999999999999999E-3</v>
      </c>
      <c r="G968" s="12">
        <v>0.21785088145380935</v>
      </c>
      <c r="H968" s="12">
        <v>-2.797026503427839E-2</v>
      </c>
      <c r="I968" s="12">
        <v>-0.17489404168643724</v>
      </c>
      <c r="J968" s="12">
        <v>0.12898950690880051</v>
      </c>
      <c r="K968" s="12">
        <v>-1.6561193926796235E-2</v>
      </c>
      <c r="L968" s="12">
        <v>-0.10355476208253948</v>
      </c>
      <c r="M968" s="12">
        <v>2.8320614588995212E-4</v>
      </c>
      <c r="N968" s="12">
        <v>-3.6361344544561907E-5</v>
      </c>
      <c r="O968" s="12">
        <v>-2.273622541923684E-4</v>
      </c>
      <c r="P968">
        <f t="shared" si="45"/>
        <v>6.4684252347938717E-2</v>
      </c>
      <c r="Q968">
        <f t="shared" si="46"/>
        <v>-8.3049270659003513E-3</v>
      </c>
      <c r="R968">
        <f t="shared" si="47"/>
        <v>-5.1929513670547524E-2</v>
      </c>
    </row>
    <row r="969" spans="1:18" ht="13">
      <c r="A969" s="24" t="s">
        <v>210</v>
      </c>
      <c r="B969" s="9">
        <v>2019</v>
      </c>
      <c r="C969" s="4">
        <v>-3.4606105095253783</v>
      </c>
      <c r="D969" s="10">
        <v>0.33486943026903659</v>
      </c>
      <c r="E969" s="11">
        <v>0.58609999999999995</v>
      </c>
      <c r="F969" s="11">
        <v>1.2999999999999999E-3</v>
      </c>
      <c r="G969" s="12">
        <v>0.25525644705454398</v>
      </c>
      <c r="H969" s="12">
        <v>-0.15095949943478582</v>
      </c>
      <c r="I969" s="12">
        <v>-7.8657499451340679E-2</v>
      </c>
      <c r="J969" s="12">
        <v>0.14960580361866821</v>
      </c>
      <c r="K969" s="12">
        <v>-8.8477362618727962E-2</v>
      </c>
      <c r="L969" s="12">
        <v>-4.6101160428430765E-2</v>
      </c>
      <c r="M969" s="12">
        <v>3.3183338117090714E-4</v>
      </c>
      <c r="N969" s="12">
        <v>-1.9624734926522154E-4</v>
      </c>
      <c r="O969" s="12">
        <v>-1.0225474928674288E-4</v>
      </c>
      <c r="P969">
        <f t="shared" si="45"/>
        <v>8.5477580997653652E-2</v>
      </c>
      <c r="Q969">
        <f t="shared" si="46"/>
        <v>-5.0551721569425681E-2</v>
      </c>
      <c r="R969">
        <f t="shared" si="47"/>
        <v>-2.6339992027657511E-2</v>
      </c>
    </row>
    <row r="970" spans="1:18" ht="13">
      <c r="A970" s="24" t="s">
        <v>210</v>
      </c>
      <c r="B970" s="9">
        <v>2020</v>
      </c>
      <c r="C970" s="4">
        <v>-3.6122095111508452</v>
      </c>
      <c r="D970" s="10">
        <v>0.30527778053075127</v>
      </c>
      <c r="E970" s="11">
        <v>0.57750000000000001</v>
      </c>
      <c r="F970" s="11">
        <v>1.2999999999999999E-3</v>
      </c>
      <c r="G970" s="12">
        <v>0.21019303574791132</v>
      </c>
      <c r="H970" s="12">
        <v>-9.9148546595177453E-2</v>
      </c>
      <c r="I970" s="12">
        <v>-0.12236684968434405</v>
      </c>
      <c r="J970" s="12">
        <v>0.12138647814441879</v>
      </c>
      <c r="K970" s="12">
        <v>-5.7258285658714977E-2</v>
      </c>
      <c r="L970" s="12">
        <v>-7.0666855692708697E-2</v>
      </c>
      <c r="M970" s="12">
        <v>2.7325094647228472E-4</v>
      </c>
      <c r="N970" s="12">
        <v>-1.2889311057373069E-4</v>
      </c>
      <c r="O970" s="12">
        <v>-1.5907690458964727E-4</v>
      </c>
      <c r="P970">
        <f t="shared" si="45"/>
        <v>6.4167263436143235E-2</v>
      </c>
      <c r="Q970">
        <f t="shared" si="46"/>
        <v>-3.0267848247425549E-2</v>
      </c>
      <c r="R970">
        <f t="shared" si="47"/>
        <v>-3.7355880282176616E-2</v>
      </c>
    </row>
    <row r="971" spans="1:18" ht="13">
      <c r="A971" s="24" t="s">
        <v>210</v>
      </c>
      <c r="B971" s="9">
        <v>2021</v>
      </c>
      <c r="C971" s="4">
        <v>-3.337146211494685</v>
      </c>
      <c r="D971" s="10">
        <v>0.32779867397679457</v>
      </c>
      <c r="E971" s="11">
        <v>0.54390000000000005</v>
      </c>
      <c r="F971" s="11">
        <v>1.2999999999999999E-3</v>
      </c>
      <c r="G971" s="12">
        <v>0.17685253241931731</v>
      </c>
      <c r="H971" s="12">
        <v>-7.3749728120242108E-2</v>
      </c>
      <c r="I971" s="12">
        <v>-9.8577975114564495E-2</v>
      </c>
      <c r="J971" s="12">
        <v>9.6190092382866688E-2</v>
      </c>
      <c r="K971" s="12">
        <v>-4.0112477124599685E-2</v>
      </c>
      <c r="L971" s="12">
        <v>-5.3616560664811637E-2</v>
      </c>
      <c r="M971" s="12">
        <v>2.2990829214511249E-4</v>
      </c>
      <c r="N971" s="12">
        <v>-9.5874646556314737E-5</v>
      </c>
      <c r="O971" s="12">
        <v>-1.2815136764893383E-4</v>
      </c>
      <c r="P971">
        <f t="shared" si="45"/>
        <v>5.7972025616490286E-2</v>
      </c>
      <c r="Q971">
        <f t="shared" si="46"/>
        <v>-2.4175063083964481E-2</v>
      </c>
      <c r="R971">
        <f t="shared" si="47"/>
        <v>-3.2313729525871693E-2</v>
      </c>
    </row>
    <row r="972" spans="1:18" ht="13">
      <c r="A972" s="24" t="s">
        <v>211</v>
      </c>
      <c r="B972" s="9">
        <v>2017</v>
      </c>
      <c r="C972" s="4">
        <v>-2.7462787260185371</v>
      </c>
      <c r="D972" s="10">
        <v>0.31571353496319748</v>
      </c>
      <c r="E972" s="11">
        <v>0</v>
      </c>
      <c r="F972" s="11">
        <v>0</v>
      </c>
      <c r="G972" s="12">
        <v>7.3411281076562071E-2</v>
      </c>
      <c r="H972" s="12">
        <v>-5.4788420810820172E-2</v>
      </c>
      <c r="I972" s="12">
        <v>-2.5867196178452186E-2</v>
      </c>
      <c r="J972" s="12">
        <v>0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>
        <f t="shared" si="45"/>
        <v>2.3176935054858298E-2</v>
      </c>
      <c r="Q972">
        <f t="shared" si="46"/>
        <v>-1.7297446009235252E-2</v>
      </c>
      <c r="R972">
        <f t="shared" si="47"/>
        <v>-8.1666239450856517E-3</v>
      </c>
    </row>
    <row r="973" spans="1:18" ht="13">
      <c r="A973" s="24" t="s">
        <v>211</v>
      </c>
      <c r="B973" s="9">
        <v>2018</v>
      </c>
      <c r="C973" s="4">
        <v>-3.0860905859980852</v>
      </c>
      <c r="D973" s="10">
        <v>0.26301530774734977</v>
      </c>
      <c r="E973" s="27">
        <v>0.31469999999999998</v>
      </c>
      <c r="F973" s="11">
        <v>0</v>
      </c>
      <c r="G973" s="12">
        <v>9.238340302680613E-2</v>
      </c>
      <c r="H973" s="12">
        <v>1.6444143887034534E-2</v>
      </c>
      <c r="I973" s="12">
        <v>-8.2722222911574078E-2</v>
      </c>
      <c r="J973" s="12">
        <v>2.9073056932535889E-2</v>
      </c>
      <c r="K973" s="12">
        <v>5.1749720812497672E-3</v>
      </c>
      <c r="L973" s="12">
        <v>-2.603268355027236E-2</v>
      </c>
      <c r="M973" s="12">
        <v>0</v>
      </c>
      <c r="N973" s="12">
        <v>0</v>
      </c>
      <c r="O973" s="12">
        <v>0</v>
      </c>
      <c r="P973">
        <f t="shared" si="45"/>
        <v>2.4298249177842859E-2</v>
      </c>
      <c r="Q973">
        <f t="shared" si="46"/>
        <v>4.3250615650900883E-3</v>
      </c>
      <c r="R973">
        <f t="shared" si="47"/>
        <v>-2.1757210916632526E-2</v>
      </c>
    </row>
    <row r="974" spans="1:18" ht="13">
      <c r="A974" s="24" t="s">
        <v>211</v>
      </c>
      <c r="B974" s="9">
        <v>2019</v>
      </c>
      <c r="C974" s="4">
        <v>-3.2491863324946255</v>
      </c>
      <c r="D974" s="10">
        <v>0.24792145025390158</v>
      </c>
      <c r="E974" s="11">
        <v>0.32790000000000002</v>
      </c>
      <c r="F974" s="11">
        <v>2E-8</v>
      </c>
      <c r="G974" s="12">
        <v>8.7802037407059233E-2</v>
      </c>
      <c r="H974" s="12">
        <v>6.562181820819901E-3</v>
      </c>
      <c r="I974" s="12">
        <v>-0.12346796158006891</v>
      </c>
      <c r="J974" s="12">
        <v>2.8790288065774723E-2</v>
      </c>
      <c r="K974" s="12">
        <v>2.1517394190468456E-3</v>
      </c>
      <c r="L974" s="12">
        <v>-4.0485144602104596E-2</v>
      </c>
      <c r="M974" s="12">
        <v>1.7560407481411846E-9</v>
      </c>
      <c r="N974" s="12">
        <v>1.3124363641639802E-10</v>
      </c>
      <c r="O974" s="12">
        <v>-2.4693592316013782E-9</v>
      </c>
      <c r="P974">
        <f t="shared" si="45"/>
        <v>2.1768008449205442E-2</v>
      </c>
      <c r="Q974">
        <f t="shared" si="46"/>
        <v>1.6269056338474583E-3</v>
      </c>
      <c r="R974">
        <f t="shared" si="47"/>
        <v>-3.0610356094823685E-2</v>
      </c>
    </row>
    <row r="975" spans="1:18" ht="13">
      <c r="A975" s="24" t="s">
        <v>211</v>
      </c>
      <c r="B975" s="9">
        <v>2020</v>
      </c>
      <c r="C975" s="4">
        <v>-3.0767999551362579</v>
      </c>
      <c r="D975" s="10">
        <v>0.26322349844021681</v>
      </c>
      <c r="E975" s="11">
        <v>0.30740000000000001</v>
      </c>
      <c r="F975" s="11">
        <v>2E-8</v>
      </c>
      <c r="G975" s="12">
        <v>0.10102312035508959</v>
      </c>
      <c r="H975" s="12">
        <v>-0.13209094838487528</v>
      </c>
      <c r="I975" s="12">
        <v>7.2823455041047133E-2</v>
      </c>
      <c r="J975" s="12">
        <v>3.1054507197154541E-2</v>
      </c>
      <c r="K975" s="12">
        <v>-4.0604757533510664E-2</v>
      </c>
      <c r="L975" s="12">
        <v>2.238593007961789E-2</v>
      </c>
      <c r="M975" s="12">
        <v>2.020462407101792E-9</v>
      </c>
      <c r="N975" s="12">
        <v>-2.6418189676975056E-9</v>
      </c>
      <c r="O975" s="12">
        <v>1.4564691008209426E-9</v>
      </c>
      <c r="P975">
        <f t="shared" si="45"/>
        <v>2.6591659163213759E-2</v>
      </c>
      <c r="Q975">
        <f t="shared" si="46"/>
        <v>-3.4769441546152975E-2</v>
      </c>
      <c r="R975">
        <f t="shared" si="47"/>
        <v>1.9168844604408267E-2</v>
      </c>
    </row>
    <row r="976" spans="1:18" ht="13">
      <c r="A976" s="24" t="s">
        <v>211</v>
      </c>
      <c r="B976" s="9">
        <v>2021</v>
      </c>
      <c r="C976" s="4">
        <v>-3.3786754870567992</v>
      </c>
      <c r="D976" s="10">
        <v>0.190704896749679</v>
      </c>
      <c r="E976" s="11">
        <v>0.30259999999999998</v>
      </c>
      <c r="F976" s="11">
        <v>2E-8</v>
      </c>
      <c r="G976" s="12">
        <v>4.50267456207495E-2</v>
      </c>
      <c r="H976" s="12">
        <v>3.0686635955651305E-2</v>
      </c>
      <c r="I976" s="12">
        <v>-6.9214112562639471E-2</v>
      </c>
      <c r="J976" s="12">
        <v>1.36250932248388</v>
      </c>
      <c r="K976" s="12">
        <v>0.92857760401800848</v>
      </c>
      <c r="L976" s="12">
        <v>-2.0944190461454704</v>
      </c>
      <c r="M976" s="12">
        <v>9.0053491241499003E-10</v>
      </c>
      <c r="N976" s="12">
        <v>6.1373271911302615E-10</v>
      </c>
      <c r="O976" s="12">
        <v>-1.3842822512527894E-9</v>
      </c>
      <c r="P976">
        <f t="shared" si="45"/>
        <v>8.5868208745790951E-3</v>
      </c>
      <c r="Q976">
        <f t="shared" si="46"/>
        <v>5.8520917415174692E-3</v>
      </c>
      <c r="R976">
        <f t="shared" si="47"/>
        <v>-1.3199470189878821E-2</v>
      </c>
    </row>
    <row r="977" spans="1:18" ht="13">
      <c r="A977" s="24" t="s">
        <v>212</v>
      </c>
      <c r="B977" s="9">
        <v>2017</v>
      </c>
      <c r="C977" s="4">
        <v>0.44258385832013608</v>
      </c>
      <c r="D977" s="10">
        <v>0.83479248779149662</v>
      </c>
      <c r="E977" s="11">
        <v>7.6E-3</v>
      </c>
      <c r="F977" s="11">
        <v>0.38112699999999999</v>
      </c>
      <c r="G977" s="12">
        <v>3.8088977798251086E-2</v>
      </c>
      <c r="H977" s="12">
        <v>-1.948702288495928E-3</v>
      </c>
      <c r="I977" s="12">
        <v>-3.8026867765151615E-2</v>
      </c>
      <c r="J977" s="12">
        <v>2.8947623126670825E-4</v>
      </c>
      <c r="K977" s="12">
        <v>-1.4810137392569053E-5</v>
      </c>
      <c r="L977" s="12">
        <v>-2.8900419501515229E-4</v>
      </c>
      <c r="M977" s="12">
        <v>1.4516737841314041E-2</v>
      </c>
      <c r="N977" s="12">
        <v>-7.4270305710758748E-4</v>
      </c>
      <c r="O977" s="12">
        <v>-1.4493066030728939E-2</v>
      </c>
      <c r="P977">
        <f t="shared" si="45"/>
        <v>3.1796392533637106E-2</v>
      </c>
      <c r="Q977">
        <f t="shared" si="46"/>
        <v>-1.6267620313784985E-3</v>
      </c>
      <c r="R977">
        <f t="shared" si="47"/>
        <v>-3.1744543544589186E-2</v>
      </c>
    </row>
    <row r="978" spans="1:18" ht="13">
      <c r="A978" s="24" t="s">
        <v>212</v>
      </c>
      <c r="B978" s="9">
        <v>2018</v>
      </c>
      <c r="C978" s="4">
        <v>0.35204302991967668</v>
      </c>
      <c r="D978" s="10">
        <v>0.8204637229513233</v>
      </c>
      <c r="E978" s="11">
        <v>2.2000000000000001E-3</v>
      </c>
      <c r="F978" s="11">
        <v>0.200627</v>
      </c>
      <c r="G978" s="12">
        <v>7.5887174647763678E-2</v>
      </c>
      <c r="H978" s="12">
        <v>-9.1981960233507437E-3</v>
      </c>
      <c r="I978" s="12">
        <v>-6.7506474125444416E-2</v>
      </c>
      <c r="J978" s="12">
        <v>1.6695178422508009E-4</v>
      </c>
      <c r="K978" s="12">
        <v>-2.0236031251371639E-5</v>
      </c>
      <c r="L978" s="12">
        <v>-1.4851424307597773E-4</v>
      </c>
      <c r="M978" s="12">
        <v>1.5225016188056884E-2</v>
      </c>
      <c r="N978" s="12">
        <v>-1.8454064735767897E-3</v>
      </c>
      <c r="O978" s="12">
        <v>-1.3543621384365536E-2</v>
      </c>
      <c r="P978">
        <f t="shared" si="45"/>
        <v>6.2262673835761465E-2</v>
      </c>
      <c r="Q978">
        <f t="shared" si="46"/>
        <v>-7.5467861537544083E-3</v>
      </c>
      <c r="R978">
        <f t="shared" si="47"/>
        <v>-5.53866130842793E-2</v>
      </c>
    </row>
    <row r="979" spans="1:18" ht="13">
      <c r="A979" s="24" t="s">
        <v>212</v>
      </c>
      <c r="B979" s="9">
        <v>2019</v>
      </c>
      <c r="C979" s="4">
        <v>3.0885315131613952E-2</v>
      </c>
      <c r="D979" s="10">
        <v>0.77322868460522776</v>
      </c>
      <c r="E979" s="11">
        <v>2.4199999999999998E-3</v>
      </c>
      <c r="F979" s="11">
        <v>0.1104</v>
      </c>
      <c r="G979" s="12">
        <v>7.8018639352878588E-2</v>
      </c>
      <c r="H979" s="12">
        <v>9.9029574268975854E-3</v>
      </c>
      <c r="I979" s="12">
        <v>-0.11760483033573908</v>
      </c>
      <c r="J979" s="12">
        <v>1.8880510723396618E-4</v>
      </c>
      <c r="K979" s="12">
        <v>2.3965156973092157E-5</v>
      </c>
      <c r="L979" s="12">
        <v>-2.8460368941248855E-4</v>
      </c>
      <c r="M979" s="12">
        <v>8.6132577845577964E-3</v>
      </c>
      <c r="N979" s="12">
        <v>1.0932864999294934E-3</v>
      </c>
      <c r="O979" s="12">
        <v>-1.2983573269065594E-2</v>
      </c>
      <c r="P979">
        <f t="shared" si="45"/>
        <v>6.032624988151597E-2</v>
      </c>
      <c r="Q979">
        <f t="shared" si="46"/>
        <v>7.6572507449015909E-3</v>
      </c>
      <c r="R979">
        <f t="shared" si="47"/>
        <v>-9.0935428263724513E-2</v>
      </c>
    </row>
    <row r="980" spans="1:18" ht="13">
      <c r="A980" s="24" t="s">
        <v>212</v>
      </c>
      <c r="B980" s="9">
        <v>2020</v>
      </c>
      <c r="C980" s="4">
        <v>0.6610943587032877</v>
      </c>
      <c r="D980" s="10">
        <v>0.81813044535687207</v>
      </c>
      <c r="E980" s="11">
        <v>2.4199999999999998E-3</v>
      </c>
      <c r="F980" s="11">
        <v>0.1115</v>
      </c>
      <c r="G980" s="12">
        <v>1.2446529993276011E-2</v>
      </c>
      <c r="H980" s="12">
        <v>2.7786520551080843E-2</v>
      </c>
      <c r="I980" s="12">
        <v>-4.3169430177828011E-2</v>
      </c>
      <c r="J980" s="12">
        <v>3.0120602583727944E-5</v>
      </c>
      <c r="K980" s="12">
        <v>6.7243379733615639E-5</v>
      </c>
      <c r="L980" s="12">
        <v>-1.0447002103034377E-4</v>
      </c>
      <c r="M980" s="12">
        <v>1.3877880942502754E-3</v>
      </c>
      <c r="N980" s="12">
        <v>3.0981970414455141E-3</v>
      </c>
      <c r="O980" s="12">
        <v>-4.8133914648278231E-3</v>
      </c>
      <c r="P980">
        <f t="shared" si="45"/>
        <v>1.0182885126546569E-2</v>
      </c>
      <c r="Q980">
        <f t="shared" si="46"/>
        <v>2.2732998433373647E-2</v>
      </c>
      <c r="R980">
        <f t="shared" si="47"/>
        <v>-3.5318225137188825E-2</v>
      </c>
    </row>
    <row r="981" spans="1:18" ht="13">
      <c r="A981" s="24" t="s">
        <v>212</v>
      </c>
      <c r="B981" s="9">
        <v>2021</v>
      </c>
      <c r="C981" s="4">
        <v>-1.5034890344433396</v>
      </c>
      <c r="D981" s="10">
        <v>0.63259934028005327</v>
      </c>
      <c r="E981" s="11">
        <v>2.0660000000000001E-2</v>
      </c>
      <c r="F981" s="11">
        <v>0.105534</v>
      </c>
      <c r="G981" s="12">
        <v>0.25801166524673963</v>
      </c>
      <c r="H981" s="12">
        <v>1.009604532115837E-2</v>
      </c>
      <c r="I981" s="12">
        <v>-0.24975788423589723</v>
      </c>
      <c r="J981" s="12">
        <v>5.3305210039976412E-3</v>
      </c>
      <c r="K981" s="12">
        <v>2.0858429633513194E-4</v>
      </c>
      <c r="L981" s="12">
        <v>-5.1599978883136374E-3</v>
      </c>
      <c r="M981" s="12">
        <v>2.722900308014942E-2</v>
      </c>
      <c r="N981" s="12">
        <v>1.0654760469231276E-3</v>
      </c>
      <c r="O981" s="12">
        <v>-2.6357948554951178E-2</v>
      </c>
      <c r="P981">
        <f t="shared" si="45"/>
        <v>0.16321800921964544</v>
      </c>
      <c r="Q981">
        <f t="shared" si="46"/>
        <v>6.3867516096023039E-3</v>
      </c>
      <c r="R981">
        <f t="shared" si="47"/>
        <v>-0.15799667279737051</v>
      </c>
    </row>
    <row r="982" spans="1:18" ht="13">
      <c r="A982" s="24" t="s">
        <v>213</v>
      </c>
      <c r="B982" s="9">
        <v>2017</v>
      </c>
      <c r="C982" s="4">
        <v>-1.4793604058125287</v>
      </c>
      <c r="D982" s="10">
        <v>0.54372041952216876</v>
      </c>
      <c r="E982" s="11">
        <v>4.0000000000000002E-4</v>
      </c>
      <c r="F982" s="11">
        <v>5.8719999999999996E-3</v>
      </c>
      <c r="G982" s="12">
        <v>0.13258490780356672</v>
      </c>
      <c r="H982" s="12">
        <v>-5.8240884479951537E-2</v>
      </c>
      <c r="I982" s="12">
        <v>-4.2637537389723978E-2</v>
      </c>
      <c r="J982" s="12">
        <v>5.3033963121426686E-5</v>
      </c>
      <c r="K982" s="12">
        <v>-2.3296353791980614E-5</v>
      </c>
      <c r="L982" s="12">
        <v>-1.7055014955889593E-5</v>
      </c>
      <c r="M982" s="12">
        <v>7.7853857862254371E-4</v>
      </c>
      <c r="N982" s="12">
        <v>-3.4199047366627539E-4</v>
      </c>
      <c r="O982" s="12">
        <v>-2.5036761955245918E-4</v>
      </c>
      <c r="P982">
        <f t="shared" si="45"/>
        <v>7.2089121693263356E-2</v>
      </c>
      <c r="Q982">
        <f t="shared" si="46"/>
        <v>-3.1666758142781415E-2</v>
      </c>
      <c r="R982">
        <f t="shared" si="47"/>
        <v>-2.3182899716932878E-2</v>
      </c>
    </row>
    <row r="983" spans="1:18" ht="13">
      <c r="A983" s="24" t="s">
        <v>213</v>
      </c>
      <c r="B983" s="9">
        <v>2018</v>
      </c>
      <c r="C983" s="4">
        <v>-1.8284764309248183</v>
      </c>
      <c r="D983" s="10">
        <v>0.48938377872072419</v>
      </c>
      <c r="E983" s="27">
        <v>4.0000000000000002E-4</v>
      </c>
      <c r="F983" s="11">
        <v>5.9500000000000004E-3</v>
      </c>
      <c r="G983" s="12">
        <v>0.12338960058460881</v>
      </c>
      <c r="H983" s="12">
        <v>-1.5196598933331182E-2</v>
      </c>
      <c r="I983" s="12">
        <v>-0.15154206720578797</v>
      </c>
      <c r="J983" s="12">
        <v>4.9355840233843525E-5</v>
      </c>
      <c r="K983" s="12">
        <v>-6.0786395733324731E-6</v>
      </c>
      <c r="L983" s="12">
        <v>-6.0616826882315193E-5</v>
      </c>
      <c r="M983" s="12">
        <v>7.3416812347842247E-4</v>
      </c>
      <c r="N983" s="12">
        <v>-9.0419763653320541E-5</v>
      </c>
      <c r="O983" s="12">
        <v>-9.0167529987443854E-4</v>
      </c>
      <c r="P983">
        <f t="shared" si="45"/>
        <v>6.0384868988936739E-2</v>
      </c>
      <c r="Q983">
        <f t="shared" si="46"/>
        <v>-7.4369690096969402E-3</v>
      </c>
      <c r="R983">
        <f t="shared" si="47"/>
        <v>-7.4162229484318457E-2</v>
      </c>
    </row>
    <row r="984" spans="1:18" ht="13">
      <c r="A984" s="24" t="s">
        <v>213</v>
      </c>
      <c r="B984" s="9">
        <v>2019</v>
      </c>
      <c r="C984" s="4">
        <v>-1.9079378663103845</v>
      </c>
      <c r="D984" s="10">
        <v>0.45336430377968245</v>
      </c>
      <c r="E984" s="11">
        <v>6.4000000000000005E-4</v>
      </c>
      <c r="F984" s="11">
        <v>5.9500000000000004E-3</v>
      </c>
      <c r="G984" s="12">
        <v>0.13829563018125612</v>
      </c>
      <c r="H984" s="12">
        <v>-3.2097442742728674E-2</v>
      </c>
      <c r="I984" s="12">
        <v>-9.9466945342138541E-2</v>
      </c>
      <c r="J984" s="12">
        <v>8.8509203316003928E-5</v>
      </c>
      <c r="K984" s="12">
        <v>-2.0542363355346355E-5</v>
      </c>
      <c r="L984" s="12">
        <v>-6.3658845018968677E-5</v>
      </c>
      <c r="M984" s="12">
        <v>8.2285899957847402E-4</v>
      </c>
      <c r="N984" s="12">
        <v>-1.9097978431923562E-4</v>
      </c>
      <c r="O984" s="12">
        <v>-5.9182832478572433E-4</v>
      </c>
      <c r="P984">
        <f t="shared" si="45"/>
        <v>6.2698302092897618E-2</v>
      </c>
      <c r="Q984">
        <f t="shared" si="46"/>
        <v>-1.4551834782165407E-2</v>
      </c>
      <c r="R984">
        <f t="shared" si="47"/>
        <v>-4.5094762424130366E-2</v>
      </c>
    </row>
    <row r="985" spans="1:18" ht="13">
      <c r="A985" s="24" t="s">
        <v>213</v>
      </c>
      <c r="B985" s="9">
        <v>2020</v>
      </c>
      <c r="C985" s="4">
        <v>-2.1153102605275151</v>
      </c>
      <c r="D985" s="10">
        <v>0.4131461916859871</v>
      </c>
      <c r="E985" s="11">
        <v>3.8999999999999999E-4</v>
      </c>
      <c r="F985" s="11">
        <v>5.9500000000000004E-3</v>
      </c>
      <c r="G985" s="12">
        <v>8.7078248716987591E-2</v>
      </c>
      <c r="H985" s="12">
        <v>-2.6007320922010434E-3</v>
      </c>
      <c r="I985" s="12">
        <v>-9.0368498748224155E-2</v>
      </c>
      <c r="J985" s="12">
        <v>3.3960516999625158E-5</v>
      </c>
      <c r="K985" s="12">
        <v>-1.0142855159584068E-6</v>
      </c>
      <c r="L985" s="12">
        <v>-3.5243714511807421E-5</v>
      </c>
      <c r="M985" s="12">
        <v>5.1811557986607625E-4</v>
      </c>
      <c r="N985" s="12">
        <v>-1.5474355948596208E-5</v>
      </c>
      <c r="O985" s="12">
        <v>-5.3769256755193371E-4</v>
      </c>
      <c r="P985">
        <f t="shared" si="45"/>
        <v>3.5976046836108617E-2</v>
      </c>
      <c r="Q985">
        <f t="shared" si="46"/>
        <v>-1.0744825594883906E-3</v>
      </c>
      <c r="R985">
        <f t="shared" si="47"/>
        <v>-3.7335401106208699E-2</v>
      </c>
    </row>
    <row r="986" spans="1:18" ht="13">
      <c r="A986" s="24" t="s">
        <v>213</v>
      </c>
      <c r="B986" s="9">
        <v>2021</v>
      </c>
      <c r="C986" s="4">
        <v>-2.717793285081926</v>
      </c>
      <c r="D986" s="10">
        <v>0.34062614780877265</v>
      </c>
      <c r="E986" s="11">
        <v>1.23E-3</v>
      </c>
      <c r="F986" s="11">
        <v>5.9500000000000004E-3</v>
      </c>
      <c r="G986" s="12">
        <v>0.16892845405865184</v>
      </c>
      <c r="H986" s="12">
        <v>-1.0076552804036422E-2</v>
      </c>
      <c r="I986" s="12">
        <v>-0.12330607589553248</v>
      </c>
      <c r="J986" s="12">
        <v>2.0778199849214176E-4</v>
      </c>
      <c r="K986" s="12">
        <v>-1.2394159948964797E-5</v>
      </c>
      <c r="L986" s="12">
        <v>-1.5166647335150495E-4</v>
      </c>
      <c r="M986" s="12">
        <v>1.0051243016489786E-3</v>
      </c>
      <c r="N986" s="12">
        <v>-5.9955489184016711E-5</v>
      </c>
      <c r="O986" s="12">
        <v>-7.336711515784183E-4</v>
      </c>
      <c r="P986">
        <f t="shared" si="45"/>
        <v>5.7541448561289801E-2</v>
      </c>
      <c r="Q986">
        <f t="shared" si="46"/>
        <v>-3.4323373648306125E-3</v>
      </c>
      <c r="R986">
        <f t="shared" si="47"/>
        <v>-4.2001273633711388E-2</v>
      </c>
    </row>
    <row r="987" spans="1:18" ht="13">
      <c r="A987" s="24" t="s">
        <v>214</v>
      </c>
      <c r="B987" s="9">
        <v>2017</v>
      </c>
      <c r="C987" s="4">
        <v>-0.12351606896650107</v>
      </c>
      <c r="D987" s="10">
        <v>0.7541676243729537</v>
      </c>
      <c r="E987" s="11">
        <v>9.8000000000000004E-2</v>
      </c>
      <c r="F987" s="11">
        <v>5.9999999999999995E-4</v>
      </c>
      <c r="G987" s="12">
        <v>7.8514842880507349E-2</v>
      </c>
      <c r="H987" s="12">
        <v>-0.12402920856836311</v>
      </c>
      <c r="I987" s="12">
        <v>3.7608740006527835E-2</v>
      </c>
      <c r="J987" s="12">
        <v>7.6944546022897206E-3</v>
      </c>
      <c r="K987" s="12">
        <v>-1.2154862439699585E-2</v>
      </c>
      <c r="L987" s="12">
        <v>3.6856565206397282E-3</v>
      </c>
      <c r="M987" s="12">
        <v>4.7108905728304406E-5</v>
      </c>
      <c r="N987" s="12">
        <v>-7.4417525141017859E-5</v>
      </c>
      <c r="O987" s="12">
        <v>2.25652440039167E-5</v>
      </c>
      <c r="P987">
        <f t="shared" si="45"/>
        <v>5.9213352533207947E-2</v>
      </c>
      <c r="Q987">
        <f t="shared" si="46"/>
        <v>-9.353881357886E-2</v>
      </c>
      <c r="R987">
        <f t="shared" si="47"/>
        <v>2.836329410638316E-2</v>
      </c>
    </row>
    <row r="988" spans="1:18" ht="13">
      <c r="A988" s="24" t="s">
        <v>214</v>
      </c>
      <c r="B988" s="9">
        <v>2018</v>
      </c>
      <c r="C988" s="4">
        <v>-0.6641900436969238</v>
      </c>
      <c r="D988" s="10">
        <v>0.65582309867468935</v>
      </c>
      <c r="E988" s="11">
        <v>8.6999999999999994E-2</v>
      </c>
      <c r="F988" s="11">
        <v>5.9999999999999995E-4</v>
      </c>
      <c r="G988" s="12">
        <v>-3.4650427634074644E-2</v>
      </c>
      <c r="H988" s="12">
        <v>-0.21627123133610651</v>
      </c>
      <c r="I988" s="12">
        <v>0.26974143848560206</v>
      </c>
      <c r="J988" s="12">
        <v>-3.0145872041644939E-3</v>
      </c>
      <c r="K988" s="12">
        <v>-1.8815597126241264E-2</v>
      </c>
      <c r="L988" s="12">
        <v>2.3467505148247376E-2</v>
      </c>
      <c r="M988" s="12">
        <v>-2.0790256580444783E-5</v>
      </c>
      <c r="N988" s="12">
        <v>-1.297627388016639E-4</v>
      </c>
      <c r="O988" s="12">
        <v>1.6184486309136123E-4</v>
      </c>
      <c r="P988">
        <f t="shared" si="45"/>
        <v>-2.2724550821381917E-2</v>
      </c>
      <c r="Q988">
        <f t="shared" si="46"/>
        <v>-0.14183566908903594</v>
      </c>
      <c r="R988">
        <f t="shared" si="47"/>
        <v>0.17690266602859564</v>
      </c>
    </row>
    <row r="989" spans="1:18" ht="13">
      <c r="A989" s="24" t="s">
        <v>214</v>
      </c>
      <c r="B989" s="9">
        <v>2019</v>
      </c>
      <c r="C989" s="4">
        <v>-0.39282890504955742</v>
      </c>
      <c r="D989" s="10">
        <v>0.70132172687547634</v>
      </c>
      <c r="E989" s="11">
        <v>0.14860000000000001</v>
      </c>
      <c r="F989" s="11">
        <v>5.9999999999999995E-4</v>
      </c>
      <c r="G989" s="12">
        <v>3.9547878186682914E-2</v>
      </c>
      <c r="H989" s="12">
        <v>-0.14827849306764304</v>
      </c>
      <c r="I989" s="12">
        <v>0.1208433134381407</v>
      </c>
      <c r="J989" s="12">
        <v>5.8768146985410811E-3</v>
      </c>
      <c r="K989" s="12">
        <v>-2.2034184069851758E-2</v>
      </c>
      <c r="L989" s="12">
        <v>1.7957316376907707E-2</v>
      </c>
      <c r="M989" s="12">
        <v>2.3728726912009746E-5</v>
      </c>
      <c r="N989" s="12">
        <v>-8.8967095840585811E-5</v>
      </c>
      <c r="O989" s="12">
        <v>7.2505988062884411E-5</v>
      </c>
      <c r="P989">
        <f t="shared" si="45"/>
        <v>2.7735786224145444E-2</v>
      </c>
      <c r="Q989">
        <f t="shared" si="46"/>
        <v>-0.10399092881669277</v>
      </c>
      <c r="R989">
        <f t="shared" si="47"/>
        <v>8.4750041261791295E-2</v>
      </c>
    </row>
    <row r="990" spans="1:18" ht="13">
      <c r="A990" s="24" t="s">
        <v>214</v>
      </c>
      <c r="B990" s="9">
        <v>2020</v>
      </c>
      <c r="C990" s="4">
        <v>-0.485127647512761</v>
      </c>
      <c r="D990" s="10">
        <v>0.67845796973598593</v>
      </c>
      <c r="E990" s="11">
        <v>0.13589999999999999</v>
      </c>
      <c r="F990" s="11">
        <v>5.4000000000000001E-4</v>
      </c>
      <c r="G990" s="12">
        <v>3.7762810968526975E-2</v>
      </c>
      <c r="H990" s="12">
        <v>-3.8375610234199803E-2</v>
      </c>
      <c r="I990" s="12">
        <v>2.6547266075282593E-2</v>
      </c>
      <c r="J990" s="12">
        <v>5.131966010622816E-3</v>
      </c>
      <c r="K990" s="12">
        <v>-5.2152454308277531E-3</v>
      </c>
      <c r="L990" s="12">
        <v>3.607773459630904E-3</v>
      </c>
      <c r="M990" s="12">
        <v>2.0391917923004566E-5</v>
      </c>
      <c r="N990" s="12">
        <v>-2.0722829526467894E-5</v>
      </c>
      <c r="O990" s="12">
        <v>1.43355236806526E-5</v>
      </c>
      <c r="P990">
        <f t="shared" si="45"/>
        <v>2.5620480061230633E-2</v>
      </c>
      <c r="Q990">
        <f t="shared" si="46"/>
        <v>-2.603623860687472E-2</v>
      </c>
      <c r="R990">
        <f t="shared" si="47"/>
        <v>1.8011204243477245E-2</v>
      </c>
    </row>
    <row r="991" spans="1:18" ht="13">
      <c r="A991" s="24" t="s">
        <v>214</v>
      </c>
      <c r="B991" s="9">
        <v>2021</v>
      </c>
      <c r="C991" s="4">
        <v>-0.6482445561261535</v>
      </c>
      <c r="D991" s="10">
        <v>0.62750313987806328</v>
      </c>
      <c r="E991" s="11">
        <v>0.13439999999999999</v>
      </c>
      <c r="F991" s="11">
        <v>5.5000000000000003E-4</v>
      </c>
      <c r="G991" s="12">
        <v>-3.3161566291140296E-2</v>
      </c>
      <c r="H991" s="12">
        <v>-5.2251637413466466E-2</v>
      </c>
      <c r="I991" s="12">
        <v>5.9927545926209698E-2</v>
      </c>
      <c r="J991" s="12">
        <v>-4.4569145095292558E-3</v>
      </c>
      <c r="K991" s="12">
        <v>-7.0226200683698925E-3</v>
      </c>
      <c r="L991" s="12">
        <v>8.0542621724825833E-3</v>
      </c>
      <c r="M991" s="12">
        <v>-1.8238861460127165E-5</v>
      </c>
      <c r="N991" s="12">
        <v>-2.8738400577406557E-5</v>
      </c>
      <c r="O991" s="12">
        <v>3.2960150259415332E-5</v>
      </c>
      <c r="P991">
        <f t="shared" si="45"/>
        <v>-2.0808986970965077E-2</v>
      </c>
      <c r="Q991">
        <f t="shared" si="46"/>
        <v>-3.2788066540720293E-2</v>
      </c>
      <c r="R991">
        <f t="shared" si="47"/>
        <v>3.7604723233883426E-2</v>
      </c>
    </row>
    <row r="992" spans="1:18" ht="13">
      <c r="A992" s="24" t="s">
        <v>215</v>
      </c>
      <c r="B992" s="9">
        <v>2017</v>
      </c>
      <c r="C992" s="4">
        <v>0.21653907512542506</v>
      </c>
      <c r="D992" s="10">
        <v>0.81065441302421182</v>
      </c>
      <c r="E992" s="11">
        <v>0</v>
      </c>
      <c r="F992" s="11">
        <v>0.63104000000000005</v>
      </c>
      <c r="G992" s="12">
        <v>0.44174182449189336</v>
      </c>
      <c r="H992" s="12">
        <v>-0.39053272065121059</v>
      </c>
      <c r="I992" s="12">
        <v>-9.18278432745228E-3</v>
      </c>
      <c r="J992" s="12">
        <v>0</v>
      </c>
      <c r="K992" s="12">
        <v>0</v>
      </c>
      <c r="L992" s="12">
        <v>0</v>
      </c>
      <c r="M992" s="12">
        <v>0.2787567609273644</v>
      </c>
      <c r="N992" s="12">
        <v>-0.24644176803973994</v>
      </c>
      <c r="O992" s="12">
        <v>-5.7947042219954874E-3</v>
      </c>
      <c r="P992">
        <f t="shared" si="45"/>
        <v>0.35809995944172018</v>
      </c>
      <c r="Q992">
        <f t="shared" si="46"/>
        <v>-0.31658707342625558</v>
      </c>
      <c r="R992">
        <f t="shared" si="47"/>
        <v>-7.4440646388987597E-3</v>
      </c>
    </row>
    <row r="993" spans="1:18" ht="13">
      <c r="A993" s="24" t="s">
        <v>215</v>
      </c>
      <c r="B993" s="9">
        <v>2018</v>
      </c>
      <c r="C993" s="4">
        <v>0.46738400754145698</v>
      </c>
      <c r="D993" s="10">
        <v>0.8581828585961343</v>
      </c>
      <c r="E993" s="11">
        <v>0</v>
      </c>
      <c r="F993" s="11">
        <v>0.57604</v>
      </c>
      <c r="G993" s="12">
        <v>-5.6046541200406912E-2</v>
      </c>
      <c r="H993" s="12">
        <v>-8.7337414619968023E-2</v>
      </c>
      <c r="I993" s="12">
        <v>0.1730671414038657</v>
      </c>
      <c r="J993" s="12">
        <v>0</v>
      </c>
      <c r="K993" s="12">
        <v>0</v>
      </c>
      <c r="L993" s="12">
        <v>0</v>
      </c>
      <c r="M993" s="12">
        <v>-3.2285049593082399E-2</v>
      </c>
      <c r="N993" s="12">
        <v>-5.0309844317686377E-2</v>
      </c>
      <c r="O993" s="12">
        <v>9.9693596134282803E-2</v>
      </c>
      <c r="P993">
        <f t="shared" si="45"/>
        <v>-4.8098180941791219E-2</v>
      </c>
      <c r="Q993">
        <f t="shared" si="46"/>
        <v>-7.4951472140959971E-2</v>
      </c>
      <c r="R993">
        <f t="shared" si="47"/>
        <v>0.14852325413903086</v>
      </c>
    </row>
    <row r="994" spans="1:18" ht="13">
      <c r="A994" s="24" t="s">
        <v>215</v>
      </c>
      <c r="B994" s="9">
        <v>2019</v>
      </c>
      <c r="C994" s="4">
        <v>0.23351227192389348</v>
      </c>
      <c r="D994" s="10">
        <v>0.81880756686236134</v>
      </c>
      <c r="E994" s="11">
        <v>4.0000000000000002E-4</v>
      </c>
      <c r="F994" s="11">
        <v>0.56633999999999995</v>
      </c>
      <c r="G994" s="12">
        <v>-0.16256229615133724</v>
      </c>
      <c r="H994" s="12">
        <v>0.25774298760600128</v>
      </c>
      <c r="I994" s="12">
        <v>-0.10909328114807568</v>
      </c>
      <c r="J994" s="12">
        <v>-6.5024918460534901E-5</v>
      </c>
      <c r="K994" s="12">
        <v>1.0309719504240052E-4</v>
      </c>
      <c r="L994" s="12">
        <v>-4.3637312459230272E-5</v>
      </c>
      <c r="M994" s="12">
        <v>-9.2065530802348333E-2</v>
      </c>
      <c r="N994" s="12">
        <v>0.14597016360078274</v>
      </c>
      <c r="O994" s="12">
        <v>-6.1783888845401175E-2</v>
      </c>
      <c r="P994">
        <f t="shared" si="45"/>
        <v>-0.13310723817523507</v>
      </c>
      <c r="Q994">
        <f t="shared" si="46"/>
        <v>0.21104190855750565</v>
      </c>
      <c r="R994">
        <f t="shared" si="47"/>
        <v>-8.9326404097887363E-2</v>
      </c>
    </row>
    <row r="995" spans="1:18" ht="13">
      <c r="A995" s="24" t="s">
        <v>215</v>
      </c>
      <c r="B995" s="9">
        <v>2020</v>
      </c>
      <c r="C995" s="4">
        <v>-0.76548996756229037</v>
      </c>
      <c r="D995" s="10">
        <v>0.66597682919753209</v>
      </c>
      <c r="E995" s="11">
        <v>2.9999999999999997E-4</v>
      </c>
      <c r="F995" s="11">
        <v>0.39030000000000004</v>
      </c>
      <c r="G995" s="12">
        <v>2.8986067861955143E-2</v>
      </c>
      <c r="H995" s="12">
        <v>8.4527654746017325E-2</v>
      </c>
      <c r="I995" s="12">
        <v>-7.0240927347865051E-2</v>
      </c>
      <c r="J995" s="12">
        <v>8.6958203585865417E-6</v>
      </c>
      <c r="K995" s="12">
        <v>2.5358296423805197E-5</v>
      </c>
      <c r="L995" s="12">
        <v>-2.1072278204359514E-5</v>
      </c>
      <c r="M995" s="12">
        <v>1.1313262286521094E-2</v>
      </c>
      <c r="N995" s="12">
        <v>3.2991143647370567E-2</v>
      </c>
      <c r="O995" s="12">
        <v>-2.7415033943871733E-2</v>
      </c>
      <c r="P995">
        <f t="shared" si="45"/>
        <v>1.9304049565609376E-2</v>
      </c>
      <c r="Q995">
        <f t="shared" si="46"/>
        <v>5.6293459487256343E-2</v>
      </c>
      <c r="R995">
        <f t="shared" si="47"/>
        <v>-4.6778830075025382E-2</v>
      </c>
    </row>
    <row r="996" spans="1:18" ht="13">
      <c r="A996" s="24" t="s">
        <v>215</v>
      </c>
      <c r="B996" s="9">
        <v>2021</v>
      </c>
      <c r="C996" s="4">
        <v>-1.5850818310336738</v>
      </c>
      <c r="D996" s="10">
        <v>0.6168505390326775</v>
      </c>
      <c r="E996" s="11">
        <v>1.8200000000000001E-2</v>
      </c>
      <c r="F996" s="11">
        <v>0.36564000000000002</v>
      </c>
      <c r="G996" s="12">
        <v>0.1156759931205168</v>
      </c>
      <c r="H996" s="12">
        <v>-8.2553798397583793E-3</v>
      </c>
      <c r="I996" s="12">
        <v>0.10312932589454255</v>
      </c>
      <c r="J996" s="12">
        <v>2.1053030747934056E-3</v>
      </c>
      <c r="K996" s="12">
        <v>-1.5024791308360252E-4</v>
      </c>
      <c r="L996" s="12">
        <v>1.8769537312806745E-3</v>
      </c>
      <c r="M996" s="12">
        <v>4.2295770124585762E-2</v>
      </c>
      <c r="N996" s="12">
        <v>-3.0184970846092538E-3</v>
      </c>
      <c r="O996" s="12">
        <v>3.7708206720080538E-2</v>
      </c>
      <c r="P996">
        <f t="shared" si="45"/>
        <v>7.1354798709531084E-2</v>
      </c>
      <c r="Q996">
        <f t="shared" si="46"/>
        <v>-5.0923355040744548E-3</v>
      </c>
      <c r="R996">
        <f t="shared" si="47"/>
        <v>6.361538026812523E-2</v>
      </c>
    </row>
    <row r="997" spans="1:18" ht="13">
      <c r="A997" s="24" t="s">
        <v>217</v>
      </c>
      <c r="B997" s="9">
        <v>2017</v>
      </c>
      <c r="C997" s="4">
        <v>-1.8827656614276613</v>
      </c>
      <c r="D997" s="10">
        <v>0.50353120527658524</v>
      </c>
      <c r="E997" s="11">
        <v>0.13350000000000001</v>
      </c>
      <c r="F997" s="11">
        <v>7.1900000000000002E-3</v>
      </c>
      <c r="G997" s="12">
        <v>0.1495913965113144</v>
      </c>
      <c r="H997" s="12">
        <v>-0.13162425072075998</v>
      </c>
      <c r="I997" s="12">
        <v>-1.1029183000435566E-2</v>
      </c>
      <c r="J997" s="12">
        <v>1.9970451434260472E-2</v>
      </c>
      <c r="K997" s="12">
        <v>-1.7571837471221458E-2</v>
      </c>
      <c r="L997" s="12">
        <v>-1.4723959305581482E-3</v>
      </c>
      <c r="M997" s="12">
        <v>1.0755621409163506E-3</v>
      </c>
      <c r="N997" s="12">
        <v>-9.4637836268226432E-4</v>
      </c>
      <c r="O997" s="12">
        <v>-7.9299825773131719E-5</v>
      </c>
      <c r="P997">
        <f t="shared" si="45"/>
        <v>7.532393618434971E-2</v>
      </c>
      <c r="Q997">
        <f t="shared" si="46"/>
        <v>-6.6276917609051716E-2</v>
      </c>
      <c r="R997">
        <f t="shared" si="47"/>
        <v>-5.5535378094253452E-3</v>
      </c>
    </row>
    <row r="998" spans="1:18" ht="13">
      <c r="A998" s="24" t="s">
        <v>217</v>
      </c>
      <c r="B998" s="9">
        <v>2018</v>
      </c>
      <c r="C998" s="4">
        <v>-1.8137829799803873</v>
      </c>
      <c r="D998" s="10">
        <v>0.49312519284171558</v>
      </c>
      <c r="E998" s="11">
        <v>0.1333</v>
      </c>
      <c r="F998" s="11">
        <v>1.8E-3</v>
      </c>
      <c r="G998" s="12">
        <v>4.4686246528849123E-2</v>
      </c>
      <c r="H998" s="12">
        <v>-3.1433199629743907E-3</v>
      </c>
      <c r="I998" s="12">
        <v>-5.4791152422091954E-2</v>
      </c>
      <c r="J998" s="12">
        <v>5.9566766622955883E-3</v>
      </c>
      <c r="K998" s="12">
        <v>-4.1900455106448625E-4</v>
      </c>
      <c r="L998" s="12">
        <v>-7.3036606178648574E-3</v>
      </c>
      <c r="M998" s="12">
        <v>8.0435243751928416E-5</v>
      </c>
      <c r="N998" s="12">
        <v>-5.6579759333539028E-6</v>
      </c>
      <c r="O998" s="12">
        <v>-9.862407435976552E-5</v>
      </c>
      <c r="P998">
        <f t="shared" si="45"/>
        <v>2.2035913936911167E-2</v>
      </c>
      <c r="Q998">
        <f t="shared" si="46"/>
        <v>-1.5500502629049607E-3</v>
      </c>
      <c r="R998">
        <f t="shared" si="47"/>
        <v>-2.7018897604163927E-2</v>
      </c>
    </row>
    <row r="999" spans="1:18" ht="13">
      <c r="A999" s="24" t="s">
        <v>217</v>
      </c>
      <c r="B999" s="9">
        <v>2019</v>
      </c>
      <c r="C999" s="4">
        <v>-1.9308234047782216</v>
      </c>
      <c r="D999" s="10">
        <v>0.43026571322728757</v>
      </c>
      <c r="E999" s="11">
        <v>0.13500000000000001</v>
      </c>
      <c r="F999" s="11">
        <v>0.1615</v>
      </c>
      <c r="G999" s="12">
        <v>9.1512219216218951E-2</v>
      </c>
      <c r="H999" s="12">
        <v>-3.8279767851730454E-3</v>
      </c>
      <c r="I999" s="12">
        <v>-9.3358853178567833E-2</v>
      </c>
      <c r="J999" s="12">
        <v>1.2354149594189559E-2</v>
      </c>
      <c r="K999" s="12">
        <v>-5.1677686599836117E-4</v>
      </c>
      <c r="L999" s="12">
        <v>-1.2603445179106658E-2</v>
      </c>
      <c r="M999" s="12">
        <v>1.4779223403419361E-2</v>
      </c>
      <c r="N999" s="12">
        <v>-6.1821825080544685E-4</v>
      </c>
      <c r="O999" s="12">
        <v>-1.5077454788338706E-2</v>
      </c>
      <c r="P999">
        <f t="shared" si="45"/>
        <v>3.9374570270078339E-2</v>
      </c>
      <c r="Q999">
        <f t="shared" si="46"/>
        <v>-1.6470471616899798E-3</v>
      </c>
      <c r="R999">
        <f t="shared" si="47"/>
        <v>-4.0169113548958114E-2</v>
      </c>
    </row>
    <row r="1000" spans="1:18" ht="13">
      <c r="A1000" s="24" t="s">
        <v>217</v>
      </c>
      <c r="B1000" s="9">
        <v>2020</v>
      </c>
      <c r="C1000" s="4">
        <v>-1.46973625139956</v>
      </c>
      <c r="D1000" s="10">
        <v>0.50288721444803253</v>
      </c>
      <c r="E1000" s="11">
        <v>0.1172</v>
      </c>
      <c r="F1000" s="11">
        <v>6.5909999999999996E-2</v>
      </c>
      <c r="G1000" s="12">
        <v>-7.7167802894390625E-2</v>
      </c>
      <c r="H1000" s="12">
        <v>-1.2280827652194714E-2</v>
      </c>
      <c r="I1000" s="12">
        <v>7.4383446956105728E-2</v>
      </c>
      <c r="J1000" s="12">
        <v>-9.0440664992225816E-3</v>
      </c>
      <c r="K1000" s="12">
        <v>-1.4393130008372205E-3</v>
      </c>
      <c r="L1000" s="12">
        <v>8.7177399832555919E-3</v>
      </c>
      <c r="M1000" s="12">
        <v>-5.0861298887692856E-3</v>
      </c>
      <c r="N1000" s="12">
        <v>-8.0942935055615362E-4</v>
      </c>
      <c r="O1000" s="12">
        <v>4.902612988876928E-3</v>
      </c>
      <c r="P1000">
        <f t="shared" si="45"/>
        <v>-3.8806701442634921E-2</v>
      </c>
      <c r="Q1000">
        <f t="shared" si="46"/>
        <v>-6.1758712091285707E-3</v>
      </c>
      <c r="R1000">
        <f t="shared" si="47"/>
        <v>3.7406484440798991E-2</v>
      </c>
    </row>
    <row r="1001" spans="1:18" ht="13">
      <c r="A1001" s="24" t="s">
        <v>217</v>
      </c>
      <c r="B1001" s="9">
        <v>2021</v>
      </c>
      <c r="C1001" s="4">
        <v>-1.758952129504596</v>
      </c>
      <c r="D1001" s="10">
        <v>0.4790619438824017</v>
      </c>
      <c r="E1001" s="11">
        <v>4.7000000000000002E-3</v>
      </c>
      <c r="F1001" s="11">
        <v>6.5909999999999996E-2</v>
      </c>
      <c r="G1001" s="12">
        <v>-4.058896662684966E-2</v>
      </c>
      <c r="H1001" s="12">
        <v>7.6263377294556428E-2</v>
      </c>
      <c r="I1001" s="12">
        <v>1.3563784403110601E-2</v>
      </c>
      <c r="J1001" s="12">
        <v>-1.907681431461934E-4</v>
      </c>
      <c r="K1001" s="12">
        <v>3.5843787328441524E-4</v>
      </c>
      <c r="L1001" s="12">
        <v>6.3749786694619823E-5</v>
      </c>
      <c r="M1001" s="12">
        <v>-2.6752187903756608E-3</v>
      </c>
      <c r="N1001" s="12">
        <v>5.026519197484214E-3</v>
      </c>
      <c r="O1001" s="12">
        <v>8.9398903000901966E-4</v>
      </c>
      <c r="P1001">
        <f t="shared" si="45"/>
        <v>-1.9444629252436528E-2</v>
      </c>
      <c r="Q1001">
        <f t="shared" si="46"/>
        <v>3.6534881773767222E-2</v>
      </c>
      <c r="R1001">
        <f t="shared" si="47"/>
        <v>6.4978929225559664E-3</v>
      </c>
    </row>
    <row r="1002" spans="1:18" ht="13">
      <c r="A1002" s="24" t="s">
        <v>218</v>
      </c>
      <c r="B1002" s="9">
        <v>2017</v>
      </c>
      <c r="C1002" s="4">
        <v>-3.0855662849706138</v>
      </c>
      <c r="D1002" s="10">
        <v>0.27693471979242423</v>
      </c>
      <c r="E1002" s="11">
        <v>2.4199999999999998E-3</v>
      </c>
      <c r="F1002" s="11">
        <v>0</v>
      </c>
      <c r="G1002" s="12">
        <v>-7.9826233955143197E-2</v>
      </c>
      <c r="H1002" s="12">
        <v>-0.2831266093998781</v>
      </c>
      <c r="I1002" s="12">
        <v>0.37892398718377135</v>
      </c>
      <c r="J1002" s="12">
        <v>-1.9317948617144653E-4</v>
      </c>
      <c r="K1002" s="12">
        <v>-6.8516639474770497E-4</v>
      </c>
      <c r="L1002" s="12">
        <v>9.1699604898472665E-4</v>
      </c>
      <c r="M1002" s="12">
        <v>0</v>
      </c>
      <c r="N1002" s="12">
        <v>0</v>
      </c>
      <c r="O1002" s="12">
        <v>0</v>
      </c>
      <c r="P1002">
        <f t="shared" si="45"/>
        <v>-2.2106655732452081E-2</v>
      </c>
      <c r="Q1002">
        <f t="shared" si="46"/>
        <v>-7.8407588239934392E-2</v>
      </c>
      <c r="R1002">
        <f t="shared" si="47"/>
        <v>0.10493720821336587</v>
      </c>
    </row>
    <row r="1003" spans="1:18" ht="13">
      <c r="A1003" s="24" t="s">
        <v>218</v>
      </c>
      <c r="B1003" s="9">
        <v>2018</v>
      </c>
      <c r="C1003" s="4">
        <v>-3.5758973899835866</v>
      </c>
      <c r="D1003" s="10">
        <v>0.28517067395777546</v>
      </c>
      <c r="E1003" s="11">
        <v>2.6370000000000001E-2</v>
      </c>
      <c r="F1003" s="11">
        <v>0</v>
      </c>
      <c r="G1003" s="12">
        <v>-0.2269921357499225</v>
      </c>
      <c r="H1003" s="12">
        <v>0.19889646813428419</v>
      </c>
      <c r="I1003" s="12">
        <v>-3.5938777235955692E-4</v>
      </c>
      <c r="J1003" s="12">
        <v>-5.9857826197254561E-3</v>
      </c>
      <c r="K1003" s="12">
        <v>5.2448998647010745E-3</v>
      </c>
      <c r="L1003" s="12">
        <v>-9.4770555571215161E-6</v>
      </c>
      <c r="M1003" s="12">
        <v>0</v>
      </c>
      <c r="N1003" s="12">
        <v>0</v>
      </c>
      <c r="O1003" s="12">
        <v>0</v>
      </c>
      <c r="P1003">
        <f t="shared" si="45"/>
        <v>-6.4731500334920256E-2</v>
      </c>
      <c r="Q1003">
        <f t="shared" si="46"/>
        <v>5.6719439865675028E-2</v>
      </c>
      <c r="R1003">
        <f t="shared" si="47"/>
        <v>-1.0248685325595844E-4</v>
      </c>
    </row>
    <row r="1004" spans="1:18" ht="13">
      <c r="A1004" s="24" t="s">
        <v>218</v>
      </c>
      <c r="B1004" s="9">
        <v>2019</v>
      </c>
      <c r="C1004" s="4">
        <v>-2.9735940111555648</v>
      </c>
      <c r="D1004" s="10">
        <v>0.24716143128335538</v>
      </c>
      <c r="E1004" s="11">
        <v>3.4200000000000001E-2</v>
      </c>
      <c r="F1004" s="11">
        <v>0</v>
      </c>
      <c r="G1004" s="12">
        <v>-0.21207779648268202</v>
      </c>
      <c r="H1004" s="12">
        <v>3.6808863736762294E-2</v>
      </c>
      <c r="I1004" s="12">
        <v>0.16521007199398258</v>
      </c>
      <c r="J1004" s="12">
        <v>-7.2530606397077256E-3</v>
      </c>
      <c r="K1004" s="12">
        <v>1.2588631397972706E-3</v>
      </c>
      <c r="L1004" s="12">
        <v>5.6501844621942047E-3</v>
      </c>
      <c r="M1004" s="12">
        <v>0</v>
      </c>
      <c r="N1004" s="12">
        <v>0</v>
      </c>
      <c r="O1004" s="12">
        <v>0</v>
      </c>
      <c r="P1004">
        <f t="shared" si="45"/>
        <v>-5.2417451722079837E-2</v>
      </c>
      <c r="Q1004">
        <f t="shared" si="46"/>
        <v>9.0977314450921658E-3</v>
      </c>
      <c r="R1004">
        <f t="shared" si="47"/>
        <v>4.0833557856458917E-2</v>
      </c>
    </row>
    <row r="1005" spans="1:18" ht="13">
      <c r="A1005" s="24" t="s">
        <v>218</v>
      </c>
      <c r="B1005" s="9">
        <v>2020</v>
      </c>
      <c r="C1005" s="4">
        <v>-2.8846992217058545</v>
      </c>
      <c r="D1005" s="10">
        <v>0.25114564536043305</v>
      </c>
      <c r="E1005" s="11">
        <v>1.72E-2</v>
      </c>
      <c r="F1005" s="11">
        <v>0.1173</v>
      </c>
      <c r="G1005" s="12">
        <v>-0.17399563111406591</v>
      </c>
      <c r="H1005" s="12">
        <v>4.3926298793807574E-4</v>
      </c>
      <c r="I1005" s="12">
        <v>0.17241072276569472</v>
      </c>
      <c r="J1005" s="12">
        <v>-2.9927248551619334E-3</v>
      </c>
      <c r="K1005" s="12">
        <v>7.5553233925349026E-6</v>
      </c>
      <c r="L1005" s="12">
        <v>2.9654644315699492E-3</v>
      </c>
      <c r="M1005" s="12">
        <v>-2.0409687529679931E-2</v>
      </c>
      <c r="N1005" s="12">
        <v>5.1525548485136289E-5</v>
      </c>
      <c r="O1005" s="12">
        <v>2.0223777780415991E-2</v>
      </c>
      <c r="P1005">
        <f t="shared" si="45"/>
        <v>-4.3698245066037929E-2</v>
      </c>
      <c r="Q1005">
        <f t="shared" si="46"/>
        <v>1.1031898658866014E-4</v>
      </c>
      <c r="R1005">
        <f t="shared" si="47"/>
        <v>4.3300202236049107E-2</v>
      </c>
    </row>
    <row r="1006" spans="1:18" ht="13">
      <c r="A1006" s="24" t="s">
        <v>218</v>
      </c>
      <c r="B1006" s="9">
        <v>2021</v>
      </c>
      <c r="C1006" s="4">
        <v>-2.5549792235101689</v>
      </c>
      <c r="D1006" s="10">
        <v>0.32077370604982591</v>
      </c>
      <c r="E1006" s="11">
        <v>2.7000000000000001E-3</v>
      </c>
      <c r="F1006" s="11">
        <v>0.12529999999999999</v>
      </c>
      <c r="G1006" s="12">
        <v>-9.329034966389857E-2</v>
      </c>
      <c r="H1006" s="12">
        <v>1.6145785680840871E-5</v>
      </c>
      <c r="I1006" s="12">
        <v>9.2111707309197183E-2</v>
      </c>
      <c r="J1006" s="12">
        <v>-2.5188394409252616E-4</v>
      </c>
      <c r="K1006" s="12">
        <v>4.3593621338270351E-8</v>
      </c>
      <c r="L1006" s="12">
        <v>2.4870160973483238E-4</v>
      </c>
      <c r="M1006" s="12">
        <v>-1.1689280812886491E-2</v>
      </c>
      <c r="N1006" s="12">
        <v>2.0230669458093612E-6</v>
      </c>
      <c r="O1006" s="12">
        <v>1.1541596925842406E-2</v>
      </c>
      <c r="P1006">
        <f t="shared" si="45"/>
        <v>-2.9925091200372875E-2</v>
      </c>
      <c r="Q1006">
        <f t="shared" si="46"/>
        <v>5.1791435099295376E-6</v>
      </c>
      <c r="R1006">
        <f t="shared" si="47"/>
        <v>2.954701372414802E-2</v>
      </c>
    </row>
    <row r="1007" spans="1:18" ht="13">
      <c r="A1007" s="24" t="s">
        <v>219</v>
      </c>
      <c r="B1007" s="9">
        <v>2017</v>
      </c>
      <c r="C1007" s="4">
        <v>-1.0670890581479817</v>
      </c>
      <c r="D1007" s="10">
        <v>0.61062239221140469</v>
      </c>
      <c r="E1007" s="11">
        <v>3.1199999999999999E-2</v>
      </c>
      <c r="F1007" s="11">
        <v>2.8038E-3</v>
      </c>
      <c r="G1007" s="12">
        <v>-0.17327885952712099</v>
      </c>
      <c r="H1007" s="12">
        <v>-6.7663421418636988E-2</v>
      </c>
      <c r="I1007" s="12">
        <v>0.21183936022253128</v>
      </c>
      <c r="J1007" s="12">
        <v>-5.4063004172461744E-3</v>
      </c>
      <c r="K1007" s="12">
        <v>-2.1110987482614741E-3</v>
      </c>
      <c r="L1007" s="12">
        <v>6.6093880389429755E-3</v>
      </c>
      <c r="M1007" s="12">
        <v>-4.8583926634214182E-4</v>
      </c>
      <c r="N1007" s="12">
        <v>-1.8971470097357439E-4</v>
      </c>
      <c r="O1007" s="12">
        <v>5.939551981919332E-4</v>
      </c>
      <c r="P1007">
        <f t="shared" si="45"/>
        <v>-0.10580795172411457</v>
      </c>
      <c r="Q1007">
        <f t="shared" si="46"/>
        <v>-4.1316800251856516E-2</v>
      </c>
      <c r="R1007">
        <f t="shared" si="47"/>
        <v>0.12935385690361553</v>
      </c>
    </row>
    <row r="1008" spans="1:18" ht="13">
      <c r="A1008" s="24" t="s">
        <v>219</v>
      </c>
      <c r="B1008" s="9">
        <v>2018</v>
      </c>
      <c r="C1008" s="4">
        <v>-0.43708196803841737</v>
      </c>
      <c r="D1008" s="10">
        <v>0.70340684215771421</v>
      </c>
      <c r="E1008" s="11">
        <v>5.1000000000000004E-3</v>
      </c>
      <c r="F1008" s="11">
        <v>2.8038E-3</v>
      </c>
      <c r="G1008" s="12">
        <v>7.4457937671730196E-3</v>
      </c>
      <c r="H1008" s="12">
        <v>-4.0574593186315684E-3</v>
      </c>
      <c r="I1008" s="12">
        <v>4.4845602995401551E-3</v>
      </c>
      <c r="J1008" s="12">
        <v>3.7973548212582403E-5</v>
      </c>
      <c r="K1008" s="12">
        <v>-2.0693042525021E-5</v>
      </c>
      <c r="L1008" s="12">
        <v>2.2871257527654792E-5</v>
      </c>
      <c r="M1008" s="12">
        <v>2.0876516564399713E-5</v>
      </c>
      <c r="N1008" s="12">
        <v>-1.1376304437579192E-5</v>
      </c>
      <c r="O1008" s="12">
        <v>1.2573810167850687E-5</v>
      </c>
      <c r="P1008">
        <f t="shared" si="45"/>
        <v>5.2374222811247644E-3</v>
      </c>
      <c r="Q1008">
        <f t="shared" si="46"/>
        <v>-2.8540446465020221E-3</v>
      </c>
      <c r="R1008">
        <f t="shared" si="47"/>
        <v>3.1544703987653935E-3</v>
      </c>
    </row>
    <row r="1009" spans="1:18" ht="13">
      <c r="A1009" s="24" t="s">
        <v>219</v>
      </c>
      <c r="B1009" s="9">
        <v>2019</v>
      </c>
      <c r="C1009" s="4">
        <v>-0.51733496975319848</v>
      </c>
      <c r="D1009" s="10">
        <v>0.6913357667469594</v>
      </c>
      <c r="E1009" s="11">
        <v>5.1000000000000004E-3</v>
      </c>
      <c r="F1009" s="11">
        <v>2.8038E-3</v>
      </c>
      <c r="G1009" s="12">
        <v>4.2855665075588518E-4</v>
      </c>
      <c r="H1009" s="12">
        <v>-6.1135822902658524E-2</v>
      </c>
      <c r="I1009" s="12">
        <v>2.0807164284975393E-2</v>
      </c>
      <c r="J1009" s="12">
        <v>2.1856389188550148E-6</v>
      </c>
      <c r="K1009" s="12">
        <v>-3.1179269680355851E-4</v>
      </c>
      <c r="L1009" s="12">
        <v>1.0611653785337452E-4</v>
      </c>
      <c r="M1009" s="12">
        <v>1.2015871373893509E-6</v>
      </c>
      <c r="N1009" s="12">
        <v>-1.7141262025447397E-4</v>
      </c>
      <c r="O1009" s="12">
        <v>5.8339127222214011E-5</v>
      </c>
      <c r="P1009">
        <f t="shared" si="45"/>
        <v>2.9627654074482879E-4</v>
      </c>
      <c r="Q1009">
        <f t="shared" si="46"/>
        <v>-4.226538100211575E-2</v>
      </c>
      <c r="R1009">
        <f t="shared" si="47"/>
        <v>1.4384736874783413E-2</v>
      </c>
    </row>
    <row r="1010" spans="1:18" ht="13">
      <c r="A1010" s="24" t="s">
        <v>219</v>
      </c>
      <c r="B1010" s="9">
        <v>2020</v>
      </c>
      <c r="C1010" s="4">
        <v>-0.51776390699517783</v>
      </c>
      <c r="D1010" s="10">
        <v>0.6874277192768885</v>
      </c>
      <c r="E1010" s="11">
        <v>5.1000000000000004E-3</v>
      </c>
      <c r="F1010" s="11">
        <v>2.8038E-3</v>
      </c>
      <c r="G1010" s="12">
        <v>8.2978270132083518E-2</v>
      </c>
      <c r="H1010" s="12">
        <v>-1.263010530160083E-2</v>
      </c>
      <c r="I1010" s="12">
        <v>-3.8042485848195265E-2</v>
      </c>
      <c r="J1010" s="12">
        <v>4.2318917767362595E-4</v>
      </c>
      <c r="K1010" s="12">
        <v>-6.4413537038164246E-5</v>
      </c>
      <c r="L1010" s="12">
        <v>-1.9401667782579585E-4</v>
      </c>
      <c r="M1010" s="12">
        <v>2.3265447379633577E-4</v>
      </c>
      <c r="N1010" s="12">
        <v>-3.541228924462841E-5</v>
      </c>
      <c r="O1010" s="12">
        <v>-1.0666352182116988E-4</v>
      </c>
      <c r="P1010">
        <f t="shared" si="45"/>
        <v>5.7041562986439732E-2</v>
      </c>
      <c r="Q1010">
        <f t="shared" si="46"/>
        <v>-8.6822844817063972E-3</v>
      </c>
      <c r="R1010">
        <f t="shared" si="47"/>
        <v>-2.6151459282248178E-2</v>
      </c>
    </row>
    <row r="1011" spans="1:18" ht="13">
      <c r="A1011" s="24" t="s">
        <v>219</v>
      </c>
      <c r="B1011" s="9">
        <v>2021</v>
      </c>
      <c r="C1011" s="4">
        <v>-1.3413768622597677</v>
      </c>
      <c r="D1011" s="10">
        <v>0.59409504625484932</v>
      </c>
      <c r="E1011" s="11">
        <v>5.3E-3</v>
      </c>
      <c r="F1011" s="11">
        <v>2.8038E-3</v>
      </c>
      <c r="G1011" s="12">
        <v>3.2359743360190991E-2</v>
      </c>
      <c r="H1011" s="12">
        <v>0.13607878245299909</v>
      </c>
      <c r="I1011" s="12">
        <v>-0.10577066547299314</v>
      </c>
      <c r="J1011" s="12">
        <v>1.7150663980901226E-4</v>
      </c>
      <c r="K1011" s="12">
        <v>7.2121754700089523E-4</v>
      </c>
      <c r="L1011" s="12">
        <v>-5.6058452700686364E-4</v>
      </c>
      <c r="M1011" s="12">
        <v>9.0730248433303504E-5</v>
      </c>
      <c r="N1011" s="12">
        <v>3.8153769024171886E-4</v>
      </c>
      <c r="O1011" s="12">
        <v>-2.9655979185317819E-4</v>
      </c>
      <c r="P1011">
        <f t="shared" si="45"/>
        <v>1.9224763228367719E-2</v>
      </c>
      <c r="Q1011">
        <f t="shared" si="46"/>
        <v>8.0843730555718071E-2</v>
      </c>
      <c r="R1011">
        <f t="shared" si="47"/>
        <v>-6.2837828396584056E-2</v>
      </c>
    </row>
    <row r="1012" spans="1:18" ht="13">
      <c r="A1012" s="24" t="s">
        <v>220</v>
      </c>
      <c r="B1012" s="9">
        <v>2017</v>
      </c>
      <c r="C1012" s="4">
        <v>-2.1421322703768437</v>
      </c>
      <c r="D1012" s="10">
        <v>0.41732170196150958</v>
      </c>
      <c r="E1012" s="11">
        <v>2.01E-2</v>
      </c>
      <c r="F1012" s="11">
        <v>3.3E-4</v>
      </c>
      <c r="G1012" s="12">
        <v>0.202978740893725</v>
      </c>
      <c r="H1012" s="12">
        <v>-0.10238586973274559</v>
      </c>
      <c r="I1012" s="12">
        <v>-8.964992858830903E-2</v>
      </c>
      <c r="J1012" s="12">
        <v>4.0798726919638725E-3</v>
      </c>
      <c r="K1012" s="12">
        <v>-2.0579559816281865E-3</v>
      </c>
      <c r="L1012" s="12">
        <v>-1.8019635646250114E-3</v>
      </c>
      <c r="M1012" s="12">
        <v>6.6982984494929254E-5</v>
      </c>
      <c r="N1012" s="12">
        <v>-3.3787337011806042E-5</v>
      </c>
      <c r="O1012" s="12">
        <v>-2.9584476434141979E-5</v>
      </c>
      <c r="P1012">
        <f t="shared" si="45"/>
        <v>8.4707433611773589E-2</v>
      </c>
      <c r="Q1012">
        <f t="shared" si="46"/>
        <v>-4.27278454136788E-2</v>
      </c>
      <c r="R1012">
        <f t="shared" si="47"/>
        <v>-3.7412860779200918E-2</v>
      </c>
    </row>
    <row r="1013" spans="1:18" ht="13">
      <c r="A1013" s="24" t="s">
        <v>220</v>
      </c>
      <c r="B1013" s="9">
        <v>2018</v>
      </c>
      <c r="C1013" s="4">
        <v>-2.4018566952273637</v>
      </c>
      <c r="D1013" s="10">
        <v>0.37756782525786597</v>
      </c>
      <c r="E1013" s="11">
        <v>2.4199999999999999E-2</v>
      </c>
      <c r="F1013" s="11">
        <v>2.3E-3</v>
      </c>
      <c r="G1013" s="12">
        <v>0.22496641241223886</v>
      </c>
      <c r="H1013" s="12">
        <v>-1.5569472133136862E-2</v>
      </c>
      <c r="I1013" s="12">
        <v>-0.12919303111727484</v>
      </c>
      <c r="J1013" s="12">
        <v>5.4441871803761806E-3</v>
      </c>
      <c r="K1013" s="12">
        <v>-3.7678122562191202E-4</v>
      </c>
      <c r="L1013" s="12">
        <v>-3.1264713530380511E-3</v>
      </c>
      <c r="M1013" s="12">
        <v>5.1742274854814938E-4</v>
      </c>
      <c r="N1013" s="12">
        <v>-3.5809785906214783E-5</v>
      </c>
      <c r="O1013" s="12">
        <v>-2.9714397156973215E-4</v>
      </c>
      <c r="P1013">
        <f t="shared" si="45"/>
        <v>8.4940079090553205E-2</v>
      </c>
      <c r="Q1013">
        <f t="shared" si="46"/>
        <v>-5.8785317337214328E-3</v>
      </c>
      <c r="R1013">
        <f t="shared" si="47"/>
        <v>-4.8779131797421271E-2</v>
      </c>
    </row>
    <row r="1014" spans="1:18" ht="13">
      <c r="A1014" s="24" t="s">
        <v>220</v>
      </c>
      <c r="B1014" s="9">
        <v>2019</v>
      </c>
      <c r="C1014" s="4">
        <v>-2.1754181149030889</v>
      </c>
      <c r="D1014" s="10">
        <v>0.41323372357279153</v>
      </c>
      <c r="E1014" s="11">
        <v>2.5399999999999999E-2</v>
      </c>
      <c r="F1014" s="11">
        <v>3.0999999999999999E-3</v>
      </c>
      <c r="G1014" s="12">
        <v>0.15658674603054093</v>
      </c>
      <c r="H1014" s="12">
        <v>-0.12452738509194163</v>
      </c>
      <c r="I1014" s="12">
        <v>-8.3413051510596199E-3</v>
      </c>
      <c r="J1014" s="12">
        <v>3.9773033491757393E-3</v>
      </c>
      <c r="K1014" s="12">
        <v>-3.1629955813353172E-3</v>
      </c>
      <c r="L1014" s="12">
        <v>-2.1186915083691433E-4</v>
      </c>
      <c r="M1014" s="12">
        <v>4.8541891269467688E-4</v>
      </c>
      <c r="N1014" s="12">
        <v>-3.8603489378501903E-4</v>
      </c>
      <c r="O1014" s="12">
        <v>-2.5858045968284821E-5</v>
      </c>
      <c r="P1014">
        <f t="shared" si="45"/>
        <v>6.4706924124347462E-2</v>
      </c>
      <c r="Q1014">
        <f t="shared" si="46"/>
        <v>-5.1458915028325967E-2</v>
      </c>
      <c r="R1014">
        <f t="shared" si="47"/>
        <v>-3.4469085870292731E-3</v>
      </c>
    </row>
    <row r="1015" spans="1:18" ht="13">
      <c r="A1015" s="24" t="s">
        <v>220</v>
      </c>
      <c r="B1015" s="9">
        <v>2020</v>
      </c>
      <c r="C1015" s="4">
        <v>-2.2951902358071545</v>
      </c>
      <c r="D1015" s="10">
        <v>0.38370836529363356</v>
      </c>
      <c r="E1015" s="11">
        <v>1.8599999999999998E-2</v>
      </c>
      <c r="F1015" s="11">
        <v>3.8509999999999998E-3</v>
      </c>
      <c r="G1015" s="12">
        <v>0.15922108316023448</v>
      </c>
      <c r="H1015" s="12">
        <v>-1.0789050821076441E-2</v>
      </c>
      <c r="I1015" s="12">
        <v>-0.10163095511374136</v>
      </c>
      <c r="J1015" s="12">
        <v>2.9615121467803612E-3</v>
      </c>
      <c r="K1015" s="12">
        <v>-2.0067634527202178E-4</v>
      </c>
      <c r="L1015" s="12">
        <v>-1.8903357651155891E-3</v>
      </c>
      <c r="M1015" s="12">
        <v>6.1316039125006291E-4</v>
      </c>
      <c r="N1015" s="12">
        <v>-4.1548634711965375E-5</v>
      </c>
      <c r="O1015" s="12">
        <v>-3.9138080814301793E-4</v>
      </c>
      <c r="P1015">
        <f t="shared" si="45"/>
        <v>6.1094461539695256E-2</v>
      </c>
      <c r="Q1015">
        <f t="shared" si="46"/>
        <v>-4.1398490536251765E-3</v>
      </c>
      <c r="R1015">
        <f t="shared" si="47"/>
        <v>-3.8996647649924346E-2</v>
      </c>
    </row>
    <row r="1016" spans="1:18" ht="13">
      <c r="A1016" s="24" t="s">
        <v>220</v>
      </c>
      <c r="B1016" s="9">
        <v>2021</v>
      </c>
      <c r="C1016" s="4">
        <v>-2.6648912696786713</v>
      </c>
      <c r="D1016" s="10">
        <v>0.34645171577280959</v>
      </c>
      <c r="E1016" s="11">
        <v>1.9400000000000001E-2</v>
      </c>
      <c r="F1016" s="11">
        <v>3.8509999999999998E-3</v>
      </c>
      <c r="G1016" s="12">
        <v>0.13414689703085317</v>
      </c>
      <c r="H1016" s="12">
        <v>6.7355329544548592E-2</v>
      </c>
      <c r="I1016" s="12">
        <v>-7.7411933533022795E-2</v>
      </c>
      <c r="J1016" s="12">
        <v>2.6024498023985514E-3</v>
      </c>
      <c r="K1016" s="12">
        <v>1.3066933931642427E-3</v>
      </c>
      <c r="L1016" s="12">
        <v>-1.5017915105406422E-3</v>
      </c>
      <c r="M1016" s="12">
        <v>5.1659970046581552E-4</v>
      </c>
      <c r="N1016" s="12">
        <v>2.5938537407605664E-4</v>
      </c>
      <c r="O1016" s="12">
        <v>-2.9811335603567075E-4</v>
      </c>
      <c r="P1016">
        <f t="shared" si="45"/>
        <v>4.6475422641937499E-2</v>
      </c>
      <c r="Q1016">
        <f t="shared" si="46"/>
        <v>2.3335369487151873E-2</v>
      </c>
      <c r="R1016">
        <f t="shared" si="47"/>
        <v>-2.6819497193806441E-2</v>
      </c>
    </row>
    <row r="1017" spans="1:18" ht="13">
      <c r="A1017" s="24"/>
      <c r="B1017" s="9"/>
      <c r="C1017" s="4"/>
      <c r="D1017" s="10"/>
      <c r="E1017" s="11"/>
      <c r="F1017" s="11"/>
      <c r="G1017" s="12"/>
      <c r="H1017" s="12"/>
      <c r="I1017" s="12"/>
      <c r="J1017" s="12"/>
      <c r="K1017" s="12"/>
      <c r="L1017" s="12"/>
      <c r="M1017" s="12"/>
      <c r="N1017" s="12"/>
      <c r="O1017" s="12"/>
    </row>
    <row r="1018" spans="1:18" ht="13">
      <c r="A1018" s="24"/>
      <c r="B1018" s="9"/>
      <c r="C1018" s="4"/>
      <c r="D1018" s="10"/>
      <c r="E1018" s="11"/>
      <c r="F1018" s="11"/>
      <c r="G1018" s="12"/>
      <c r="H1018" s="12"/>
      <c r="I1018" s="12"/>
      <c r="J1018" s="12"/>
      <c r="K1018" s="12"/>
      <c r="L1018" s="12"/>
      <c r="M1018" s="12"/>
      <c r="N1018" s="12"/>
      <c r="O1018" s="12"/>
    </row>
    <row r="1019" spans="1:18" ht="13">
      <c r="A1019" s="24"/>
      <c r="B1019" s="9"/>
      <c r="C1019" s="4"/>
      <c r="D1019" s="10"/>
      <c r="E1019" s="11"/>
      <c r="F1019" s="11"/>
      <c r="G1019" s="12"/>
      <c r="H1019" s="12"/>
      <c r="I1019" s="12"/>
      <c r="J1019" s="12"/>
      <c r="K1019" s="12"/>
      <c r="L1019" s="12"/>
      <c r="M1019" s="12"/>
      <c r="N1019" s="12"/>
      <c r="O1019" s="12"/>
    </row>
    <row r="1020" spans="1:18" ht="13">
      <c r="A1020" s="24"/>
      <c r="B1020" s="9"/>
      <c r="C1020" s="4"/>
      <c r="D1020" s="10"/>
      <c r="E1020" s="11"/>
      <c r="F1020" s="11"/>
      <c r="G1020" s="12"/>
      <c r="H1020" s="12"/>
      <c r="I1020" s="12"/>
      <c r="J1020" s="12"/>
      <c r="K1020" s="12"/>
      <c r="L1020" s="12"/>
      <c r="M1020" s="12"/>
      <c r="N1020" s="12"/>
      <c r="O1020" s="12"/>
    </row>
    <row r="1021" spans="1:18" ht="13">
      <c r="A1021" s="24"/>
      <c r="B1021" s="9"/>
      <c r="C1021" s="4"/>
      <c r="D1021" s="10"/>
      <c r="E1021" s="11"/>
      <c r="F1021" s="11"/>
      <c r="G1021" s="12"/>
      <c r="H1021" s="12"/>
      <c r="I1021" s="12"/>
      <c r="J1021" s="12"/>
      <c r="K1021" s="12"/>
      <c r="L1021" s="12"/>
      <c r="M1021" s="12"/>
      <c r="N1021" s="12"/>
      <c r="O1021" s="12"/>
    </row>
    <row r="1022" spans="1:18" ht="13">
      <c r="A1022" s="24"/>
      <c r="B1022" s="9"/>
      <c r="C1022" s="4"/>
      <c r="D1022" s="10"/>
      <c r="E1022" s="11"/>
      <c r="F1022" s="11"/>
      <c r="G1022" s="12"/>
      <c r="H1022" s="12"/>
      <c r="I1022" s="12"/>
      <c r="J1022" s="12"/>
      <c r="K1022" s="12"/>
      <c r="L1022" s="12"/>
      <c r="M1022" s="12"/>
      <c r="N1022" s="12"/>
      <c r="O1022" s="12"/>
    </row>
    <row r="1023" spans="1:18" ht="13">
      <c r="A1023" s="24"/>
      <c r="B1023" s="9"/>
      <c r="C1023" s="4"/>
      <c r="D1023" s="10"/>
      <c r="E1023" s="11"/>
      <c r="F1023" s="11"/>
      <c r="G1023" s="12"/>
      <c r="H1023" s="12"/>
      <c r="I1023" s="12"/>
      <c r="J1023" s="12"/>
      <c r="K1023" s="12"/>
      <c r="L1023" s="12"/>
      <c r="M1023" s="12"/>
      <c r="N1023" s="12"/>
      <c r="O1023" s="12"/>
    </row>
    <row r="1024" spans="1:18" ht="13">
      <c r="A1024" s="24"/>
      <c r="B1024" s="9"/>
      <c r="C1024" s="4"/>
      <c r="D1024" s="10"/>
      <c r="E1024" s="11"/>
      <c r="F1024" s="11"/>
      <c r="G1024" s="12"/>
      <c r="H1024" s="12"/>
      <c r="I1024" s="12"/>
      <c r="J1024" s="12"/>
      <c r="K1024" s="12"/>
      <c r="L1024" s="12"/>
      <c r="M1024" s="12"/>
      <c r="N1024" s="12"/>
      <c r="O1024" s="12"/>
    </row>
    <row r="1025" spans="1:15" ht="13">
      <c r="A1025" s="24"/>
      <c r="B1025" s="9"/>
      <c r="C1025" s="4"/>
      <c r="D1025" s="10"/>
      <c r="E1025" s="11"/>
      <c r="F1025" s="11"/>
      <c r="G1025" s="12"/>
      <c r="H1025" s="12"/>
      <c r="I1025" s="12"/>
      <c r="J1025" s="12"/>
      <c r="K1025" s="12"/>
      <c r="L1025" s="12"/>
      <c r="M1025" s="12"/>
      <c r="N1025" s="12"/>
      <c r="O1025" s="12"/>
    </row>
    <row r="1026" spans="1:15" ht="13">
      <c r="A1026" s="24"/>
      <c r="B1026" s="9"/>
      <c r="C1026" s="4"/>
      <c r="D1026" s="10"/>
      <c r="E1026" s="11"/>
      <c r="F1026" s="11"/>
      <c r="G1026" s="12"/>
      <c r="H1026" s="12"/>
      <c r="I1026" s="12"/>
      <c r="J1026" s="12"/>
      <c r="K1026" s="12"/>
      <c r="L1026" s="12"/>
      <c r="M1026" s="12"/>
      <c r="N1026" s="12"/>
      <c r="O1026" s="12"/>
    </row>
    <row r="1027" spans="1:15" ht="13">
      <c r="A1027" s="24"/>
      <c r="B1027" s="9"/>
      <c r="C1027" s="4"/>
      <c r="D1027" s="10"/>
      <c r="E1027" s="11"/>
      <c r="F1027" s="11"/>
      <c r="G1027" s="12"/>
      <c r="H1027" s="12"/>
      <c r="I1027" s="12"/>
      <c r="J1027" s="12"/>
      <c r="K1027" s="12"/>
      <c r="L1027" s="12"/>
      <c r="M1027" s="12"/>
      <c r="N1027" s="12"/>
      <c r="O1027" s="12"/>
    </row>
    <row r="1028" spans="1:15" ht="13">
      <c r="A1028" s="24"/>
      <c r="B1028" s="9"/>
      <c r="C1028" s="4"/>
      <c r="D1028" s="10"/>
      <c r="E1028" s="11"/>
      <c r="F1028" s="11"/>
      <c r="G1028" s="12"/>
      <c r="H1028" s="12"/>
      <c r="I1028" s="12"/>
      <c r="J1028" s="12"/>
      <c r="K1028" s="12"/>
      <c r="L1028" s="12"/>
      <c r="M1028" s="12"/>
      <c r="N1028" s="12"/>
      <c r="O1028" s="12"/>
    </row>
    <row r="1029" spans="1:15" ht="13">
      <c r="A1029" s="24"/>
      <c r="B1029" s="9"/>
      <c r="C1029" s="4"/>
      <c r="D1029" s="10"/>
      <c r="E1029" s="11"/>
      <c r="F1029" s="11"/>
      <c r="G1029" s="12"/>
      <c r="H1029" s="12"/>
      <c r="I1029" s="12"/>
      <c r="J1029" s="12"/>
      <c r="K1029" s="12"/>
      <c r="L1029" s="12"/>
      <c r="M1029" s="12"/>
      <c r="N1029" s="12"/>
      <c r="O1029" s="12"/>
    </row>
    <row r="1030" spans="1:15" ht="13">
      <c r="A1030" s="24"/>
      <c r="B1030" s="9"/>
      <c r="C1030" s="4"/>
      <c r="D1030" s="10"/>
      <c r="E1030" s="11"/>
      <c r="F1030" s="11"/>
      <c r="G1030" s="12"/>
      <c r="H1030" s="12"/>
      <c r="I1030" s="12"/>
      <c r="J1030" s="12"/>
      <c r="K1030" s="12"/>
      <c r="L1030" s="12"/>
      <c r="M1030" s="12"/>
      <c r="N1030" s="12"/>
      <c r="O1030" s="12"/>
    </row>
    <row r="1031" spans="1:15" ht="13">
      <c r="A1031" s="24"/>
      <c r="B1031" s="9"/>
      <c r="C1031" s="4"/>
      <c r="D1031" s="10"/>
      <c r="E1031" s="11"/>
      <c r="F1031" s="11"/>
      <c r="G1031" s="12"/>
      <c r="H1031" s="12"/>
      <c r="I1031" s="12"/>
      <c r="J1031" s="12"/>
      <c r="K1031" s="12"/>
      <c r="L1031" s="12"/>
      <c r="M1031" s="12"/>
      <c r="N1031" s="12"/>
      <c r="O1031" s="12"/>
    </row>
    <row r="1032" spans="1:15" ht="13">
      <c r="A1032" s="24"/>
      <c r="B1032" s="9"/>
      <c r="C1032" s="4"/>
      <c r="D1032" s="10"/>
      <c r="E1032" s="11"/>
      <c r="F1032" s="11"/>
      <c r="G1032" s="12"/>
      <c r="H1032" s="12"/>
      <c r="I1032" s="12"/>
      <c r="J1032" s="12"/>
      <c r="K1032" s="12"/>
      <c r="L1032" s="12"/>
      <c r="M1032" s="12"/>
      <c r="N1032" s="12"/>
      <c r="O1032" s="12"/>
    </row>
    <row r="1033" spans="1:15" ht="13">
      <c r="A1033" s="24"/>
      <c r="B1033" s="9"/>
      <c r="C1033" s="4"/>
      <c r="D1033" s="10"/>
      <c r="E1033" s="11"/>
      <c r="F1033" s="11"/>
      <c r="G1033" s="12"/>
      <c r="H1033" s="12"/>
      <c r="I1033" s="12"/>
      <c r="J1033" s="12"/>
      <c r="K1033" s="12"/>
      <c r="L1033" s="12"/>
      <c r="M1033" s="12"/>
      <c r="N1033" s="12"/>
      <c r="O1033" s="12"/>
    </row>
    <row r="1034" spans="1:15" ht="13">
      <c r="A1034" s="24"/>
      <c r="B1034" s="9"/>
      <c r="C1034" s="4"/>
      <c r="D1034" s="10"/>
      <c r="E1034" s="11"/>
      <c r="F1034" s="11"/>
      <c r="G1034" s="12"/>
      <c r="H1034" s="12"/>
      <c r="I1034" s="12"/>
      <c r="J1034" s="12"/>
      <c r="K1034" s="12"/>
      <c r="L1034" s="12"/>
      <c r="M1034" s="12"/>
      <c r="N1034" s="12"/>
      <c r="O1034" s="12"/>
    </row>
    <row r="1035" spans="1:15" ht="13">
      <c r="A1035" s="24"/>
      <c r="B1035" s="9"/>
      <c r="C1035" s="4"/>
      <c r="D1035" s="10"/>
      <c r="E1035" s="11"/>
      <c r="F1035" s="11"/>
      <c r="G1035" s="12"/>
      <c r="H1035" s="12"/>
      <c r="I1035" s="12"/>
      <c r="J1035" s="12"/>
      <c r="K1035" s="12"/>
      <c r="L1035" s="12"/>
      <c r="M1035" s="12"/>
      <c r="N1035" s="12"/>
      <c r="O1035" s="12"/>
    </row>
    <row r="1036" spans="1:15" ht="13">
      <c r="A1036" s="24"/>
      <c r="B1036" s="9"/>
      <c r="C1036" s="4"/>
      <c r="D1036" s="10"/>
      <c r="E1036" s="11"/>
      <c r="F1036" s="11"/>
      <c r="G1036" s="12"/>
      <c r="H1036" s="12"/>
      <c r="I1036" s="12"/>
      <c r="J1036" s="12"/>
      <c r="K1036" s="12"/>
      <c r="L1036" s="12"/>
      <c r="M1036" s="12"/>
      <c r="N1036" s="12"/>
      <c r="O1036" s="12"/>
    </row>
    <row r="1037" spans="1:15" ht="13">
      <c r="A1037" s="24"/>
      <c r="B1037" s="9"/>
      <c r="C1037" s="4"/>
      <c r="D1037" s="10"/>
      <c r="E1037" s="11"/>
      <c r="F1037" s="11"/>
      <c r="G1037" s="12"/>
      <c r="H1037" s="12"/>
      <c r="I1037" s="12"/>
      <c r="J1037" s="12"/>
      <c r="K1037" s="12"/>
      <c r="L1037" s="12"/>
      <c r="M1037" s="12"/>
      <c r="N1037" s="12"/>
      <c r="O1037" s="12"/>
    </row>
    <row r="1038" spans="1:15" ht="13">
      <c r="A1038" s="24"/>
      <c r="B1038" s="9"/>
      <c r="C1038" s="4"/>
      <c r="D1038" s="10"/>
      <c r="E1038" s="11"/>
      <c r="F1038" s="11"/>
      <c r="G1038" s="12"/>
      <c r="H1038" s="12"/>
      <c r="I1038" s="12"/>
      <c r="J1038" s="12"/>
      <c r="K1038" s="12"/>
      <c r="L1038" s="12"/>
      <c r="M1038" s="12"/>
      <c r="N1038" s="12"/>
      <c r="O1038" s="12"/>
    </row>
    <row r="1039" spans="1:15" ht="13">
      <c r="A1039" s="24"/>
      <c r="B1039" s="9"/>
      <c r="C1039" s="4"/>
      <c r="D1039" s="10"/>
      <c r="E1039" s="11"/>
      <c r="F1039" s="11"/>
      <c r="G1039" s="12"/>
      <c r="H1039" s="12"/>
      <c r="I1039" s="12"/>
      <c r="J1039" s="12"/>
      <c r="K1039" s="12"/>
      <c r="L1039" s="12"/>
      <c r="M1039" s="12"/>
      <c r="N1039" s="12"/>
      <c r="O1039" s="12"/>
    </row>
    <row r="1040" spans="1:15" ht="13">
      <c r="A1040" s="24"/>
      <c r="B1040" s="9"/>
      <c r="C1040" s="4"/>
      <c r="D1040" s="10"/>
      <c r="E1040" s="11"/>
      <c r="F1040" s="11"/>
      <c r="G1040" s="12"/>
      <c r="H1040" s="12"/>
      <c r="I1040" s="12"/>
      <c r="J1040" s="12"/>
      <c r="K1040" s="12"/>
      <c r="L1040" s="12"/>
      <c r="M1040" s="12"/>
      <c r="N1040" s="12"/>
      <c r="O1040" s="12"/>
    </row>
    <row r="1041" spans="1:15" ht="13">
      <c r="A1041" s="24"/>
      <c r="B1041" s="9"/>
      <c r="C1041" s="4"/>
      <c r="D1041" s="10"/>
      <c r="E1041" s="11"/>
      <c r="F1041" s="11"/>
      <c r="G1041" s="12"/>
      <c r="H1041" s="12"/>
      <c r="I1041" s="12"/>
      <c r="J1041" s="12"/>
      <c r="K1041" s="12"/>
      <c r="L1041" s="12"/>
      <c r="M1041" s="12"/>
      <c r="N1041" s="12"/>
      <c r="O1041" s="12"/>
    </row>
    <row r="1042" spans="1:15" ht="13">
      <c r="A1042" s="24"/>
      <c r="B1042" s="9"/>
      <c r="C1042" s="4"/>
      <c r="D1042" s="10"/>
      <c r="E1042" s="11"/>
      <c r="F1042" s="11"/>
      <c r="G1042" s="12"/>
      <c r="H1042" s="12"/>
      <c r="I1042" s="12"/>
      <c r="J1042" s="12"/>
      <c r="K1042" s="12"/>
      <c r="L1042" s="12"/>
      <c r="M1042" s="12"/>
      <c r="N1042" s="12"/>
      <c r="O1042" s="12"/>
    </row>
    <row r="1043" spans="1:15" ht="13">
      <c r="A1043" s="24"/>
      <c r="B1043" s="9"/>
      <c r="C1043" s="4"/>
      <c r="D1043" s="10"/>
      <c r="E1043" s="11"/>
      <c r="F1043" s="11"/>
      <c r="G1043" s="12"/>
      <c r="H1043" s="12"/>
      <c r="I1043" s="12"/>
      <c r="J1043" s="12"/>
      <c r="K1043" s="12"/>
      <c r="L1043" s="12"/>
      <c r="M1043" s="12"/>
      <c r="N1043" s="12"/>
      <c r="O1043" s="12"/>
    </row>
    <row r="1044" spans="1:15" ht="13">
      <c r="A1044" s="24"/>
      <c r="B1044" s="9"/>
      <c r="C1044" s="4"/>
      <c r="D1044" s="10"/>
      <c r="E1044" s="11"/>
      <c r="F1044" s="11"/>
      <c r="G1044" s="12"/>
      <c r="H1044" s="12"/>
      <c r="I1044" s="12"/>
      <c r="J1044" s="12"/>
      <c r="K1044" s="12"/>
      <c r="L1044" s="12"/>
      <c r="M1044" s="12"/>
      <c r="N1044" s="12"/>
      <c r="O1044" s="12"/>
    </row>
    <row r="1045" spans="1:15" ht="13">
      <c r="A1045" s="24"/>
      <c r="B1045" s="9"/>
      <c r="C1045" s="4"/>
      <c r="D1045" s="10"/>
      <c r="E1045" s="11"/>
      <c r="F1045" s="11"/>
      <c r="G1045" s="12"/>
      <c r="H1045" s="12"/>
      <c r="I1045" s="12"/>
      <c r="J1045" s="12"/>
      <c r="K1045" s="12"/>
      <c r="L1045" s="12"/>
      <c r="M1045" s="12"/>
      <c r="N1045" s="12"/>
      <c r="O1045" s="12"/>
    </row>
    <row r="1046" spans="1:15" ht="13">
      <c r="A1046" s="24"/>
      <c r="B1046" s="9"/>
      <c r="C1046" s="4"/>
      <c r="D1046" s="10"/>
      <c r="E1046" s="11"/>
      <c r="F1046" s="11"/>
      <c r="G1046" s="12"/>
      <c r="H1046" s="12"/>
      <c r="I1046" s="12"/>
      <c r="J1046" s="12"/>
      <c r="K1046" s="12"/>
      <c r="L1046" s="12"/>
      <c r="M1046" s="12"/>
      <c r="N1046" s="12"/>
      <c r="O1046" s="12"/>
    </row>
    <row r="1047" spans="1:15" ht="13">
      <c r="A1047" s="24"/>
      <c r="B1047" s="9"/>
      <c r="C1047" s="4"/>
      <c r="D1047" s="10"/>
      <c r="E1047" s="11"/>
      <c r="F1047" s="11"/>
      <c r="G1047" s="12"/>
      <c r="H1047" s="12"/>
      <c r="I1047" s="12"/>
      <c r="J1047" s="12"/>
      <c r="K1047" s="12"/>
      <c r="L1047" s="12"/>
      <c r="M1047" s="12"/>
      <c r="N1047" s="12"/>
      <c r="O1047" s="12"/>
    </row>
    <row r="1048" spans="1:15" ht="13">
      <c r="A1048" s="24"/>
      <c r="B1048" s="9"/>
      <c r="C1048" s="4"/>
      <c r="D1048" s="10"/>
      <c r="E1048" s="11"/>
      <c r="F1048" s="11"/>
      <c r="G1048" s="12"/>
      <c r="H1048" s="12"/>
      <c r="I1048" s="12"/>
      <c r="J1048" s="12"/>
      <c r="K1048" s="12"/>
      <c r="L1048" s="12"/>
      <c r="M1048" s="12"/>
      <c r="N1048" s="12"/>
      <c r="O1048" s="12"/>
    </row>
    <row r="1049" spans="1:15" ht="13">
      <c r="A1049" s="24"/>
      <c r="B1049" s="9"/>
      <c r="C1049" s="4"/>
      <c r="D1049" s="10"/>
      <c r="E1049" s="11"/>
      <c r="F1049" s="11"/>
      <c r="G1049" s="12"/>
      <c r="H1049" s="12"/>
      <c r="I1049" s="12"/>
      <c r="J1049" s="12"/>
      <c r="K1049" s="12"/>
      <c r="L1049" s="12"/>
      <c r="M1049" s="12"/>
      <c r="N1049" s="12"/>
      <c r="O1049" s="12"/>
    </row>
    <row r="1050" spans="1:15" ht="13">
      <c r="A1050" s="24"/>
      <c r="B1050" s="9"/>
      <c r="C1050" s="4"/>
      <c r="D1050" s="10"/>
      <c r="E1050" s="11"/>
      <c r="F1050" s="11"/>
      <c r="G1050" s="12"/>
      <c r="H1050" s="12"/>
      <c r="I1050" s="12"/>
      <c r="J1050" s="12"/>
      <c r="K1050" s="12"/>
      <c r="L1050" s="12"/>
      <c r="M1050" s="12"/>
      <c r="N1050" s="12"/>
      <c r="O1050" s="12"/>
    </row>
    <row r="1051" spans="1:15" ht="13">
      <c r="A1051" s="24"/>
      <c r="B1051" s="9"/>
      <c r="C1051" s="4"/>
      <c r="D1051" s="10"/>
      <c r="E1051" s="11"/>
      <c r="F1051" s="11"/>
      <c r="G1051" s="12"/>
      <c r="H1051" s="12"/>
      <c r="I1051" s="12"/>
      <c r="J1051" s="12"/>
      <c r="K1051" s="12"/>
      <c r="L1051" s="12"/>
      <c r="M1051" s="12"/>
      <c r="N1051" s="12"/>
      <c r="O1051" s="12"/>
    </row>
    <row r="1052" spans="1:15" ht="13">
      <c r="A1052" s="24"/>
      <c r="B1052" s="9"/>
      <c r="C1052" s="4"/>
      <c r="D1052" s="10"/>
      <c r="E1052" s="11"/>
      <c r="F1052" s="11"/>
      <c r="G1052" s="12"/>
      <c r="H1052" s="12"/>
      <c r="I1052" s="12"/>
      <c r="J1052" s="12"/>
      <c r="K1052" s="12"/>
      <c r="L1052" s="12"/>
      <c r="M1052" s="12"/>
      <c r="N1052" s="12"/>
      <c r="O1052" s="12"/>
    </row>
    <row r="1053" spans="1:15" ht="13">
      <c r="A1053" s="24"/>
      <c r="B1053" s="9"/>
      <c r="C1053" s="4"/>
      <c r="D1053" s="10"/>
      <c r="E1053" s="11"/>
      <c r="F1053" s="11"/>
      <c r="G1053" s="12"/>
      <c r="H1053" s="12"/>
      <c r="I1053" s="12"/>
      <c r="J1053" s="12"/>
      <c r="K1053" s="12"/>
      <c r="L1053" s="12"/>
      <c r="M1053" s="12"/>
      <c r="N1053" s="12"/>
      <c r="O1053" s="12"/>
    </row>
    <row r="1054" spans="1:15" ht="13">
      <c r="A1054" s="24"/>
      <c r="B1054" s="9"/>
      <c r="C1054" s="4"/>
      <c r="D1054" s="10"/>
      <c r="E1054" s="11"/>
      <c r="F1054" s="11"/>
      <c r="G1054" s="12"/>
      <c r="H1054" s="12"/>
      <c r="I1054" s="12"/>
      <c r="J1054" s="12"/>
      <c r="K1054" s="12"/>
      <c r="L1054" s="12"/>
      <c r="M1054" s="12"/>
      <c r="N1054" s="12"/>
      <c r="O1054" s="12"/>
    </row>
    <row r="1055" spans="1:15" ht="13">
      <c r="A1055" s="24"/>
      <c r="B1055" s="9"/>
      <c r="C1055" s="4"/>
      <c r="D1055" s="10"/>
      <c r="E1055" s="11"/>
      <c r="F1055" s="11"/>
      <c r="G1055" s="12"/>
      <c r="H1055" s="12"/>
      <c r="I1055" s="12"/>
      <c r="J1055" s="12"/>
      <c r="K1055" s="12"/>
      <c r="L1055" s="12"/>
      <c r="M1055" s="12"/>
      <c r="N1055" s="12"/>
      <c r="O1055" s="12"/>
    </row>
    <row r="1056" spans="1:15" ht="13">
      <c r="A1056" s="24"/>
      <c r="B1056" s="9"/>
      <c r="C1056" s="4"/>
      <c r="D1056" s="10"/>
      <c r="E1056" s="11"/>
      <c r="F1056" s="11"/>
      <c r="G1056" s="12"/>
      <c r="H1056" s="12"/>
      <c r="I1056" s="12"/>
      <c r="J1056" s="12"/>
      <c r="K1056" s="12"/>
      <c r="L1056" s="12"/>
      <c r="M1056" s="12"/>
      <c r="N1056" s="12"/>
      <c r="O1056" s="12"/>
    </row>
    <row r="1057" spans="1:15" ht="13">
      <c r="A1057" s="24"/>
      <c r="B1057" s="9"/>
      <c r="C1057" s="4"/>
      <c r="D1057" s="10"/>
      <c r="E1057" s="11"/>
      <c r="F1057" s="11"/>
      <c r="G1057" s="12"/>
      <c r="H1057" s="12"/>
      <c r="I1057" s="12"/>
      <c r="J1057" s="12"/>
      <c r="K1057" s="12"/>
      <c r="L1057" s="12"/>
      <c r="M1057" s="12"/>
      <c r="N1057" s="12"/>
      <c r="O1057" s="12"/>
    </row>
    <row r="1058" spans="1:15" ht="13">
      <c r="A1058" s="24"/>
      <c r="B1058" s="9"/>
      <c r="C1058" s="4"/>
      <c r="D1058" s="10"/>
      <c r="E1058" s="11"/>
      <c r="F1058" s="11"/>
      <c r="G1058" s="12"/>
      <c r="H1058" s="12"/>
      <c r="I1058" s="12"/>
      <c r="J1058" s="12"/>
      <c r="K1058" s="12"/>
      <c r="L1058" s="12"/>
      <c r="M1058" s="12"/>
      <c r="N1058" s="12"/>
      <c r="O1058" s="12"/>
    </row>
    <row r="1059" spans="1:15" ht="13">
      <c r="A1059" s="24"/>
      <c r="B1059" s="9"/>
      <c r="C1059" s="4"/>
      <c r="D1059" s="10"/>
      <c r="E1059" s="11"/>
      <c r="F1059" s="11"/>
      <c r="G1059" s="12"/>
      <c r="H1059" s="12"/>
      <c r="I1059" s="12"/>
      <c r="J1059" s="12"/>
      <c r="K1059" s="12"/>
      <c r="L1059" s="12"/>
      <c r="M1059" s="12"/>
      <c r="N1059" s="12"/>
      <c r="O1059" s="12"/>
    </row>
    <row r="1060" spans="1:15" ht="13">
      <c r="A1060" s="24"/>
      <c r="B1060" s="9"/>
      <c r="C1060" s="4"/>
      <c r="D1060" s="10"/>
      <c r="E1060" s="11"/>
      <c r="F1060" s="11"/>
      <c r="G1060" s="12"/>
      <c r="H1060" s="12"/>
      <c r="I1060" s="12"/>
      <c r="J1060" s="12"/>
      <c r="K1060" s="12"/>
      <c r="L1060" s="12"/>
      <c r="M1060" s="12"/>
      <c r="N1060" s="12"/>
      <c r="O1060" s="12"/>
    </row>
    <row r="1061" spans="1:15" ht="13">
      <c r="A1061" s="24"/>
      <c r="B1061" s="9"/>
      <c r="C1061" s="4"/>
      <c r="D1061" s="10"/>
      <c r="E1061" s="11"/>
      <c r="F1061" s="11"/>
      <c r="G1061" s="12"/>
      <c r="H1061" s="12"/>
      <c r="I1061" s="12"/>
      <c r="J1061" s="12"/>
      <c r="K1061" s="12"/>
      <c r="L1061" s="12"/>
      <c r="M1061" s="12"/>
      <c r="N1061" s="12"/>
      <c r="O1061" s="12"/>
    </row>
    <row r="1062" spans="1:15" ht="13">
      <c r="A1062" s="24"/>
      <c r="B1062" s="9"/>
      <c r="C1062" s="4"/>
      <c r="D1062" s="10"/>
      <c r="E1062" s="11"/>
      <c r="F1062" s="11"/>
      <c r="G1062" s="12"/>
      <c r="H1062" s="12"/>
      <c r="I1062" s="12"/>
      <c r="J1062" s="12"/>
      <c r="K1062" s="12"/>
      <c r="L1062" s="12"/>
      <c r="M1062" s="12"/>
      <c r="N1062" s="12"/>
      <c r="O1062" s="12"/>
    </row>
    <row r="1063" spans="1:15" ht="13">
      <c r="A1063" s="24"/>
      <c r="B1063" s="9"/>
      <c r="C1063" s="4"/>
      <c r="D1063" s="10"/>
      <c r="E1063" s="11"/>
      <c r="F1063" s="11"/>
      <c r="G1063" s="12"/>
      <c r="H1063" s="12"/>
      <c r="I1063" s="12"/>
      <c r="J1063" s="12"/>
      <c r="K1063" s="12"/>
      <c r="L1063" s="12"/>
      <c r="M1063" s="12"/>
      <c r="N1063" s="12"/>
      <c r="O1063" s="12"/>
    </row>
    <row r="1064" spans="1:15" ht="13">
      <c r="A1064" s="24"/>
      <c r="B1064" s="9"/>
      <c r="C1064" s="4"/>
      <c r="D1064" s="10"/>
      <c r="E1064" s="11"/>
      <c r="F1064" s="11"/>
      <c r="G1064" s="12"/>
      <c r="H1064" s="12"/>
      <c r="I1064" s="12"/>
      <c r="J1064" s="12"/>
      <c r="K1064" s="12"/>
      <c r="L1064" s="12"/>
      <c r="M1064" s="12"/>
      <c r="N1064" s="12"/>
      <c r="O1064" s="12"/>
    </row>
    <row r="1065" spans="1:15" ht="13">
      <c r="A1065" s="24"/>
      <c r="B1065" s="9"/>
      <c r="C1065" s="4"/>
      <c r="D1065" s="10"/>
      <c r="E1065" s="11"/>
      <c r="F1065" s="11"/>
      <c r="G1065" s="12"/>
      <c r="H1065" s="12"/>
      <c r="I1065" s="12"/>
      <c r="J1065" s="12"/>
      <c r="K1065" s="12"/>
      <c r="L1065" s="12"/>
      <c r="M1065" s="12"/>
      <c r="N1065" s="12"/>
      <c r="O1065" s="12"/>
    </row>
    <row r="1066" spans="1:15" ht="13">
      <c r="A1066" s="24"/>
      <c r="B1066" s="9"/>
      <c r="C1066" s="4"/>
      <c r="D1066" s="10"/>
      <c r="E1066" s="11"/>
      <c r="F1066" s="11"/>
      <c r="G1066" s="12"/>
      <c r="H1066" s="12"/>
      <c r="I1066" s="12"/>
      <c r="J1066" s="12"/>
      <c r="K1066" s="12"/>
      <c r="L1066" s="12"/>
      <c r="M1066" s="12"/>
      <c r="N1066" s="12"/>
      <c r="O1066" s="12"/>
    </row>
    <row r="1067" spans="1:15" ht="13">
      <c r="A1067" s="24"/>
      <c r="B1067" s="9"/>
      <c r="C1067" s="4"/>
      <c r="D1067" s="10"/>
      <c r="E1067" s="11"/>
      <c r="F1067" s="11"/>
      <c r="G1067" s="12"/>
      <c r="H1067" s="12"/>
      <c r="I1067" s="12"/>
      <c r="J1067" s="12"/>
      <c r="K1067" s="12"/>
      <c r="L1067" s="12"/>
      <c r="M1067" s="12"/>
      <c r="N1067" s="12"/>
      <c r="O1067" s="12"/>
    </row>
    <row r="1068" spans="1:15" ht="13">
      <c r="A1068" s="24"/>
      <c r="B1068" s="9"/>
      <c r="C1068" s="4"/>
      <c r="D1068" s="10"/>
      <c r="E1068" s="11"/>
      <c r="F1068" s="11"/>
      <c r="G1068" s="12"/>
      <c r="H1068" s="12"/>
      <c r="I1068" s="12"/>
      <c r="J1068" s="12"/>
      <c r="K1068" s="12"/>
      <c r="L1068" s="12"/>
      <c r="M1068" s="12"/>
      <c r="N1068" s="12"/>
      <c r="O1068" s="12"/>
    </row>
    <row r="1069" spans="1:15" ht="13">
      <c r="A1069" s="24"/>
      <c r="B1069" s="9"/>
      <c r="C1069" s="4"/>
      <c r="D1069" s="10"/>
      <c r="E1069" s="11"/>
      <c r="F1069" s="11"/>
      <c r="G1069" s="12"/>
      <c r="H1069" s="12"/>
      <c r="I1069" s="12"/>
      <c r="J1069" s="12"/>
      <c r="K1069" s="12"/>
      <c r="L1069" s="12"/>
      <c r="M1069" s="12"/>
      <c r="N1069" s="12"/>
      <c r="O1069" s="12"/>
    </row>
    <row r="1070" spans="1:15" ht="13">
      <c r="A1070" s="24"/>
      <c r="B1070" s="9"/>
      <c r="C1070" s="4"/>
      <c r="D1070" s="10"/>
      <c r="E1070" s="11"/>
      <c r="F1070" s="11"/>
      <c r="G1070" s="12"/>
      <c r="H1070" s="12"/>
      <c r="I1070" s="12"/>
      <c r="J1070" s="12"/>
      <c r="K1070" s="12"/>
      <c r="L1070" s="12"/>
      <c r="M1070" s="12"/>
      <c r="N1070" s="12"/>
      <c r="O1070" s="12"/>
    </row>
    <row r="1071" spans="1:15" ht="13">
      <c r="A1071" s="24"/>
      <c r="B1071" s="9"/>
      <c r="C1071" s="4"/>
      <c r="D1071" s="10"/>
      <c r="E1071" s="11"/>
      <c r="F1071" s="11"/>
      <c r="G1071" s="12"/>
      <c r="H1071" s="12"/>
      <c r="I1071" s="12"/>
      <c r="J1071" s="12"/>
      <c r="K1071" s="12"/>
      <c r="L1071" s="12"/>
      <c r="M1071" s="12"/>
      <c r="N1071" s="12"/>
      <c r="O1071" s="12"/>
    </row>
    <row r="1072" spans="1:15" ht="13">
      <c r="A1072" s="24"/>
      <c r="B1072" s="9"/>
      <c r="C1072" s="4"/>
      <c r="D1072" s="10"/>
      <c r="E1072" s="11"/>
      <c r="F1072" s="11"/>
      <c r="G1072" s="12"/>
      <c r="H1072" s="12"/>
      <c r="I1072" s="12"/>
      <c r="J1072" s="12"/>
      <c r="K1072" s="12"/>
      <c r="L1072" s="12"/>
      <c r="M1072" s="12"/>
      <c r="N1072" s="12"/>
      <c r="O1072" s="12"/>
    </row>
    <row r="1073" spans="1:15" ht="13">
      <c r="A1073" s="24"/>
      <c r="B1073" s="9"/>
      <c r="C1073" s="4"/>
      <c r="D1073" s="10"/>
      <c r="E1073" s="11"/>
      <c r="F1073" s="11"/>
      <c r="G1073" s="12"/>
      <c r="H1073" s="12"/>
      <c r="I1073" s="12"/>
      <c r="J1073" s="12"/>
      <c r="K1073" s="12"/>
      <c r="L1073" s="12"/>
      <c r="M1073" s="12"/>
      <c r="N1073" s="12"/>
      <c r="O1073" s="12"/>
    </row>
    <row r="1074" spans="1:15" ht="13">
      <c r="A1074" s="24"/>
      <c r="B1074" s="9"/>
      <c r="C1074" s="4"/>
      <c r="D1074" s="10"/>
      <c r="E1074" s="11"/>
      <c r="F1074" s="11"/>
      <c r="G1074" s="12"/>
      <c r="H1074" s="12"/>
      <c r="I1074" s="12"/>
      <c r="J1074" s="12"/>
      <c r="K1074" s="12"/>
      <c r="L1074" s="12"/>
      <c r="M1074" s="12"/>
      <c r="N1074" s="12"/>
      <c r="O1074" s="12"/>
    </row>
    <row r="1075" spans="1:15" ht="13">
      <c r="A1075" s="24"/>
      <c r="B1075" s="9"/>
      <c r="C1075" s="4"/>
      <c r="D1075" s="10"/>
      <c r="E1075" s="11"/>
      <c r="F1075" s="11"/>
      <c r="G1075" s="12"/>
      <c r="H1075" s="12"/>
      <c r="I1075" s="12"/>
      <c r="J1075" s="12"/>
      <c r="K1075" s="12"/>
      <c r="L1075" s="12"/>
      <c r="M1075" s="12"/>
      <c r="N1075" s="12"/>
      <c r="O1075" s="12"/>
    </row>
    <row r="1076" spans="1:15" ht="13">
      <c r="A1076" s="24"/>
      <c r="B1076" s="9"/>
      <c r="C1076" s="4"/>
      <c r="D1076" s="10"/>
      <c r="E1076" s="11"/>
      <c r="F1076" s="11"/>
      <c r="G1076" s="12"/>
      <c r="H1076" s="12"/>
      <c r="I1076" s="12"/>
      <c r="J1076" s="12"/>
      <c r="K1076" s="12"/>
      <c r="L1076" s="12"/>
      <c r="M1076" s="12"/>
      <c r="N1076" s="12"/>
      <c r="O1076" s="12"/>
    </row>
    <row r="1077" spans="1:15" ht="13">
      <c r="A1077" s="24"/>
      <c r="B1077" s="9"/>
      <c r="C1077" s="4"/>
      <c r="D1077" s="10"/>
      <c r="E1077" s="11"/>
      <c r="F1077" s="11"/>
      <c r="G1077" s="12"/>
      <c r="H1077" s="12"/>
      <c r="I1077" s="12"/>
      <c r="J1077" s="12"/>
      <c r="K1077" s="12"/>
      <c r="L1077" s="12"/>
      <c r="M1077" s="12"/>
      <c r="N1077" s="12"/>
      <c r="O1077" s="12"/>
    </row>
    <row r="1078" spans="1:15" ht="13">
      <c r="A1078" s="24"/>
      <c r="B1078" s="9"/>
      <c r="C1078" s="4"/>
      <c r="D1078" s="10"/>
      <c r="E1078" s="11"/>
      <c r="F1078" s="11"/>
      <c r="G1078" s="12"/>
      <c r="H1078" s="12"/>
      <c r="I1078" s="12"/>
      <c r="J1078" s="12"/>
      <c r="K1078" s="12"/>
      <c r="L1078" s="12"/>
      <c r="M1078" s="12"/>
      <c r="N1078" s="12"/>
      <c r="O1078" s="12"/>
    </row>
    <row r="1079" spans="1:15" ht="13">
      <c r="A1079" s="24"/>
      <c r="B1079" s="9"/>
      <c r="C1079" s="4"/>
      <c r="D1079" s="10"/>
      <c r="E1079" s="11"/>
      <c r="F1079" s="11"/>
      <c r="G1079" s="12"/>
      <c r="H1079" s="12"/>
      <c r="I1079" s="12"/>
      <c r="J1079" s="12"/>
      <c r="K1079" s="12"/>
      <c r="L1079" s="12"/>
      <c r="M1079" s="12"/>
      <c r="N1079" s="12"/>
      <c r="O1079" s="12"/>
    </row>
    <row r="1080" spans="1:15" ht="13">
      <c r="A1080" s="24"/>
      <c r="B1080" s="9"/>
      <c r="C1080" s="4"/>
      <c r="D1080" s="10"/>
      <c r="E1080" s="11"/>
      <c r="F1080" s="11"/>
      <c r="G1080" s="12"/>
      <c r="H1080" s="12"/>
      <c r="I1080" s="12"/>
      <c r="J1080" s="12"/>
      <c r="K1080" s="12"/>
      <c r="L1080" s="12"/>
      <c r="M1080" s="12"/>
      <c r="N1080" s="12"/>
      <c r="O1080" s="12"/>
    </row>
    <row r="1081" spans="1:15" ht="13">
      <c r="A1081" s="24"/>
      <c r="B1081" s="9"/>
      <c r="C1081" s="4"/>
      <c r="D1081" s="10"/>
      <c r="E1081" s="11"/>
      <c r="F1081" s="11"/>
      <c r="G1081" s="12"/>
      <c r="H1081" s="12"/>
      <c r="I1081" s="12"/>
      <c r="J1081" s="12"/>
      <c r="K1081" s="12"/>
      <c r="L1081" s="12"/>
      <c r="M1081" s="12"/>
      <c r="N1081" s="12"/>
      <c r="O1081" s="12"/>
    </row>
    <row r="1082" spans="1:15" ht="13">
      <c r="A1082" s="24"/>
      <c r="B1082" s="9"/>
      <c r="C1082" s="4"/>
      <c r="D1082" s="10"/>
      <c r="E1082" s="11"/>
      <c r="F1082" s="11"/>
      <c r="G1082" s="12"/>
      <c r="H1082" s="12"/>
      <c r="I1082" s="12"/>
      <c r="J1082" s="12"/>
      <c r="K1082" s="12"/>
      <c r="L1082" s="12"/>
      <c r="M1082" s="12"/>
      <c r="N1082" s="12"/>
      <c r="O1082" s="12"/>
    </row>
    <row r="1083" spans="1:15" ht="13">
      <c r="A1083" s="24"/>
      <c r="B1083" s="9"/>
      <c r="C1083" s="4"/>
      <c r="D1083" s="10"/>
      <c r="E1083" s="11"/>
      <c r="F1083" s="11"/>
      <c r="G1083" s="12"/>
      <c r="H1083" s="12"/>
      <c r="I1083" s="12"/>
      <c r="J1083" s="12"/>
      <c r="K1083" s="12"/>
      <c r="L1083" s="12"/>
      <c r="M1083" s="12"/>
      <c r="N1083" s="12"/>
      <c r="O1083" s="12"/>
    </row>
    <row r="1084" spans="1:15" ht="13">
      <c r="A1084" s="24"/>
      <c r="B1084" s="9"/>
      <c r="C1084" s="4"/>
      <c r="D1084" s="10"/>
      <c r="E1084" s="11"/>
      <c r="F1084" s="11"/>
      <c r="G1084" s="12"/>
      <c r="H1084" s="12"/>
      <c r="I1084" s="12"/>
      <c r="J1084" s="12"/>
      <c r="K1084" s="12"/>
      <c r="L1084" s="12"/>
      <c r="M1084" s="12"/>
      <c r="N1084" s="12"/>
      <c r="O1084" s="12"/>
    </row>
    <row r="1085" spans="1:15" ht="13">
      <c r="A1085" s="24"/>
      <c r="B1085" s="9"/>
      <c r="C1085" s="4"/>
      <c r="D1085" s="10"/>
      <c r="E1085" s="11"/>
      <c r="F1085" s="11"/>
      <c r="G1085" s="12"/>
      <c r="H1085" s="12"/>
      <c r="I1085" s="12"/>
      <c r="J1085" s="12"/>
      <c r="K1085" s="12"/>
      <c r="L1085" s="12"/>
      <c r="M1085" s="12"/>
      <c r="N1085" s="12"/>
      <c r="O1085" s="12"/>
    </row>
    <row r="1086" spans="1:15" ht="13">
      <c r="A1086" s="24"/>
      <c r="B1086" s="9"/>
      <c r="C1086" s="4"/>
      <c r="D1086" s="10"/>
      <c r="E1086" s="11"/>
      <c r="F1086" s="11"/>
      <c r="G1086" s="12"/>
      <c r="H1086" s="12"/>
      <c r="I1086" s="12"/>
      <c r="J1086" s="12"/>
      <c r="K1086" s="12"/>
      <c r="L1086" s="12"/>
      <c r="M1086" s="12"/>
      <c r="N1086" s="12"/>
      <c r="O1086" s="12"/>
    </row>
    <row r="1087" spans="1:15" ht="13">
      <c r="A1087" s="24"/>
      <c r="B1087" s="9"/>
      <c r="C1087" s="4"/>
      <c r="D1087" s="10"/>
      <c r="E1087" s="11"/>
      <c r="F1087" s="11"/>
      <c r="G1087" s="12"/>
      <c r="H1087" s="12"/>
      <c r="I1087" s="12"/>
      <c r="J1087" s="12"/>
      <c r="K1087" s="12"/>
      <c r="L1087" s="12"/>
      <c r="M1087" s="12"/>
      <c r="N1087" s="12"/>
      <c r="O1087" s="12"/>
    </row>
    <row r="1088" spans="1:15" ht="13">
      <c r="A1088" s="24"/>
      <c r="B1088" s="9"/>
      <c r="C1088" s="4"/>
      <c r="D1088" s="10"/>
      <c r="E1088" s="11"/>
      <c r="F1088" s="11"/>
      <c r="G1088" s="12"/>
      <c r="H1088" s="12"/>
      <c r="I1088" s="12"/>
      <c r="J1088" s="12"/>
      <c r="K1088" s="12"/>
      <c r="L1088" s="12"/>
      <c r="M1088" s="12"/>
      <c r="N1088" s="12"/>
      <c r="O1088" s="12"/>
    </row>
    <row r="1089" spans="1:15" ht="13">
      <c r="A1089" s="24"/>
      <c r="B1089" s="9"/>
      <c r="C1089" s="4"/>
      <c r="D1089" s="10"/>
      <c r="E1089" s="11"/>
      <c r="F1089" s="11"/>
      <c r="G1089" s="12"/>
      <c r="H1089" s="12"/>
      <c r="I1089" s="12"/>
      <c r="J1089" s="12"/>
      <c r="K1089" s="12"/>
      <c r="L1089" s="12"/>
      <c r="M1089" s="12"/>
      <c r="N1089" s="12"/>
      <c r="O1089" s="12"/>
    </row>
    <row r="1090" spans="1:15" ht="13">
      <c r="A1090" s="24"/>
      <c r="B1090" s="9"/>
      <c r="C1090" s="4"/>
      <c r="D1090" s="10"/>
      <c r="E1090" s="11"/>
      <c r="F1090" s="11"/>
      <c r="G1090" s="12"/>
      <c r="H1090" s="12"/>
      <c r="I1090" s="12"/>
      <c r="J1090" s="12"/>
      <c r="K1090" s="12"/>
      <c r="L1090" s="12"/>
      <c r="M1090" s="12"/>
      <c r="N1090" s="12"/>
      <c r="O1090" s="12"/>
    </row>
    <row r="1091" spans="1:15" ht="13">
      <c r="A1091" s="24"/>
      <c r="B1091" s="9"/>
      <c r="C1091" s="4"/>
      <c r="D1091" s="10"/>
      <c r="E1091" s="11"/>
      <c r="F1091" s="11"/>
      <c r="G1091" s="12"/>
      <c r="H1091" s="12"/>
      <c r="I1091" s="12"/>
      <c r="J1091" s="12"/>
      <c r="K1091" s="12"/>
      <c r="L1091" s="12"/>
      <c r="M1091" s="12"/>
      <c r="N1091" s="12"/>
      <c r="O1091" s="12"/>
    </row>
    <row r="1092" spans="1:15" ht="13">
      <c r="A1092" s="24"/>
      <c r="B1092" s="9"/>
      <c r="C1092" s="4"/>
      <c r="D1092" s="10"/>
      <c r="E1092" s="11"/>
      <c r="F1092" s="11"/>
      <c r="G1092" s="12"/>
      <c r="H1092" s="12"/>
      <c r="I1092" s="12"/>
      <c r="J1092" s="12"/>
      <c r="K1092" s="12"/>
      <c r="L1092" s="12"/>
      <c r="M1092" s="12"/>
      <c r="N1092" s="12"/>
      <c r="O1092" s="12"/>
    </row>
    <row r="1093" spans="1:15" ht="13">
      <c r="A1093" s="24"/>
      <c r="B1093" s="9"/>
      <c r="C1093" s="4"/>
      <c r="D1093" s="10"/>
      <c r="E1093" s="11"/>
      <c r="F1093" s="11"/>
      <c r="G1093" s="12"/>
      <c r="H1093" s="12"/>
      <c r="I1093" s="12"/>
      <c r="J1093" s="12"/>
      <c r="K1093" s="12"/>
      <c r="L1093" s="12"/>
      <c r="M1093" s="12"/>
      <c r="N1093" s="12"/>
      <c r="O1093" s="12"/>
    </row>
    <row r="1094" spans="1:15" ht="13">
      <c r="A1094" s="24"/>
      <c r="B1094" s="9"/>
      <c r="C1094" s="4"/>
      <c r="D1094" s="10"/>
      <c r="E1094" s="11"/>
      <c r="F1094" s="11"/>
      <c r="G1094" s="12"/>
      <c r="H1094" s="12"/>
      <c r="I1094" s="12"/>
      <c r="J1094" s="12"/>
      <c r="K1094" s="12"/>
      <c r="L1094" s="12"/>
      <c r="M1094" s="12"/>
      <c r="N1094" s="12"/>
      <c r="O1094" s="12"/>
    </row>
    <row r="1095" spans="1:15" ht="13">
      <c r="A1095" s="24"/>
      <c r="B1095" s="9"/>
      <c r="C1095" s="4"/>
      <c r="D1095" s="10"/>
      <c r="E1095" s="11"/>
      <c r="F1095" s="11"/>
      <c r="G1095" s="12"/>
      <c r="H1095" s="12"/>
      <c r="I1095" s="12"/>
      <c r="J1095" s="12"/>
      <c r="K1095" s="12"/>
      <c r="L1095" s="12"/>
      <c r="M1095" s="12"/>
      <c r="N1095" s="12"/>
      <c r="O1095" s="12"/>
    </row>
    <row r="1096" spans="1:15" ht="13">
      <c r="A1096" s="24"/>
      <c r="B1096" s="9"/>
      <c r="C1096" s="4"/>
      <c r="D1096" s="10"/>
      <c r="E1096" s="11"/>
      <c r="F1096" s="11"/>
      <c r="G1096" s="12"/>
      <c r="H1096" s="12"/>
      <c r="I1096" s="12"/>
      <c r="J1096" s="12"/>
      <c r="K1096" s="12"/>
      <c r="L1096" s="12"/>
      <c r="M1096" s="12"/>
      <c r="N1096" s="12"/>
      <c r="O1096" s="12"/>
    </row>
    <row r="1097" spans="1:15" ht="13">
      <c r="A1097" s="24"/>
      <c r="B1097" s="9"/>
      <c r="C1097" s="4"/>
      <c r="D1097" s="10"/>
      <c r="E1097" s="11"/>
      <c r="F1097" s="11"/>
      <c r="G1097" s="12"/>
      <c r="H1097" s="12"/>
      <c r="I1097" s="12"/>
      <c r="J1097" s="12"/>
      <c r="K1097" s="12"/>
      <c r="L1097" s="12"/>
      <c r="M1097" s="12"/>
      <c r="N1097" s="12"/>
      <c r="O1097" s="12"/>
    </row>
    <row r="1098" spans="1:15" ht="13">
      <c r="A1098" s="24"/>
      <c r="B1098" s="9"/>
      <c r="C1098" s="4"/>
      <c r="D1098" s="10"/>
      <c r="E1098" s="11"/>
      <c r="F1098" s="11"/>
      <c r="G1098" s="12"/>
      <c r="H1098" s="12"/>
      <c r="I1098" s="12"/>
      <c r="J1098" s="12"/>
      <c r="K1098" s="12"/>
      <c r="L1098" s="12"/>
      <c r="M1098" s="12"/>
      <c r="N1098" s="12"/>
      <c r="O1098" s="12"/>
    </row>
    <row r="1099" spans="1:15" ht="13">
      <c r="A1099" s="24"/>
      <c r="B1099" s="9"/>
      <c r="C1099" s="4"/>
      <c r="D1099" s="10"/>
      <c r="E1099" s="11"/>
      <c r="F1099" s="11"/>
      <c r="G1099" s="12"/>
      <c r="H1099" s="12"/>
      <c r="I1099" s="12"/>
      <c r="J1099" s="12"/>
      <c r="K1099" s="12"/>
      <c r="L1099" s="12"/>
      <c r="M1099" s="12"/>
      <c r="N1099" s="12"/>
      <c r="O1099" s="12"/>
    </row>
    <row r="1100" spans="1:15" ht="13">
      <c r="A1100" s="24"/>
      <c r="B1100" s="9"/>
      <c r="C1100" s="4"/>
      <c r="D1100" s="10"/>
      <c r="E1100" s="11"/>
      <c r="F1100" s="11"/>
      <c r="G1100" s="12"/>
      <c r="H1100" s="12"/>
      <c r="I1100" s="12"/>
      <c r="J1100" s="12"/>
      <c r="K1100" s="12"/>
      <c r="L1100" s="12"/>
      <c r="M1100" s="12"/>
      <c r="N1100" s="12"/>
      <c r="O1100" s="12"/>
    </row>
    <row r="1101" spans="1:15" ht="13">
      <c r="A1101" s="24"/>
      <c r="B1101" s="9"/>
      <c r="C1101" s="4"/>
      <c r="D1101" s="10"/>
      <c r="E1101" s="11"/>
      <c r="F1101" s="11"/>
      <c r="G1101" s="12"/>
      <c r="H1101" s="12"/>
      <c r="I1101" s="12"/>
      <c r="J1101" s="12"/>
      <c r="K1101" s="12"/>
      <c r="L1101" s="12"/>
      <c r="M1101" s="12"/>
      <c r="N1101" s="12"/>
      <c r="O1101" s="12"/>
    </row>
    <row r="1102" spans="1:15" ht="13">
      <c r="A1102" s="24"/>
      <c r="B1102" s="9"/>
      <c r="C1102" s="4"/>
      <c r="D1102" s="10"/>
      <c r="E1102" s="11"/>
      <c r="F1102" s="11"/>
      <c r="G1102" s="12"/>
      <c r="H1102" s="12"/>
      <c r="I1102" s="12"/>
      <c r="J1102" s="12"/>
      <c r="K1102" s="12"/>
      <c r="L1102" s="12"/>
      <c r="M1102" s="12"/>
      <c r="N1102" s="12"/>
      <c r="O1102" s="12"/>
    </row>
    <row r="1103" spans="1:15" ht="13">
      <c r="A1103" s="24"/>
      <c r="B1103" s="9"/>
      <c r="C1103" s="4"/>
      <c r="D1103" s="10"/>
      <c r="E1103" s="11"/>
      <c r="F1103" s="11"/>
      <c r="G1103" s="12"/>
      <c r="H1103" s="12"/>
      <c r="I1103" s="12"/>
      <c r="J1103" s="12"/>
      <c r="K1103" s="12"/>
      <c r="L1103" s="12"/>
      <c r="M1103" s="12"/>
      <c r="N1103" s="12"/>
      <c r="O1103" s="12"/>
    </row>
    <row r="1104" spans="1:15" ht="13">
      <c r="A1104" s="24"/>
      <c r="B1104" s="9"/>
      <c r="C1104" s="4"/>
      <c r="D1104" s="10"/>
      <c r="E1104" s="11"/>
      <c r="F1104" s="11"/>
      <c r="G1104" s="12"/>
      <c r="H1104" s="12"/>
      <c r="I1104" s="12"/>
      <c r="J1104" s="12"/>
      <c r="K1104" s="12"/>
      <c r="L1104" s="12"/>
      <c r="M1104" s="12"/>
      <c r="N1104" s="12"/>
      <c r="O1104" s="12"/>
    </row>
    <row r="1105" spans="1:15" ht="13">
      <c r="A1105" s="24"/>
      <c r="B1105" s="9"/>
      <c r="C1105" s="4"/>
      <c r="D1105" s="10"/>
      <c r="E1105" s="11"/>
      <c r="F1105" s="11"/>
      <c r="G1105" s="12"/>
      <c r="H1105" s="12"/>
      <c r="I1105" s="12"/>
      <c r="J1105" s="12"/>
      <c r="K1105" s="12"/>
      <c r="L1105" s="12"/>
      <c r="M1105" s="12"/>
      <c r="N1105" s="12"/>
      <c r="O1105" s="12"/>
    </row>
    <row r="1106" spans="1:15" ht="13">
      <c r="A1106" s="24"/>
      <c r="B1106" s="9"/>
      <c r="C1106" s="4"/>
      <c r="D1106" s="10"/>
      <c r="E1106" s="11"/>
      <c r="F1106" s="11"/>
      <c r="G1106" s="12"/>
      <c r="H1106" s="12"/>
      <c r="I1106" s="12"/>
      <c r="J1106" s="12"/>
      <c r="K1106" s="12"/>
      <c r="L1106" s="12"/>
      <c r="M1106" s="12"/>
      <c r="N1106" s="12"/>
      <c r="O1106" s="12"/>
    </row>
    <row r="1107" spans="1:15" ht="13">
      <c r="A1107" s="24"/>
      <c r="B1107" s="9"/>
      <c r="C1107" s="4"/>
      <c r="D1107" s="10"/>
      <c r="E1107" s="11"/>
      <c r="F1107" s="11"/>
      <c r="G1107" s="12"/>
      <c r="H1107" s="12"/>
      <c r="I1107" s="12"/>
      <c r="J1107" s="12"/>
      <c r="K1107" s="12"/>
      <c r="L1107" s="12"/>
      <c r="M1107" s="12"/>
      <c r="N1107" s="12"/>
      <c r="O1107" s="12"/>
    </row>
    <row r="1108" spans="1:15" ht="13">
      <c r="A1108" s="24"/>
      <c r="B1108" s="9"/>
      <c r="C1108" s="4"/>
      <c r="D1108" s="10"/>
      <c r="E1108" s="11"/>
      <c r="F1108" s="11"/>
      <c r="G1108" s="12"/>
      <c r="H1108" s="12"/>
      <c r="I1108" s="12"/>
      <c r="J1108" s="12"/>
      <c r="K1108" s="12"/>
      <c r="L1108" s="12"/>
      <c r="M1108" s="12"/>
      <c r="N1108" s="12"/>
      <c r="O1108" s="12"/>
    </row>
    <row r="1109" spans="1:15" ht="13">
      <c r="A1109" s="24"/>
      <c r="B1109" s="9"/>
      <c r="C1109" s="4"/>
      <c r="D1109" s="10"/>
      <c r="E1109" s="11"/>
      <c r="F1109" s="11"/>
      <c r="G1109" s="12"/>
      <c r="H1109" s="12"/>
      <c r="I1109" s="12"/>
      <c r="J1109" s="12"/>
      <c r="K1109" s="12"/>
      <c r="L1109" s="12"/>
      <c r="M1109" s="12"/>
      <c r="N1109" s="12"/>
      <c r="O1109" s="12"/>
    </row>
    <row r="1110" spans="1:15" ht="13">
      <c r="A1110" s="24"/>
      <c r="B1110" s="9"/>
      <c r="C1110" s="4"/>
      <c r="D1110" s="10"/>
      <c r="E1110" s="11"/>
      <c r="F1110" s="11"/>
      <c r="G1110" s="12"/>
      <c r="H1110" s="12"/>
      <c r="I1110" s="12"/>
      <c r="J1110" s="12"/>
      <c r="K1110" s="12"/>
      <c r="L1110" s="12"/>
      <c r="M1110" s="12"/>
      <c r="N1110" s="12"/>
      <c r="O1110" s="12"/>
    </row>
    <row r="1111" spans="1:15" ht="13">
      <c r="A1111" s="24"/>
      <c r="B1111" s="9"/>
      <c r="C1111" s="4"/>
      <c r="D1111" s="10"/>
      <c r="E1111" s="11"/>
      <c r="F1111" s="11"/>
      <c r="G1111" s="12"/>
      <c r="H1111" s="12"/>
      <c r="I1111" s="12"/>
      <c r="J1111" s="12"/>
      <c r="K1111" s="12"/>
      <c r="L1111" s="12"/>
      <c r="M1111" s="12"/>
      <c r="N1111" s="12"/>
      <c r="O1111" s="12"/>
    </row>
    <row r="1112" spans="1:15" ht="13">
      <c r="A1112" s="24"/>
      <c r="B1112" s="9"/>
      <c r="C1112" s="4"/>
      <c r="D1112" s="10"/>
      <c r="E1112" s="11"/>
      <c r="F1112" s="11"/>
      <c r="G1112" s="12"/>
      <c r="H1112" s="12"/>
      <c r="I1112" s="12"/>
      <c r="J1112" s="12"/>
      <c r="K1112" s="12"/>
      <c r="L1112" s="12"/>
      <c r="M1112" s="12"/>
      <c r="N1112" s="12"/>
      <c r="O1112" s="12"/>
    </row>
    <row r="1113" spans="1:15" ht="13">
      <c r="A1113" s="24"/>
      <c r="B1113" s="9"/>
      <c r="C1113" s="4"/>
      <c r="D1113" s="10"/>
      <c r="E1113" s="11"/>
      <c r="F1113" s="11"/>
      <c r="G1113" s="12"/>
      <c r="H1113" s="12"/>
      <c r="I1113" s="12"/>
      <c r="J1113" s="12"/>
      <c r="K1113" s="12"/>
      <c r="L1113" s="12"/>
      <c r="M1113" s="12"/>
      <c r="N1113" s="12"/>
      <c r="O1113" s="12"/>
    </row>
    <row r="1114" spans="1:15" ht="13">
      <c r="A1114" s="24"/>
      <c r="B1114" s="9"/>
      <c r="C1114" s="4"/>
      <c r="D1114" s="10"/>
      <c r="E1114" s="11"/>
      <c r="F1114" s="11"/>
      <c r="G1114" s="12"/>
      <c r="H1114" s="12"/>
      <c r="I1114" s="12"/>
      <c r="J1114" s="12"/>
      <c r="K1114" s="12"/>
      <c r="L1114" s="12"/>
      <c r="M1114" s="12"/>
      <c r="N1114" s="12"/>
      <c r="O1114" s="12"/>
    </row>
    <row r="1115" spans="1:15" ht="13">
      <c r="A1115" s="24"/>
      <c r="B1115" s="9"/>
      <c r="C1115" s="4"/>
      <c r="D1115" s="10"/>
      <c r="E1115" s="11"/>
      <c r="F1115" s="11"/>
      <c r="G1115" s="12"/>
      <c r="H1115" s="12"/>
      <c r="I1115" s="12"/>
      <c r="J1115" s="12"/>
      <c r="K1115" s="12"/>
      <c r="L1115" s="12"/>
      <c r="M1115" s="12"/>
      <c r="N1115" s="12"/>
      <c r="O1115" s="12"/>
    </row>
    <row r="1116" spans="1:15" ht="13">
      <c r="A1116" s="24"/>
      <c r="B1116" s="9"/>
      <c r="C1116" s="4"/>
      <c r="D1116" s="10"/>
      <c r="E1116" s="11"/>
      <c r="F1116" s="11"/>
      <c r="G1116" s="12"/>
      <c r="H1116" s="12"/>
      <c r="I1116" s="12"/>
      <c r="J1116" s="12"/>
      <c r="K1116" s="12"/>
      <c r="L1116" s="12"/>
      <c r="M1116" s="12"/>
      <c r="N1116" s="12"/>
      <c r="O1116" s="12"/>
    </row>
    <row r="1117" spans="1:15" ht="13">
      <c r="A1117" s="24"/>
      <c r="B1117" s="9"/>
      <c r="C1117" s="4"/>
      <c r="D1117" s="10"/>
      <c r="E1117" s="11"/>
      <c r="F1117" s="11"/>
      <c r="G1117" s="12"/>
      <c r="H1117" s="12"/>
      <c r="I1117" s="12"/>
      <c r="J1117" s="12"/>
      <c r="K1117" s="12"/>
      <c r="L1117" s="12"/>
      <c r="M1117" s="12"/>
      <c r="N1117" s="12"/>
      <c r="O1117" s="12"/>
    </row>
    <row r="1118" spans="1:15" ht="13">
      <c r="A1118" s="24"/>
      <c r="B1118" s="9"/>
      <c r="C1118" s="4"/>
      <c r="D1118" s="10"/>
      <c r="E1118" s="11"/>
      <c r="F1118" s="11"/>
      <c r="G1118" s="12"/>
      <c r="H1118" s="12"/>
      <c r="I1118" s="12"/>
      <c r="J1118" s="12"/>
      <c r="K1118" s="12"/>
      <c r="L1118" s="12"/>
      <c r="M1118" s="12"/>
      <c r="N1118" s="12"/>
      <c r="O1118" s="12"/>
    </row>
    <row r="1119" spans="1:15" ht="13">
      <c r="A1119" s="24"/>
      <c r="B1119" s="9"/>
      <c r="C1119" s="4"/>
      <c r="D1119" s="10"/>
      <c r="E1119" s="11"/>
      <c r="F1119" s="11"/>
      <c r="G1119" s="12"/>
      <c r="H1119" s="12"/>
      <c r="I1119" s="12"/>
      <c r="J1119" s="12"/>
      <c r="K1119" s="12"/>
      <c r="L1119" s="12"/>
      <c r="M1119" s="12"/>
      <c r="N1119" s="12"/>
      <c r="O1119" s="12"/>
    </row>
    <row r="1120" spans="1:15" ht="13">
      <c r="A1120" s="24"/>
      <c r="B1120" s="9"/>
      <c r="C1120" s="4"/>
      <c r="D1120" s="10"/>
      <c r="E1120" s="11"/>
      <c r="F1120" s="11"/>
      <c r="G1120" s="12"/>
      <c r="H1120" s="12"/>
      <c r="I1120" s="12"/>
      <c r="J1120" s="12"/>
      <c r="K1120" s="12"/>
      <c r="L1120" s="12"/>
      <c r="M1120" s="12"/>
      <c r="N1120" s="12"/>
      <c r="O1120" s="12"/>
    </row>
    <row r="1121" spans="1:15" ht="13">
      <c r="A1121" s="24"/>
      <c r="B1121" s="9"/>
      <c r="C1121" s="4"/>
      <c r="D1121" s="10"/>
      <c r="E1121" s="11"/>
      <c r="F1121" s="11"/>
      <c r="G1121" s="12"/>
      <c r="H1121" s="12"/>
      <c r="I1121" s="12"/>
      <c r="J1121" s="12"/>
      <c r="K1121" s="12"/>
      <c r="L1121" s="12"/>
      <c r="M1121" s="12"/>
      <c r="N1121" s="12"/>
      <c r="O1121" s="12"/>
    </row>
    <row r="1122" spans="1:15" ht="13">
      <c r="A1122" s="24"/>
      <c r="B1122" s="9"/>
      <c r="C1122" s="4"/>
      <c r="D1122" s="10"/>
      <c r="E1122" s="11"/>
      <c r="F1122" s="11"/>
      <c r="G1122" s="12"/>
      <c r="H1122" s="12"/>
      <c r="I1122" s="12"/>
      <c r="J1122" s="12"/>
      <c r="K1122" s="12"/>
      <c r="L1122" s="12"/>
      <c r="M1122" s="12"/>
      <c r="N1122" s="12"/>
      <c r="O1122" s="12"/>
    </row>
    <row r="1123" spans="1:15" ht="13">
      <c r="A1123" s="24"/>
      <c r="B1123" s="9"/>
      <c r="C1123" s="4"/>
      <c r="D1123" s="10"/>
      <c r="E1123" s="11"/>
      <c r="F1123" s="11"/>
      <c r="G1123" s="12"/>
      <c r="H1123" s="12"/>
      <c r="I1123" s="12"/>
      <c r="J1123" s="12"/>
      <c r="K1123" s="12"/>
      <c r="L1123" s="12"/>
      <c r="M1123" s="12"/>
      <c r="N1123" s="12"/>
      <c r="O1123" s="12"/>
    </row>
    <row r="1124" spans="1:15" ht="13">
      <c r="A1124" s="24"/>
      <c r="B1124" s="9"/>
      <c r="C1124" s="4"/>
      <c r="D1124" s="10"/>
      <c r="E1124" s="11"/>
      <c r="F1124" s="11"/>
      <c r="G1124" s="12"/>
      <c r="H1124" s="12"/>
      <c r="I1124" s="12"/>
      <c r="J1124" s="12"/>
      <c r="K1124" s="12"/>
      <c r="L1124" s="12"/>
      <c r="M1124" s="12"/>
      <c r="N1124" s="12"/>
      <c r="O1124" s="12"/>
    </row>
    <row r="1125" spans="1:15" ht="13">
      <c r="A1125" s="24"/>
      <c r="B1125" s="9"/>
      <c r="C1125" s="4"/>
      <c r="D1125" s="10"/>
      <c r="E1125" s="11"/>
      <c r="F1125" s="11"/>
      <c r="G1125" s="12"/>
      <c r="H1125" s="12"/>
      <c r="I1125" s="12"/>
      <c r="J1125" s="12"/>
      <c r="K1125" s="12"/>
      <c r="L1125" s="12"/>
      <c r="M1125" s="12"/>
      <c r="N1125" s="12"/>
      <c r="O1125" s="12"/>
    </row>
    <row r="1126" spans="1:15" ht="13">
      <c r="A1126" s="24"/>
      <c r="B1126" s="9"/>
      <c r="C1126" s="4"/>
      <c r="D1126" s="10"/>
      <c r="E1126" s="11"/>
      <c r="F1126" s="11"/>
      <c r="G1126" s="12"/>
      <c r="H1126" s="12"/>
      <c r="I1126" s="12"/>
      <c r="J1126" s="12"/>
      <c r="K1126" s="12"/>
      <c r="L1126" s="12"/>
      <c r="M1126" s="12"/>
      <c r="N1126" s="12"/>
      <c r="O1126" s="12"/>
    </row>
    <row r="1127" spans="1:15" ht="13">
      <c r="A1127" s="24"/>
      <c r="B1127" s="9"/>
      <c r="C1127" s="4"/>
      <c r="D1127" s="10"/>
      <c r="E1127" s="11"/>
      <c r="F1127" s="11"/>
      <c r="G1127" s="12"/>
      <c r="H1127" s="12"/>
      <c r="I1127" s="12"/>
      <c r="J1127" s="12"/>
      <c r="K1127" s="12"/>
      <c r="L1127" s="12"/>
      <c r="M1127" s="12"/>
      <c r="N1127" s="12"/>
      <c r="O1127" s="12"/>
    </row>
    <row r="1128" spans="1:15" ht="13">
      <c r="A1128" s="24"/>
      <c r="B1128" s="9"/>
      <c r="C1128" s="4"/>
      <c r="D1128" s="10"/>
      <c r="E1128" s="11"/>
      <c r="F1128" s="11"/>
      <c r="G1128" s="12"/>
      <c r="H1128" s="12"/>
      <c r="I1128" s="12"/>
      <c r="J1128" s="12"/>
      <c r="K1128" s="12"/>
      <c r="L1128" s="12"/>
      <c r="M1128" s="12"/>
      <c r="N1128" s="12"/>
      <c r="O1128" s="12"/>
    </row>
    <row r="1129" spans="1:15" ht="13">
      <c r="A1129" s="24"/>
      <c r="B1129" s="9"/>
      <c r="C1129" s="4"/>
      <c r="D1129" s="10"/>
      <c r="E1129" s="11"/>
      <c r="F1129" s="11"/>
      <c r="G1129" s="12"/>
      <c r="H1129" s="12"/>
      <c r="I1129" s="12"/>
      <c r="J1129" s="12"/>
      <c r="K1129" s="12"/>
      <c r="L1129" s="12"/>
      <c r="M1129" s="12"/>
      <c r="N1129" s="12"/>
      <c r="O1129" s="12"/>
    </row>
    <row r="1130" spans="1:15" ht="13">
      <c r="A1130" s="24"/>
      <c r="B1130" s="9"/>
      <c r="C1130" s="4"/>
      <c r="D1130" s="10"/>
      <c r="E1130" s="11"/>
      <c r="F1130" s="11"/>
      <c r="G1130" s="12"/>
      <c r="H1130" s="12"/>
      <c r="I1130" s="12"/>
      <c r="J1130" s="12"/>
      <c r="K1130" s="12"/>
      <c r="L1130" s="12"/>
      <c r="M1130" s="12"/>
      <c r="N1130" s="12"/>
      <c r="O1130" s="12"/>
    </row>
    <row r="1131" spans="1:15" ht="13">
      <c r="A1131" s="24"/>
      <c r="B1131" s="9"/>
      <c r="C1131" s="4"/>
      <c r="D1131" s="10"/>
      <c r="E1131" s="11"/>
      <c r="F1131" s="11"/>
      <c r="G1131" s="12"/>
      <c r="H1131" s="12"/>
      <c r="I1131" s="12"/>
      <c r="J1131" s="12"/>
      <c r="K1131" s="12"/>
      <c r="L1131" s="12"/>
      <c r="M1131" s="12"/>
      <c r="N1131" s="12"/>
      <c r="O1131" s="12"/>
    </row>
    <row r="1132" spans="1:15" ht="13">
      <c r="A1132" s="24"/>
      <c r="B1132" s="9"/>
      <c r="C1132" s="4"/>
      <c r="D1132" s="10"/>
      <c r="E1132" s="11"/>
      <c r="F1132" s="11"/>
      <c r="G1132" s="12"/>
      <c r="H1132" s="12"/>
      <c r="I1132" s="12"/>
      <c r="J1132" s="12"/>
      <c r="K1132" s="12"/>
      <c r="L1132" s="12"/>
      <c r="M1132" s="12"/>
      <c r="N1132" s="12"/>
      <c r="O1132" s="12"/>
    </row>
    <row r="1133" spans="1:15" ht="13">
      <c r="A1133" s="24"/>
      <c r="B1133" s="9"/>
      <c r="C1133" s="4"/>
      <c r="D1133" s="10"/>
      <c r="E1133" s="11"/>
      <c r="F1133" s="11"/>
      <c r="G1133" s="12"/>
      <c r="H1133" s="12"/>
      <c r="I1133" s="12"/>
      <c r="J1133" s="12"/>
      <c r="K1133" s="12"/>
      <c r="L1133" s="12"/>
      <c r="M1133" s="12"/>
      <c r="N1133" s="12"/>
      <c r="O1133" s="12"/>
    </row>
    <row r="1134" spans="1:15" ht="13">
      <c r="A1134" s="24"/>
      <c r="B1134" s="9"/>
      <c r="C1134" s="4"/>
      <c r="D1134" s="10"/>
      <c r="E1134" s="11"/>
      <c r="F1134" s="11"/>
      <c r="G1134" s="12"/>
      <c r="H1134" s="12"/>
      <c r="I1134" s="12"/>
      <c r="J1134" s="12"/>
      <c r="K1134" s="12"/>
      <c r="L1134" s="12"/>
      <c r="M1134" s="12"/>
      <c r="N1134" s="12"/>
      <c r="O1134" s="12"/>
    </row>
    <row r="1135" spans="1:15" ht="13">
      <c r="A1135" s="24"/>
      <c r="B1135" s="9"/>
      <c r="C1135" s="4"/>
      <c r="D1135" s="10"/>
      <c r="E1135" s="11"/>
      <c r="F1135" s="11"/>
      <c r="G1135" s="12"/>
      <c r="H1135" s="12"/>
      <c r="I1135" s="12"/>
      <c r="J1135" s="12"/>
      <c r="K1135" s="12"/>
      <c r="L1135" s="12"/>
      <c r="M1135" s="12"/>
      <c r="N1135" s="12"/>
      <c r="O1135" s="12"/>
    </row>
    <row r="1136" spans="1:15" ht="13">
      <c r="A1136" s="24"/>
      <c r="B1136" s="9"/>
      <c r="C1136" s="4"/>
      <c r="D1136" s="10"/>
      <c r="E1136" s="11"/>
      <c r="F1136" s="11"/>
      <c r="G1136" s="12"/>
      <c r="H1136" s="12"/>
      <c r="I1136" s="12"/>
      <c r="J1136" s="12"/>
      <c r="K1136" s="12"/>
      <c r="L1136" s="12"/>
      <c r="M1136" s="12"/>
      <c r="N1136" s="12"/>
      <c r="O1136" s="12"/>
    </row>
    <row r="1137" spans="1:15" ht="13">
      <c r="A1137" s="24"/>
      <c r="B1137" s="9"/>
      <c r="C1137" s="4"/>
      <c r="D1137" s="10"/>
      <c r="E1137" s="11"/>
      <c r="F1137" s="11"/>
      <c r="G1137" s="12"/>
      <c r="H1137" s="12"/>
      <c r="I1137" s="12"/>
      <c r="J1137" s="12"/>
      <c r="K1137" s="12"/>
      <c r="L1137" s="12"/>
      <c r="M1137" s="12"/>
      <c r="N1137" s="12"/>
      <c r="O1137" s="12"/>
    </row>
    <row r="1138" spans="1:15" ht="13">
      <c r="A1138" s="24"/>
      <c r="B1138" s="9"/>
      <c r="C1138" s="4"/>
      <c r="D1138" s="10"/>
      <c r="E1138" s="11"/>
      <c r="F1138" s="11"/>
      <c r="G1138" s="12"/>
      <c r="H1138" s="12"/>
      <c r="I1138" s="12"/>
      <c r="J1138" s="12"/>
      <c r="K1138" s="12"/>
      <c r="L1138" s="12"/>
      <c r="M1138" s="12"/>
      <c r="N1138" s="12"/>
      <c r="O1138" s="12"/>
    </row>
    <row r="1139" spans="1:15" ht="13">
      <c r="A1139" s="24"/>
      <c r="B1139" s="9"/>
      <c r="C1139" s="4"/>
      <c r="D1139" s="10"/>
      <c r="E1139" s="11"/>
      <c r="F1139" s="11"/>
      <c r="G1139" s="12"/>
      <c r="H1139" s="12"/>
      <c r="I1139" s="12"/>
      <c r="J1139" s="12"/>
      <c r="K1139" s="12"/>
      <c r="L1139" s="12"/>
      <c r="M1139" s="12"/>
      <c r="N1139" s="12"/>
      <c r="O1139" s="12"/>
    </row>
    <row r="1140" spans="1:15" ht="13">
      <c r="A1140" s="24"/>
      <c r="B1140" s="9"/>
      <c r="C1140" s="4"/>
      <c r="D1140" s="10"/>
      <c r="E1140" s="11"/>
      <c r="F1140" s="11"/>
      <c r="G1140" s="12"/>
      <c r="H1140" s="12"/>
      <c r="I1140" s="12"/>
      <c r="J1140" s="12"/>
      <c r="K1140" s="12"/>
      <c r="L1140" s="12"/>
      <c r="M1140" s="12"/>
      <c r="N1140" s="12"/>
      <c r="O1140" s="12"/>
    </row>
    <row r="1141" spans="1:15" ht="13">
      <c r="A1141" s="24"/>
      <c r="B1141" s="9"/>
      <c r="C1141" s="4"/>
      <c r="D1141" s="10"/>
      <c r="E1141" s="11"/>
      <c r="F1141" s="11"/>
      <c r="G1141" s="12"/>
      <c r="H1141" s="12"/>
      <c r="I1141" s="12"/>
      <c r="J1141" s="12"/>
      <c r="K1141" s="12"/>
      <c r="L1141" s="12"/>
      <c r="M1141" s="12"/>
      <c r="N1141" s="12"/>
      <c r="O1141" s="12"/>
    </row>
    <row r="1142" spans="1:15" ht="13">
      <c r="A1142" s="24"/>
      <c r="B1142" s="9"/>
      <c r="C1142" s="4"/>
      <c r="D1142" s="10"/>
      <c r="E1142" s="11"/>
      <c r="F1142" s="11"/>
      <c r="G1142" s="12"/>
      <c r="H1142" s="12"/>
      <c r="I1142" s="12"/>
      <c r="J1142" s="12"/>
      <c r="K1142" s="12"/>
      <c r="L1142" s="12"/>
      <c r="M1142" s="12"/>
      <c r="N1142" s="12"/>
      <c r="O1142" s="12"/>
    </row>
    <row r="1143" spans="1:15" ht="13">
      <c r="A1143" s="24"/>
      <c r="B1143" s="9"/>
      <c r="C1143" s="4"/>
      <c r="D1143" s="10"/>
      <c r="E1143" s="11"/>
      <c r="F1143" s="11"/>
      <c r="G1143" s="12"/>
      <c r="H1143" s="12"/>
      <c r="I1143" s="12"/>
      <c r="J1143" s="12"/>
      <c r="K1143" s="12"/>
      <c r="L1143" s="12"/>
      <c r="M1143" s="12"/>
      <c r="N1143" s="12"/>
      <c r="O1143" s="12"/>
    </row>
    <row r="1144" spans="1:15" ht="13">
      <c r="A1144" s="24"/>
      <c r="B1144" s="9"/>
      <c r="C1144" s="4"/>
      <c r="D1144" s="10"/>
      <c r="E1144" s="11"/>
      <c r="F1144" s="11"/>
      <c r="G1144" s="12"/>
      <c r="H1144" s="12"/>
      <c r="I1144" s="12"/>
      <c r="J1144" s="12"/>
      <c r="K1144" s="12"/>
      <c r="L1144" s="12"/>
      <c r="M1144" s="12"/>
      <c r="N1144" s="12"/>
      <c r="O1144" s="12"/>
    </row>
    <row r="1145" spans="1:15" ht="13">
      <c r="A1145" s="24"/>
      <c r="B1145" s="9"/>
      <c r="C1145" s="4"/>
      <c r="D1145" s="10"/>
      <c r="E1145" s="11"/>
      <c r="F1145" s="11"/>
      <c r="G1145" s="12"/>
      <c r="H1145" s="12"/>
      <c r="I1145" s="12"/>
      <c r="J1145" s="12"/>
      <c r="K1145" s="12"/>
      <c r="L1145" s="12"/>
      <c r="M1145" s="12"/>
      <c r="N1145" s="12"/>
      <c r="O1145" s="12"/>
    </row>
    <row r="1146" spans="1:15" ht="13">
      <c r="A1146" s="24"/>
      <c r="B1146" s="9"/>
      <c r="C1146" s="4"/>
      <c r="D1146" s="10"/>
      <c r="E1146" s="11"/>
      <c r="F1146" s="11"/>
      <c r="G1146" s="12"/>
      <c r="H1146" s="12"/>
      <c r="I1146" s="12"/>
      <c r="J1146" s="12"/>
      <c r="K1146" s="12"/>
      <c r="L1146" s="12"/>
      <c r="M1146" s="12"/>
      <c r="N1146" s="12"/>
      <c r="O1146" s="12"/>
    </row>
    <row r="1147" spans="1:15" ht="13">
      <c r="A1147" s="24"/>
      <c r="B1147" s="9"/>
      <c r="C1147" s="4"/>
      <c r="D1147" s="10"/>
      <c r="E1147" s="11"/>
      <c r="F1147" s="11"/>
      <c r="G1147" s="12"/>
      <c r="H1147" s="12"/>
      <c r="I1147" s="12"/>
      <c r="J1147" s="12"/>
      <c r="K1147" s="12"/>
      <c r="L1147" s="12"/>
      <c r="M1147" s="12"/>
      <c r="N1147" s="12"/>
      <c r="O1147" s="12"/>
    </row>
    <row r="1148" spans="1:15" ht="13">
      <c r="A1148" s="24"/>
      <c r="B1148" s="9"/>
      <c r="C1148" s="4"/>
      <c r="D1148" s="10"/>
      <c r="E1148" s="11"/>
      <c r="F1148" s="11"/>
      <c r="G1148" s="12"/>
      <c r="H1148" s="12"/>
      <c r="I1148" s="12"/>
      <c r="J1148" s="12"/>
      <c r="K1148" s="12"/>
      <c r="L1148" s="12"/>
      <c r="M1148" s="12"/>
      <c r="N1148" s="12"/>
      <c r="O1148" s="12"/>
    </row>
    <row r="1149" spans="1:15" ht="13">
      <c r="A1149" s="24"/>
      <c r="B1149" s="9"/>
      <c r="C1149" s="4"/>
      <c r="D1149" s="10"/>
      <c r="E1149" s="11"/>
      <c r="F1149" s="11"/>
      <c r="G1149" s="12"/>
      <c r="H1149" s="12"/>
      <c r="I1149" s="12"/>
      <c r="J1149" s="12"/>
      <c r="K1149" s="12"/>
      <c r="L1149" s="12"/>
      <c r="M1149" s="12"/>
      <c r="N1149" s="12"/>
      <c r="O1149" s="12"/>
    </row>
    <row r="1150" spans="1:15" ht="13">
      <c r="A1150" s="24"/>
      <c r="B1150" s="9"/>
      <c r="C1150" s="4"/>
      <c r="D1150" s="10"/>
      <c r="E1150" s="11"/>
      <c r="F1150" s="11"/>
      <c r="G1150" s="12"/>
      <c r="H1150" s="12"/>
      <c r="I1150" s="12"/>
      <c r="J1150" s="12"/>
      <c r="K1150" s="12"/>
      <c r="L1150" s="12"/>
      <c r="M1150" s="12"/>
      <c r="N1150" s="12"/>
      <c r="O1150" s="12"/>
    </row>
    <row r="1151" spans="1:15" ht="13">
      <c r="A1151" s="24"/>
      <c r="B1151" s="9"/>
      <c r="C1151" s="4"/>
      <c r="D1151" s="10"/>
      <c r="E1151" s="11"/>
      <c r="F1151" s="11"/>
      <c r="G1151" s="12"/>
      <c r="H1151" s="12"/>
      <c r="I1151" s="12"/>
      <c r="J1151" s="12"/>
      <c r="K1151" s="12"/>
      <c r="L1151" s="12"/>
      <c r="M1151" s="12"/>
      <c r="N1151" s="12"/>
      <c r="O1151" s="12"/>
    </row>
    <row r="1152" spans="1:15" ht="13">
      <c r="A1152" s="24"/>
      <c r="B1152" s="9"/>
      <c r="C1152" s="4"/>
      <c r="D1152" s="10"/>
      <c r="E1152" s="11"/>
      <c r="F1152" s="11"/>
      <c r="G1152" s="12"/>
      <c r="H1152" s="12"/>
      <c r="I1152" s="12"/>
      <c r="J1152" s="12"/>
      <c r="K1152" s="12"/>
      <c r="L1152" s="12"/>
      <c r="M1152" s="12"/>
      <c r="N1152" s="12"/>
      <c r="O1152" s="12"/>
    </row>
    <row r="1153" spans="1:15" ht="13">
      <c r="A1153" s="24"/>
      <c r="B1153" s="9"/>
      <c r="C1153" s="4"/>
      <c r="D1153" s="10"/>
      <c r="E1153" s="11"/>
      <c r="F1153" s="11"/>
      <c r="G1153" s="12"/>
      <c r="H1153" s="12"/>
      <c r="I1153" s="12"/>
      <c r="J1153" s="12"/>
      <c r="K1153" s="12"/>
      <c r="L1153" s="12"/>
      <c r="M1153" s="12"/>
      <c r="N1153" s="12"/>
      <c r="O1153" s="12"/>
    </row>
    <row r="1154" spans="1:15" ht="13">
      <c r="A1154" s="24"/>
      <c r="B1154" s="9"/>
      <c r="C1154" s="4"/>
      <c r="D1154" s="10"/>
      <c r="E1154" s="11"/>
      <c r="F1154" s="11"/>
      <c r="G1154" s="12"/>
      <c r="H1154" s="12"/>
      <c r="I1154" s="12"/>
      <c r="J1154" s="12"/>
      <c r="K1154" s="12"/>
      <c r="L1154" s="12"/>
      <c r="M1154" s="12"/>
      <c r="N1154" s="12"/>
      <c r="O1154" s="12"/>
    </row>
    <row r="1155" spans="1:15" ht="13">
      <c r="A1155" s="24"/>
      <c r="B1155" s="9"/>
      <c r="C1155" s="4"/>
      <c r="D1155" s="10"/>
      <c r="E1155" s="11"/>
      <c r="F1155" s="11"/>
      <c r="G1155" s="12"/>
      <c r="H1155" s="12"/>
      <c r="I1155" s="12"/>
      <c r="J1155" s="12"/>
      <c r="K1155" s="12"/>
      <c r="L1155" s="12"/>
      <c r="M1155" s="12"/>
      <c r="N1155" s="12"/>
      <c r="O1155" s="12"/>
    </row>
    <row r="1156" spans="1:15" ht="13">
      <c r="A1156" s="24"/>
      <c r="B1156" s="9"/>
      <c r="C1156" s="4"/>
      <c r="D1156" s="10"/>
      <c r="E1156" s="11"/>
      <c r="F1156" s="11"/>
      <c r="G1156" s="12"/>
      <c r="H1156" s="12"/>
      <c r="I1156" s="12"/>
      <c r="J1156" s="12"/>
      <c r="K1156" s="12"/>
      <c r="L1156" s="12"/>
      <c r="M1156" s="12"/>
      <c r="N1156" s="12"/>
      <c r="O1156" s="12"/>
    </row>
    <row r="1157" spans="1:15" ht="13">
      <c r="A1157" s="24"/>
      <c r="B1157" s="9"/>
      <c r="C1157" s="4"/>
      <c r="D1157" s="10"/>
      <c r="E1157" s="11"/>
      <c r="F1157" s="11"/>
      <c r="G1157" s="12"/>
      <c r="H1157" s="12"/>
      <c r="I1157" s="12"/>
      <c r="J1157" s="12"/>
      <c r="K1157" s="12"/>
      <c r="L1157" s="12"/>
      <c r="M1157" s="12"/>
      <c r="N1157" s="12"/>
      <c r="O1157" s="12"/>
    </row>
    <row r="1158" spans="1:15" ht="13">
      <c r="A1158" s="24"/>
      <c r="B1158" s="9"/>
      <c r="C1158" s="4"/>
      <c r="D1158" s="10"/>
      <c r="E1158" s="11"/>
      <c r="F1158" s="11"/>
      <c r="G1158" s="12"/>
      <c r="H1158" s="12"/>
      <c r="I1158" s="12"/>
      <c r="J1158" s="12"/>
      <c r="K1158" s="12"/>
      <c r="L1158" s="12"/>
      <c r="M1158" s="12"/>
      <c r="N1158" s="12"/>
      <c r="O1158" s="12"/>
    </row>
    <row r="1159" spans="1:15" ht="13">
      <c r="A1159" s="24"/>
      <c r="B1159" s="9"/>
      <c r="C1159" s="4"/>
      <c r="D1159" s="10"/>
      <c r="E1159" s="11"/>
      <c r="F1159" s="11"/>
      <c r="G1159" s="12"/>
      <c r="H1159" s="12"/>
      <c r="I1159" s="12"/>
      <c r="J1159" s="12"/>
      <c r="K1159" s="12"/>
      <c r="L1159" s="12"/>
      <c r="M1159" s="12"/>
      <c r="N1159" s="12"/>
      <c r="O1159" s="12"/>
    </row>
    <row r="1160" spans="1:15" ht="13">
      <c r="A1160" s="24"/>
      <c r="B1160" s="9"/>
      <c r="C1160" s="4"/>
      <c r="D1160" s="10"/>
      <c r="E1160" s="11"/>
      <c r="F1160" s="11"/>
      <c r="G1160" s="12"/>
      <c r="H1160" s="12"/>
      <c r="I1160" s="12"/>
      <c r="J1160" s="12"/>
      <c r="K1160" s="12"/>
      <c r="L1160" s="12"/>
      <c r="M1160" s="12"/>
      <c r="N1160" s="12"/>
      <c r="O1160" s="12"/>
    </row>
    <row r="1161" spans="1:15" ht="13">
      <c r="A1161" s="24"/>
      <c r="B1161" s="9"/>
      <c r="C1161" s="4"/>
      <c r="D1161" s="10"/>
      <c r="E1161" s="11"/>
      <c r="F1161" s="11"/>
      <c r="G1161" s="12"/>
      <c r="H1161" s="12"/>
      <c r="I1161" s="12"/>
      <c r="J1161" s="12"/>
      <c r="K1161" s="12"/>
      <c r="L1161" s="12"/>
      <c r="M1161" s="12"/>
      <c r="N1161" s="12"/>
      <c r="O1161" s="12"/>
    </row>
    <row r="1162" spans="1:15" ht="13">
      <c r="A1162" s="24"/>
      <c r="B1162" s="9"/>
      <c r="C1162" s="4"/>
      <c r="D1162" s="10"/>
      <c r="E1162" s="11"/>
      <c r="F1162" s="11"/>
      <c r="G1162" s="12"/>
      <c r="H1162" s="12"/>
      <c r="I1162" s="12"/>
      <c r="J1162" s="12"/>
      <c r="K1162" s="12"/>
      <c r="L1162" s="12"/>
      <c r="M1162" s="12"/>
      <c r="N1162" s="12"/>
      <c r="O1162" s="12"/>
    </row>
    <row r="1163" spans="1:15" ht="13">
      <c r="A1163" s="24"/>
      <c r="B1163" s="9"/>
      <c r="C1163" s="4"/>
      <c r="D1163" s="10"/>
      <c r="E1163" s="11"/>
      <c r="F1163" s="11"/>
      <c r="G1163" s="12"/>
      <c r="H1163" s="12"/>
      <c r="I1163" s="12"/>
      <c r="J1163" s="12"/>
      <c r="K1163" s="12"/>
      <c r="L1163" s="12"/>
      <c r="M1163" s="12"/>
      <c r="N1163" s="12"/>
      <c r="O1163" s="12"/>
    </row>
    <row r="1164" spans="1:15" ht="13">
      <c r="A1164" s="24"/>
      <c r="B1164" s="9"/>
      <c r="C1164" s="4"/>
      <c r="D1164" s="10"/>
      <c r="E1164" s="11"/>
      <c r="F1164" s="11"/>
      <c r="G1164" s="12"/>
      <c r="H1164" s="12"/>
      <c r="I1164" s="12"/>
      <c r="J1164" s="12"/>
      <c r="K1164" s="12"/>
      <c r="L1164" s="12"/>
      <c r="M1164" s="12"/>
      <c r="N1164" s="12"/>
      <c r="O1164" s="12"/>
    </row>
    <row r="1165" spans="1:15" ht="13">
      <c r="A1165" s="24"/>
      <c r="B1165" s="9"/>
      <c r="C1165" s="4"/>
      <c r="D1165" s="10"/>
      <c r="E1165" s="11"/>
      <c r="F1165" s="11"/>
      <c r="G1165" s="12"/>
      <c r="H1165" s="12"/>
      <c r="I1165" s="12"/>
      <c r="J1165" s="12"/>
      <c r="K1165" s="12"/>
      <c r="L1165" s="12"/>
      <c r="M1165" s="12"/>
      <c r="N1165" s="12"/>
      <c r="O1165" s="12"/>
    </row>
    <row r="1166" spans="1:15" ht="13">
      <c r="A1166" s="24"/>
      <c r="B1166" s="9"/>
      <c r="C1166" s="4"/>
      <c r="D1166" s="10"/>
      <c r="E1166" s="11"/>
      <c r="F1166" s="11"/>
      <c r="G1166" s="12"/>
      <c r="H1166" s="12"/>
      <c r="I1166" s="12"/>
      <c r="J1166" s="12"/>
      <c r="K1166" s="12"/>
      <c r="L1166" s="12"/>
      <c r="M1166" s="12"/>
      <c r="N1166" s="12"/>
      <c r="O1166" s="12"/>
    </row>
    <row r="1167" spans="1:15" ht="13">
      <c r="A1167" s="24"/>
      <c r="B1167" s="9"/>
      <c r="C1167" s="4"/>
      <c r="D1167" s="10"/>
      <c r="E1167" s="11"/>
      <c r="F1167" s="11"/>
      <c r="G1167" s="12"/>
      <c r="H1167" s="12"/>
      <c r="I1167" s="12"/>
      <c r="J1167" s="12"/>
      <c r="K1167" s="12"/>
      <c r="L1167" s="12"/>
      <c r="M1167" s="12"/>
      <c r="N1167" s="12"/>
      <c r="O1167" s="12"/>
    </row>
    <row r="1168" spans="1:15" ht="13">
      <c r="A1168" s="24"/>
      <c r="B1168" s="9"/>
      <c r="C1168" s="4"/>
      <c r="D1168" s="10"/>
      <c r="E1168" s="11"/>
      <c r="F1168" s="11"/>
      <c r="G1168" s="12"/>
      <c r="H1168" s="12"/>
      <c r="I1168" s="12"/>
      <c r="J1168" s="12"/>
      <c r="K1168" s="12"/>
      <c r="L1168" s="12"/>
      <c r="M1168" s="12"/>
      <c r="N1168" s="12"/>
      <c r="O1168" s="12"/>
    </row>
    <row r="1169" spans="1:15" ht="13">
      <c r="A1169" s="24"/>
      <c r="B1169" s="9"/>
      <c r="C1169" s="4"/>
      <c r="D1169" s="10"/>
      <c r="E1169" s="11"/>
      <c r="F1169" s="11"/>
      <c r="G1169" s="12"/>
      <c r="H1169" s="12"/>
      <c r="I1169" s="12"/>
      <c r="J1169" s="12"/>
      <c r="K1169" s="12"/>
      <c r="L1169" s="12"/>
      <c r="M1169" s="12"/>
      <c r="N1169" s="12"/>
      <c r="O1169" s="12"/>
    </row>
    <row r="1170" spans="1:15" ht="13">
      <c r="A1170" s="24"/>
      <c r="B1170" s="9"/>
      <c r="C1170" s="4"/>
      <c r="D1170" s="10"/>
      <c r="E1170" s="11"/>
      <c r="F1170" s="11"/>
      <c r="G1170" s="12"/>
      <c r="H1170" s="12"/>
      <c r="I1170" s="12"/>
      <c r="J1170" s="12"/>
      <c r="K1170" s="12"/>
      <c r="L1170" s="12"/>
      <c r="M1170" s="12"/>
      <c r="N1170" s="12"/>
      <c r="O1170" s="12"/>
    </row>
    <row r="1171" spans="1:15" ht="13">
      <c r="A1171" s="24"/>
      <c r="B1171" s="9"/>
      <c r="C1171" s="4"/>
      <c r="D1171" s="10"/>
      <c r="E1171" s="11"/>
      <c r="F1171" s="11"/>
      <c r="G1171" s="12"/>
      <c r="H1171" s="12"/>
      <c r="I1171" s="12"/>
      <c r="J1171" s="12"/>
      <c r="K1171" s="12"/>
      <c r="L1171" s="12"/>
      <c r="M1171" s="12"/>
      <c r="N1171" s="12"/>
      <c r="O1171" s="12"/>
    </row>
    <row r="1172" spans="1:15" ht="13">
      <c r="A1172" s="24"/>
      <c r="B1172" s="9"/>
      <c r="C1172" s="4"/>
      <c r="D1172" s="10"/>
      <c r="E1172" s="11"/>
      <c r="F1172" s="11"/>
      <c r="G1172" s="12"/>
      <c r="H1172" s="12"/>
      <c r="I1172" s="12"/>
      <c r="J1172" s="12"/>
      <c r="K1172" s="12"/>
      <c r="L1172" s="12"/>
      <c r="M1172" s="12"/>
      <c r="N1172" s="12"/>
      <c r="O1172" s="12"/>
    </row>
    <row r="1173" spans="1:15" ht="13">
      <c r="A1173" s="24"/>
      <c r="B1173" s="9"/>
      <c r="C1173" s="4"/>
      <c r="D1173" s="10"/>
      <c r="E1173" s="11"/>
      <c r="F1173" s="11"/>
      <c r="G1173" s="12"/>
      <c r="H1173" s="12"/>
      <c r="I1173" s="12"/>
      <c r="J1173" s="12"/>
      <c r="K1173" s="12"/>
      <c r="L1173" s="12"/>
      <c r="M1173" s="12"/>
      <c r="N1173" s="12"/>
      <c r="O1173" s="12"/>
    </row>
    <row r="1174" spans="1:15" ht="13">
      <c r="A1174" s="24"/>
      <c r="B1174" s="9"/>
      <c r="C1174" s="4"/>
      <c r="D1174" s="10"/>
      <c r="E1174" s="11"/>
      <c r="F1174" s="11"/>
      <c r="G1174" s="12"/>
      <c r="H1174" s="12"/>
      <c r="I1174" s="12"/>
      <c r="J1174" s="12"/>
      <c r="K1174" s="12"/>
      <c r="L1174" s="12"/>
      <c r="M1174" s="12"/>
      <c r="N1174" s="12"/>
      <c r="O1174" s="12"/>
    </row>
    <row r="1175" spans="1:15" ht="13">
      <c r="A1175" s="24"/>
      <c r="B1175" s="9"/>
      <c r="C1175" s="4"/>
      <c r="D1175" s="10"/>
      <c r="E1175" s="11"/>
      <c r="F1175" s="11"/>
      <c r="G1175" s="12"/>
      <c r="H1175" s="12"/>
      <c r="I1175" s="12"/>
      <c r="J1175" s="12"/>
      <c r="K1175" s="12"/>
      <c r="L1175" s="12"/>
      <c r="M1175" s="12"/>
      <c r="N1175" s="12"/>
      <c r="O1175" s="12"/>
    </row>
    <row r="1176" spans="1:15" ht="13">
      <c r="A1176" s="24"/>
      <c r="B1176" s="9"/>
      <c r="C1176" s="4"/>
      <c r="D1176" s="10"/>
      <c r="E1176" s="11"/>
      <c r="F1176" s="11"/>
      <c r="G1176" s="12"/>
      <c r="H1176" s="12"/>
      <c r="I1176" s="12"/>
      <c r="J1176" s="12"/>
      <c r="K1176" s="12"/>
      <c r="L1176" s="12"/>
      <c r="M1176" s="12"/>
      <c r="N1176" s="12"/>
      <c r="O1176" s="12"/>
    </row>
    <row r="1177" spans="1:15" ht="13">
      <c r="A1177" s="24"/>
      <c r="B1177" s="9"/>
      <c r="C1177" s="4"/>
      <c r="D1177" s="10"/>
      <c r="E1177" s="11"/>
      <c r="F1177" s="11"/>
      <c r="G1177" s="12"/>
      <c r="H1177" s="12"/>
      <c r="I1177" s="12"/>
      <c r="J1177" s="12"/>
      <c r="K1177" s="12"/>
      <c r="L1177" s="12"/>
      <c r="M1177" s="12"/>
      <c r="N1177" s="12"/>
      <c r="O1177" s="12"/>
    </row>
    <row r="1178" spans="1:15" ht="13">
      <c r="A1178" s="24"/>
      <c r="B1178" s="9"/>
      <c r="C1178" s="4"/>
      <c r="D1178" s="10"/>
      <c r="E1178" s="11"/>
      <c r="F1178" s="11"/>
      <c r="G1178" s="12"/>
      <c r="H1178" s="12"/>
      <c r="I1178" s="12"/>
      <c r="J1178" s="12"/>
      <c r="K1178" s="12"/>
      <c r="L1178" s="12"/>
      <c r="M1178" s="12"/>
      <c r="N1178" s="12"/>
      <c r="O1178" s="12"/>
    </row>
    <row r="1179" spans="1:15" ht="13">
      <c r="A1179" s="24"/>
      <c r="B1179" s="9"/>
      <c r="C1179" s="4"/>
      <c r="D1179" s="10"/>
      <c r="E1179" s="11"/>
      <c r="F1179" s="11"/>
      <c r="G1179" s="12"/>
      <c r="H1179" s="12"/>
      <c r="I1179" s="12"/>
      <c r="J1179" s="12"/>
      <c r="K1179" s="12"/>
      <c r="L1179" s="12"/>
      <c r="M1179" s="12"/>
      <c r="N1179" s="12"/>
      <c r="O1179" s="12"/>
    </row>
    <row r="1180" spans="1:15" ht="13">
      <c r="A1180" s="24"/>
      <c r="B1180" s="9"/>
      <c r="C1180" s="4"/>
      <c r="D1180" s="10"/>
      <c r="E1180" s="11"/>
      <c r="F1180" s="11"/>
      <c r="G1180" s="12"/>
      <c r="H1180" s="12"/>
      <c r="I1180" s="12"/>
      <c r="J1180" s="12"/>
      <c r="K1180" s="12"/>
      <c r="L1180" s="12"/>
      <c r="M1180" s="12"/>
      <c r="N1180" s="12"/>
      <c r="O1180" s="12"/>
    </row>
    <row r="1181" spans="1:15" ht="13">
      <c r="A1181" s="24"/>
      <c r="B1181" s="9"/>
      <c r="C1181" s="4"/>
      <c r="D1181" s="10"/>
      <c r="E1181" s="11"/>
      <c r="F1181" s="11"/>
      <c r="G1181" s="12"/>
      <c r="H1181" s="12"/>
      <c r="I1181" s="12"/>
      <c r="J1181" s="12"/>
      <c r="K1181" s="12"/>
      <c r="L1181" s="12"/>
      <c r="M1181" s="12"/>
      <c r="N1181" s="12"/>
      <c r="O1181" s="12"/>
    </row>
    <row r="1182" spans="1:15" ht="13">
      <c r="A1182" s="24"/>
      <c r="B1182" s="9"/>
      <c r="C1182" s="4"/>
      <c r="D1182" s="10"/>
      <c r="E1182" s="11"/>
      <c r="F1182" s="11"/>
      <c r="G1182" s="12"/>
      <c r="H1182" s="12"/>
      <c r="I1182" s="12"/>
      <c r="J1182" s="12"/>
      <c r="K1182" s="12"/>
      <c r="L1182" s="12"/>
      <c r="M1182" s="12"/>
      <c r="N1182" s="12"/>
      <c r="O1182" s="12"/>
    </row>
    <row r="1183" spans="1:15" ht="13">
      <c r="A1183" s="24"/>
      <c r="B1183" s="9"/>
      <c r="C1183" s="4"/>
      <c r="D1183" s="10"/>
      <c r="E1183" s="11"/>
      <c r="F1183" s="11"/>
      <c r="G1183" s="12"/>
      <c r="H1183" s="12"/>
      <c r="I1183" s="12"/>
      <c r="J1183" s="12"/>
      <c r="K1183" s="12"/>
      <c r="L1183" s="12"/>
      <c r="M1183" s="12"/>
      <c r="N1183" s="12"/>
      <c r="O1183" s="12"/>
    </row>
    <row r="1184" spans="1:15" ht="13">
      <c r="A1184" s="24"/>
      <c r="B1184" s="9"/>
      <c r="C1184" s="4"/>
      <c r="D1184" s="10"/>
      <c r="E1184" s="11"/>
      <c r="F1184" s="11"/>
      <c r="G1184" s="12"/>
      <c r="H1184" s="12"/>
      <c r="I1184" s="12"/>
      <c r="J1184" s="12"/>
      <c r="K1184" s="12"/>
      <c r="L1184" s="12"/>
      <c r="M1184" s="12"/>
      <c r="N1184" s="12"/>
      <c r="O1184" s="12"/>
    </row>
    <row r="1185" spans="1:15" ht="13">
      <c r="A1185" s="24"/>
      <c r="B1185" s="9"/>
      <c r="C1185" s="4"/>
      <c r="D1185" s="10"/>
      <c r="E1185" s="11"/>
      <c r="F1185" s="11"/>
      <c r="G1185" s="12"/>
      <c r="H1185" s="12"/>
      <c r="I1185" s="12"/>
      <c r="J1185" s="12"/>
      <c r="K1185" s="12"/>
      <c r="L1185" s="12"/>
      <c r="M1185" s="12"/>
      <c r="N1185" s="12"/>
      <c r="O1185" s="12"/>
    </row>
    <row r="1186" spans="1:15" ht="13">
      <c r="A1186" s="24"/>
      <c r="B1186" s="9"/>
      <c r="C1186" s="4"/>
      <c r="D1186" s="10"/>
      <c r="E1186" s="11"/>
      <c r="F1186" s="11"/>
      <c r="G1186" s="12"/>
      <c r="H1186" s="12"/>
      <c r="I1186" s="12"/>
      <c r="J1186" s="12"/>
      <c r="K1186" s="12"/>
      <c r="L1186" s="12"/>
      <c r="M1186" s="12"/>
      <c r="N1186" s="12"/>
      <c r="O1186" s="12"/>
    </row>
    <row r="1187" spans="1:15" ht="13">
      <c r="A1187" s="24"/>
      <c r="B1187" s="9"/>
      <c r="C1187" s="4"/>
      <c r="D1187" s="10"/>
      <c r="E1187" s="11"/>
      <c r="F1187" s="11"/>
      <c r="G1187" s="12"/>
      <c r="H1187" s="12"/>
      <c r="I1187" s="12"/>
      <c r="J1187" s="12"/>
      <c r="K1187" s="12"/>
      <c r="L1187" s="12"/>
      <c r="M1187" s="12"/>
      <c r="N1187" s="12"/>
      <c r="O1187" s="12"/>
    </row>
    <row r="1188" spans="1:15" ht="13">
      <c r="A1188" s="24"/>
      <c r="B1188" s="9"/>
      <c r="C1188" s="4"/>
      <c r="D1188" s="10"/>
      <c r="E1188" s="11"/>
      <c r="F1188" s="11"/>
      <c r="G1188" s="12"/>
      <c r="H1188" s="12"/>
      <c r="I1188" s="12"/>
      <c r="J1188" s="12"/>
      <c r="K1188" s="12"/>
      <c r="L1188" s="12"/>
      <c r="M1188" s="12"/>
      <c r="N1188" s="12"/>
      <c r="O1188" s="12"/>
    </row>
    <row r="1189" spans="1:15" ht="13">
      <c r="A1189" s="24"/>
      <c r="B1189" s="9"/>
      <c r="C1189" s="4"/>
      <c r="D1189" s="10"/>
      <c r="E1189" s="11"/>
      <c r="F1189" s="11"/>
      <c r="G1189" s="12"/>
      <c r="H1189" s="12"/>
      <c r="I1189" s="12"/>
      <c r="J1189" s="12"/>
      <c r="K1189" s="12"/>
      <c r="L1189" s="12"/>
      <c r="M1189" s="12"/>
      <c r="N1189" s="12"/>
      <c r="O1189" s="12"/>
    </row>
    <row r="1190" spans="1:15" ht="13">
      <c r="A1190" s="24"/>
      <c r="B1190" s="9"/>
      <c r="C1190" s="4"/>
      <c r="D1190" s="10"/>
      <c r="E1190" s="11"/>
      <c r="F1190" s="11"/>
      <c r="G1190" s="12"/>
      <c r="H1190" s="12"/>
      <c r="I1190" s="12"/>
      <c r="J1190" s="12"/>
      <c r="K1190" s="12"/>
      <c r="L1190" s="12"/>
      <c r="M1190" s="12"/>
      <c r="N1190" s="12"/>
      <c r="O1190" s="12"/>
    </row>
    <row r="1191" spans="1:15" ht="13">
      <c r="A1191" s="24"/>
      <c r="B1191" s="9"/>
      <c r="C1191" s="4"/>
      <c r="D1191" s="10"/>
      <c r="E1191" s="11"/>
      <c r="F1191" s="11"/>
      <c r="G1191" s="12"/>
      <c r="H1191" s="12"/>
      <c r="I1191" s="12"/>
      <c r="J1191" s="12"/>
      <c r="K1191" s="12"/>
      <c r="L1191" s="12"/>
      <c r="M1191" s="12"/>
      <c r="N1191" s="12"/>
      <c r="O1191" s="12"/>
    </row>
    <row r="1192" spans="1:15" ht="13">
      <c r="A1192" s="24"/>
      <c r="B1192" s="9"/>
      <c r="C1192" s="4"/>
      <c r="D1192" s="10"/>
      <c r="E1192" s="11"/>
      <c r="F1192" s="11"/>
      <c r="G1192" s="12"/>
      <c r="H1192" s="12"/>
      <c r="I1192" s="12"/>
      <c r="J1192" s="12"/>
      <c r="K1192" s="12"/>
      <c r="L1192" s="12"/>
      <c r="M1192" s="12"/>
      <c r="N1192" s="12"/>
      <c r="O1192" s="12"/>
    </row>
    <row r="1193" spans="1:15" ht="13">
      <c r="A1193" s="24"/>
      <c r="B1193" s="9"/>
      <c r="C1193" s="4"/>
      <c r="D1193" s="10"/>
      <c r="E1193" s="11"/>
      <c r="F1193" s="11"/>
      <c r="G1193" s="12"/>
      <c r="H1193" s="12"/>
      <c r="I1193" s="12"/>
      <c r="J1193" s="12"/>
      <c r="K1193" s="12"/>
      <c r="L1193" s="12"/>
      <c r="M1193" s="12"/>
      <c r="N1193" s="12"/>
      <c r="O1193" s="12"/>
    </row>
    <row r="1194" spans="1:15" ht="13">
      <c r="A1194" s="24"/>
      <c r="B1194" s="9"/>
      <c r="C1194" s="4"/>
      <c r="D1194" s="10"/>
      <c r="E1194" s="11"/>
      <c r="F1194" s="11"/>
      <c r="G1194" s="12"/>
      <c r="H1194" s="12"/>
      <c r="I1194" s="12"/>
      <c r="J1194" s="12"/>
      <c r="K1194" s="12"/>
      <c r="L1194" s="12"/>
      <c r="M1194" s="12"/>
      <c r="N1194" s="12"/>
      <c r="O1194" s="12"/>
    </row>
    <row r="1195" spans="1:15" ht="13">
      <c r="A1195" s="24"/>
      <c r="B1195" s="9"/>
      <c r="C1195" s="4"/>
      <c r="D1195" s="10"/>
      <c r="E1195" s="11"/>
      <c r="F1195" s="11"/>
      <c r="G1195" s="12"/>
      <c r="H1195" s="12"/>
      <c r="I1195" s="12"/>
      <c r="J1195" s="12"/>
      <c r="K1195" s="12"/>
      <c r="L1195" s="12"/>
      <c r="M1195" s="12"/>
      <c r="N1195" s="12"/>
      <c r="O1195" s="12"/>
    </row>
    <row r="1196" spans="1:15" ht="13">
      <c r="A1196" s="24"/>
      <c r="B1196" s="9"/>
      <c r="C1196" s="4"/>
      <c r="D1196" s="10"/>
      <c r="E1196" s="11"/>
      <c r="F1196" s="11"/>
      <c r="G1196" s="12"/>
      <c r="H1196" s="12"/>
      <c r="I1196" s="12"/>
      <c r="J1196" s="12"/>
      <c r="K1196" s="12"/>
      <c r="L1196" s="12"/>
      <c r="M1196" s="12"/>
      <c r="N1196" s="12"/>
      <c r="O1196" s="12"/>
    </row>
    <row r="1197" spans="1:15" ht="13">
      <c r="A1197" s="24"/>
      <c r="B1197" s="9"/>
      <c r="C1197" s="4"/>
      <c r="D1197" s="10"/>
      <c r="E1197" s="11"/>
      <c r="F1197" s="11"/>
      <c r="G1197" s="12"/>
      <c r="H1197" s="12"/>
      <c r="I1197" s="12"/>
      <c r="J1197" s="12"/>
      <c r="K1197" s="12"/>
      <c r="L1197" s="12"/>
      <c r="M1197" s="12"/>
      <c r="N1197" s="12"/>
      <c r="O1197" s="12"/>
    </row>
    <row r="1198" spans="1:15" ht="13">
      <c r="A1198" s="24"/>
      <c r="B1198" s="9"/>
      <c r="C1198" s="4"/>
      <c r="D1198" s="10"/>
      <c r="E1198" s="11"/>
      <c r="F1198" s="11"/>
      <c r="G1198" s="12"/>
      <c r="H1198" s="12"/>
      <c r="I1198" s="12"/>
      <c r="J1198" s="12"/>
      <c r="K1198" s="12"/>
      <c r="L1198" s="12"/>
      <c r="M1198" s="12"/>
      <c r="N1198" s="12"/>
      <c r="O1198" s="12"/>
    </row>
    <row r="1199" spans="1:15" ht="13">
      <c r="A1199" s="24"/>
      <c r="B1199" s="9"/>
      <c r="C1199" s="4"/>
      <c r="D1199" s="10"/>
      <c r="E1199" s="11"/>
      <c r="F1199" s="11"/>
      <c r="G1199" s="12"/>
      <c r="H1199" s="12"/>
      <c r="I1199" s="12"/>
      <c r="J1199" s="12"/>
      <c r="K1199" s="12"/>
      <c r="L1199" s="12"/>
      <c r="M1199" s="12"/>
      <c r="N1199" s="12"/>
      <c r="O1199" s="12"/>
    </row>
    <row r="1200" spans="1:15" ht="13">
      <c r="A1200" s="24"/>
      <c r="B1200" s="9"/>
      <c r="C1200" s="4"/>
      <c r="D1200" s="10"/>
      <c r="E1200" s="11"/>
      <c r="F1200" s="11"/>
      <c r="G1200" s="12"/>
      <c r="H1200" s="12"/>
      <c r="I1200" s="12"/>
      <c r="J1200" s="12"/>
      <c r="K1200" s="12"/>
      <c r="L1200" s="12"/>
      <c r="M1200" s="12"/>
      <c r="N1200" s="12"/>
      <c r="O1200" s="12"/>
    </row>
    <row r="1201" spans="1:15" ht="13">
      <c r="A1201" s="24"/>
      <c r="B1201" s="9"/>
      <c r="C1201" s="4"/>
      <c r="D1201" s="10"/>
      <c r="E1201" s="11"/>
      <c r="F1201" s="11"/>
      <c r="G1201" s="12"/>
      <c r="H1201" s="12"/>
      <c r="I1201" s="12"/>
      <c r="J1201" s="12"/>
      <c r="K1201" s="12"/>
      <c r="L1201" s="12"/>
      <c r="M1201" s="12"/>
      <c r="N1201" s="12"/>
      <c r="O1201" s="12"/>
    </row>
    <row r="1202" spans="1:15" ht="13">
      <c r="A1202" s="24"/>
      <c r="B1202" s="9"/>
      <c r="C1202" s="4"/>
      <c r="D1202" s="10"/>
      <c r="E1202" s="11"/>
      <c r="F1202" s="11"/>
      <c r="G1202" s="12"/>
      <c r="H1202" s="12"/>
      <c r="I1202" s="12"/>
      <c r="J1202" s="12"/>
      <c r="K1202" s="12"/>
      <c r="L1202" s="12"/>
      <c r="M1202" s="12"/>
      <c r="N1202" s="12"/>
      <c r="O1202" s="12"/>
    </row>
    <row r="1203" spans="1:15" ht="13">
      <c r="A1203" s="24"/>
      <c r="B1203" s="9"/>
      <c r="C1203" s="4"/>
      <c r="D1203" s="10"/>
      <c r="E1203" s="11"/>
      <c r="F1203" s="11"/>
      <c r="G1203" s="12"/>
      <c r="H1203" s="12"/>
      <c r="I1203" s="12"/>
      <c r="J1203" s="12"/>
      <c r="K1203" s="12"/>
      <c r="L1203" s="12"/>
      <c r="M1203" s="12"/>
      <c r="N1203" s="12"/>
      <c r="O1203" s="12"/>
    </row>
    <row r="1204" spans="1:15" ht="13">
      <c r="A1204" s="24"/>
      <c r="B1204" s="9"/>
      <c r="C1204" s="4"/>
      <c r="D1204" s="10"/>
      <c r="E1204" s="11"/>
      <c r="F1204" s="11"/>
      <c r="G1204" s="12"/>
      <c r="H1204" s="12"/>
      <c r="I1204" s="12"/>
      <c r="J1204" s="12"/>
      <c r="K1204" s="12"/>
      <c r="L1204" s="12"/>
      <c r="M1204" s="12"/>
      <c r="N1204" s="12"/>
      <c r="O1204" s="12"/>
    </row>
    <row r="1205" spans="1:15" ht="13">
      <c r="A1205" s="24"/>
      <c r="B1205" s="9"/>
      <c r="C1205" s="4"/>
      <c r="D1205" s="10"/>
      <c r="E1205" s="11"/>
      <c r="F1205" s="11"/>
      <c r="G1205" s="12"/>
      <c r="H1205" s="12"/>
      <c r="I1205" s="12"/>
      <c r="J1205" s="12"/>
      <c r="K1205" s="12"/>
      <c r="L1205" s="12"/>
      <c r="M1205" s="12"/>
      <c r="N1205" s="12"/>
      <c r="O1205" s="12"/>
    </row>
    <row r="1206" spans="1:15" ht="13">
      <c r="A1206" s="24"/>
      <c r="B1206" s="9"/>
      <c r="C1206" s="4"/>
      <c r="D1206" s="10"/>
      <c r="E1206" s="11"/>
      <c r="F1206" s="11"/>
      <c r="G1206" s="12"/>
      <c r="H1206" s="12"/>
      <c r="I1206" s="12"/>
      <c r="J1206" s="12"/>
      <c r="K1206" s="12"/>
      <c r="L1206" s="12"/>
      <c r="M1206" s="12"/>
      <c r="N1206" s="12"/>
      <c r="O1206" s="12"/>
    </row>
    <row r="1207" spans="1:15" ht="13">
      <c r="A1207" s="24"/>
      <c r="B1207" s="9"/>
      <c r="C1207" s="4"/>
      <c r="D1207" s="10"/>
      <c r="E1207" s="11"/>
      <c r="F1207" s="11"/>
      <c r="G1207" s="12"/>
      <c r="H1207" s="12"/>
      <c r="I1207" s="12"/>
      <c r="J1207" s="12"/>
      <c r="K1207" s="12"/>
      <c r="L1207" s="12"/>
      <c r="M1207" s="12"/>
      <c r="N1207" s="12"/>
      <c r="O1207" s="12"/>
    </row>
    <row r="1208" spans="1:15" ht="13">
      <c r="A1208" s="24"/>
      <c r="B1208" s="9"/>
      <c r="C1208" s="4"/>
      <c r="D1208" s="10"/>
      <c r="E1208" s="11"/>
      <c r="F1208" s="11"/>
      <c r="G1208" s="12"/>
      <c r="H1208" s="12"/>
      <c r="I1208" s="12"/>
      <c r="J1208" s="12"/>
      <c r="K1208" s="12"/>
      <c r="L1208" s="12"/>
      <c r="M1208" s="12"/>
      <c r="N1208" s="12"/>
      <c r="O1208" s="12"/>
    </row>
    <row r="1209" spans="1:15" ht="13">
      <c r="A1209" s="24"/>
      <c r="B1209" s="9"/>
      <c r="C1209" s="4"/>
      <c r="D1209" s="10"/>
      <c r="E1209" s="11"/>
      <c r="F1209" s="11"/>
      <c r="G1209" s="12"/>
      <c r="H1209" s="12"/>
      <c r="I1209" s="12"/>
      <c r="J1209" s="12"/>
      <c r="K1209" s="12"/>
      <c r="L1209" s="12"/>
      <c r="M1209" s="12"/>
      <c r="N1209" s="12"/>
      <c r="O1209" s="12"/>
    </row>
    <row r="1210" spans="1:15" ht="13">
      <c r="A1210" s="24"/>
      <c r="B1210" s="9"/>
      <c r="C1210" s="4"/>
      <c r="D1210" s="10"/>
      <c r="E1210" s="11"/>
      <c r="F1210" s="11"/>
      <c r="G1210" s="12"/>
      <c r="H1210" s="12"/>
      <c r="I1210" s="12"/>
      <c r="J1210" s="12"/>
      <c r="K1210" s="12"/>
      <c r="L1210" s="12"/>
      <c r="M1210" s="12"/>
      <c r="N1210" s="12"/>
      <c r="O1210" s="12"/>
    </row>
    <row r="1211" spans="1:15" ht="13">
      <c r="A1211" s="24"/>
      <c r="B1211" s="9"/>
      <c r="C1211" s="4"/>
      <c r="D1211" s="10"/>
      <c r="E1211" s="11"/>
      <c r="F1211" s="11"/>
      <c r="G1211" s="12"/>
      <c r="H1211" s="12"/>
      <c r="I1211" s="12"/>
      <c r="J1211" s="12"/>
      <c r="K1211" s="12"/>
      <c r="L1211" s="12"/>
      <c r="M1211" s="12"/>
      <c r="N1211" s="12"/>
      <c r="O1211" s="12"/>
    </row>
    <row r="1212" spans="1:15" ht="13">
      <c r="A1212" s="24"/>
      <c r="B1212" s="9"/>
      <c r="C1212" s="4"/>
      <c r="D1212" s="10"/>
      <c r="E1212" s="11"/>
      <c r="F1212" s="11"/>
      <c r="G1212" s="12"/>
      <c r="H1212" s="12"/>
      <c r="I1212" s="12"/>
      <c r="J1212" s="12"/>
      <c r="K1212" s="12"/>
      <c r="L1212" s="12"/>
      <c r="M1212" s="12"/>
      <c r="N1212" s="12"/>
      <c r="O1212" s="12"/>
    </row>
    <row r="1213" spans="1:15" ht="13">
      <c r="A1213" s="24"/>
      <c r="B1213" s="9"/>
      <c r="C1213" s="4"/>
      <c r="D1213" s="10"/>
      <c r="E1213" s="11"/>
      <c r="F1213" s="11"/>
      <c r="G1213" s="12"/>
      <c r="H1213" s="12"/>
      <c r="I1213" s="12"/>
      <c r="J1213" s="12"/>
      <c r="K1213" s="12"/>
      <c r="L1213" s="12"/>
      <c r="M1213" s="12"/>
      <c r="N1213" s="12"/>
      <c r="O1213" s="12"/>
    </row>
    <row r="1214" spans="1:15" ht="13">
      <c r="A1214" s="24"/>
      <c r="B1214" s="9"/>
      <c r="C1214" s="4"/>
      <c r="D1214" s="10"/>
      <c r="E1214" s="11"/>
      <c r="F1214" s="11"/>
      <c r="G1214" s="12"/>
      <c r="H1214" s="12"/>
      <c r="I1214" s="12"/>
      <c r="J1214" s="12"/>
      <c r="K1214" s="12"/>
      <c r="L1214" s="12"/>
      <c r="M1214" s="12"/>
      <c r="N1214" s="12"/>
      <c r="O1214" s="12"/>
    </row>
    <row r="1215" spans="1:15" ht="13">
      <c r="A1215" s="24"/>
      <c r="B1215" s="9"/>
      <c r="C1215" s="4"/>
      <c r="D1215" s="10"/>
      <c r="E1215" s="11"/>
      <c r="F1215" s="11"/>
      <c r="G1215" s="12"/>
      <c r="H1215" s="12"/>
      <c r="I1215" s="12"/>
      <c r="J1215" s="12"/>
      <c r="K1215" s="12"/>
      <c r="L1215" s="12"/>
      <c r="M1215" s="12"/>
      <c r="N1215" s="12"/>
      <c r="O1215" s="12"/>
    </row>
    <row r="1216" spans="1:15" ht="13">
      <c r="A1216" s="24"/>
      <c r="B1216" s="9"/>
      <c r="C1216" s="4"/>
      <c r="D1216" s="10"/>
      <c r="E1216" s="11"/>
      <c r="F1216" s="11"/>
      <c r="G1216" s="12"/>
      <c r="H1216" s="12"/>
      <c r="I1216" s="12"/>
      <c r="J1216" s="12"/>
      <c r="K1216" s="12"/>
      <c r="L1216" s="12"/>
      <c r="M1216" s="12"/>
      <c r="N1216" s="12"/>
      <c r="O1216" s="12"/>
    </row>
    <row r="1217" spans="1:15" ht="13">
      <c r="A1217" s="24"/>
      <c r="B1217" s="9"/>
      <c r="C1217" s="4"/>
      <c r="D1217" s="10"/>
      <c r="E1217" s="11"/>
      <c r="F1217" s="11"/>
      <c r="G1217" s="12"/>
      <c r="H1217" s="12"/>
      <c r="I1217" s="12"/>
      <c r="J1217" s="12"/>
      <c r="K1217" s="12"/>
      <c r="L1217" s="12"/>
      <c r="M1217" s="12"/>
      <c r="N1217" s="12"/>
      <c r="O1217" s="12"/>
    </row>
    <row r="1218" spans="1:15" ht="13">
      <c r="A1218" s="24"/>
      <c r="B1218" s="9"/>
      <c r="C1218" s="4"/>
      <c r="D1218" s="10"/>
      <c r="E1218" s="11"/>
      <c r="F1218" s="11"/>
      <c r="G1218" s="12"/>
      <c r="H1218" s="12"/>
      <c r="I1218" s="12"/>
      <c r="J1218" s="12"/>
      <c r="K1218" s="12"/>
      <c r="L1218" s="12"/>
      <c r="M1218" s="12"/>
      <c r="N1218" s="12"/>
      <c r="O1218" s="12"/>
    </row>
    <row r="1219" spans="1:15" ht="13">
      <c r="A1219" s="24"/>
      <c r="B1219" s="9"/>
      <c r="C1219" s="4"/>
      <c r="D1219" s="10"/>
      <c r="E1219" s="11"/>
      <c r="F1219" s="11"/>
      <c r="G1219" s="12"/>
      <c r="H1219" s="12"/>
      <c r="I1219" s="12"/>
      <c r="J1219" s="12"/>
      <c r="K1219" s="12"/>
      <c r="L1219" s="12"/>
      <c r="M1219" s="12"/>
      <c r="N1219" s="12"/>
      <c r="O1219" s="12"/>
    </row>
    <row r="1220" spans="1:15" ht="13">
      <c r="A1220" s="24"/>
      <c r="B1220" s="9"/>
      <c r="C1220" s="4"/>
      <c r="D1220" s="10"/>
      <c r="E1220" s="11"/>
      <c r="F1220" s="11"/>
      <c r="G1220" s="12"/>
      <c r="H1220" s="12"/>
      <c r="I1220" s="12"/>
      <c r="J1220" s="12"/>
      <c r="K1220" s="12"/>
      <c r="L1220" s="12"/>
      <c r="M1220" s="12"/>
      <c r="N1220" s="12"/>
      <c r="O1220" s="12"/>
    </row>
    <row r="1221" spans="1:15" ht="13">
      <c r="A1221" s="24"/>
      <c r="B1221" s="9"/>
      <c r="C1221" s="4"/>
      <c r="D1221" s="10"/>
      <c r="E1221" s="11"/>
      <c r="F1221" s="11"/>
      <c r="G1221" s="12"/>
      <c r="H1221" s="12"/>
      <c r="I1221" s="12"/>
      <c r="J1221" s="12"/>
      <c r="K1221" s="12"/>
      <c r="L1221" s="12"/>
      <c r="M1221" s="12"/>
      <c r="N1221" s="12"/>
      <c r="O1221" s="12"/>
    </row>
    <row r="1222" spans="1:15" ht="13">
      <c r="A1222" s="24"/>
      <c r="B1222" s="9"/>
      <c r="C1222" s="4"/>
      <c r="D1222" s="10"/>
      <c r="E1222" s="11"/>
      <c r="F1222" s="11"/>
      <c r="G1222" s="12"/>
      <c r="H1222" s="12"/>
      <c r="I1222" s="12"/>
      <c r="J1222" s="12"/>
      <c r="K1222" s="12"/>
      <c r="L1222" s="12"/>
      <c r="M1222" s="12"/>
      <c r="N1222" s="12"/>
      <c r="O1222" s="12"/>
    </row>
    <row r="1223" spans="1:15" ht="13">
      <c r="A1223" s="24"/>
      <c r="B1223" s="9"/>
      <c r="C1223" s="4"/>
      <c r="D1223" s="10"/>
      <c r="E1223" s="11"/>
      <c r="F1223" s="11"/>
      <c r="G1223" s="12"/>
      <c r="H1223" s="12"/>
      <c r="I1223" s="12"/>
      <c r="J1223" s="12"/>
      <c r="K1223" s="12"/>
      <c r="L1223" s="12"/>
      <c r="M1223" s="12"/>
      <c r="N1223" s="12"/>
      <c r="O1223" s="12"/>
    </row>
    <row r="1224" spans="1:15" ht="13">
      <c r="A1224" s="24"/>
      <c r="B1224" s="9"/>
      <c r="C1224" s="4"/>
      <c r="D1224" s="10"/>
      <c r="E1224" s="11"/>
      <c r="F1224" s="11"/>
      <c r="G1224" s="12"/>
      <c r="H1224" s="12"/>
      <c r="I1224" s="12"/>
      <c r="J1224" s="12"/>
      <c r="K1224" s="12"/>
      <c r="L1224" s="12"/>
      <c r="M1224" s="12"/>
      <c r="N1224" s="12"/>
      <c r="O1224" s="12"/>
    </row>
    <row r="1225" spans="1:15" ht="13">
      <c r="A1225" s="24"/>
      <c r="B1225" s="9"/>
      <c r="C1225" s="4"/>
      <c r="D1225" s="10"/>
      <c r="E1225" s="11"/>
      <c r="F1225" s="11"/>
      <c r="G1225" s="12"/>
      <c r="H1225" s="12"/>
      <c r="I1225" s="12"/>
      <c r="J1225" s="12"/>
      <c r="K1225" s="12"/>
      <c r="L1225" s="12"/>
      <c r="M1225" s="12"/>
      <c r="N1225" s="12"/>
      <c r="O1225" s="12"/>
    </row>
    <row r="1226" spans="1:15" ht="13">
      <c r="A1226" s="24"/>
      <c r="B1226" s="9"/>
      <c r="C1226" s="4"/>
      <c r="D1226" s="10"/>
      <c r="E1226" s="11"/>
      <c r="F1226" s="11"/>
      <c r="G1226" s="12"/>
      <c r="H1226" s="12"/>
      <c r="I1226" s="12"/>
      <c r="J1226" s="12"/>
      <c r="K1226" s="12"/>
      <c r="L1226" s="12"/>
      <c r="M1226" s="12"/>
      <c r="N1226" s="12"/>
      <c r="O1226" s="12"/>
    </row>
    <row r="1227" spans="1:15" ht="13">
      <c r="A1227" s="24"/>
      <c r="B1227" s="9"/>
      <c r="C1227" s="4"/>
      <c r="D1227" s="10"/>
      <c r="E1227" s="11"/>
      <c r="F1227" s="11"/>
      <c r="G1227" s="12"/>
      <c r="H1227" s="12"/>
      <c r="I1227" s="12"/>
      <c r="J1227" s="12"/>
      <c r="K1227" s="12"/>
      <c r="L1227" s="12"/>
      <c r="M1227" s="12"/>
      <c r="N1227" s="12"/>
      <c r="O1227" s="12"/>
    </row>
    <row r="1228" spans="1:15" ht="13">
      <c r="A1228" s="24"/>
      <c r="B1228" s="9"/>
      <c r="C1228" s="4"/>
      <c r="D1228" s="10"/>
      <c r="E1228" s="11"/>
      <c r="F1228" s="11"/>
      <c r="G1228" s="12"/>
      <c r="H1228" s="12"/>
      <c r="I1228" s="12"/>
      <c r="J1228" s="12"/>
      <c r="K1228" s="12"/>
      <c r="L1228" s="12"/>
      <c r="M1228" s="12"/>
      <c r="N1228" s="12"/>
      <c r="O1228" s="12"/>
    </row>
    <row r="1229" spans="1:15" ht="13">
      <c r="A1229" s="24"/>
      <c r="B1229" s="9"/>
      <c r="C1229" s="4"/>
      <c r="D1229" s="10"/>
      <c r="E1229" s="11"/>
      <c r="F1229" s="11"/>
      <c r="G1229" s="12"/>
      <c r="H1229" s="12"/>
      <c r="I1229" s="12"/>
      <c r="J1229" s="12"/>
      <c r="K1229" s="12"/>
      <c r="L1229" s="12"/>
      <c r="M1229" s="12"/>
      <c r="N1229" s="12"/>
      <c r="O1229" s="12"/>
    </row>
    <row r="1230" spans="1:15" ht="13">
      <c r="A1230" s="24"/>
      <c r="B1230" s="9"/>
      <c r="C1230" s="4"/>
      <c r="D1230" s="10"/>
      <c r="E1230" s="11"/>
      <c r="F1230" s="11"/>
      <c r="G1230" s="12"/>
      <c r="H1230" s="12"/>
      <c r="I1230" s="12"/>
      <c r="J1230" s="12"/>
      <c r="K1230" s="12"/>
      <c r="L1230" s="12"/>
      <c r="M1230" s="12"/>
      <c r="N1230" s="12"/>
      <c r="O1230" s="12"/>
    </row>
    <row r="1231" spans="1:15" ht="13">
      <c r="A1231" s="24"/>
      <c r="B1231" s="9"/>
      <c r="C1231" s="4"/>
      <c r="D1231" s="10"/>
      <c r="E1231" s="11"/>
      <c r="F1231" s="11"/>
      <c r="G1231" s="12"/>
      <c r="H1231" s="12"/>
      <c r="I1231" s="12"/>
      <c r="J1231" s="12"/>
      <c r="K1231" s="12"/>
      <c r="L1231" s="12"/>
      <c r="M1231" s="12"/>
      <c r="N1231" s="12"/>
      <c r="O1231" s="12"/>
    </row>
    <row r="1232" spans="1:15" ht="13">
      <c r="A1232" s="24"/>
      <c r="B1232" s="9"/>
      <c r="C1232" s="4"/>
      <c r="D1232" s="10"/>
      <c r="E1232" s="11"/>
      <c r="F1232" s="11"/>
      <c r="G1232" s="12"/>
      <c r="H1232" s="12"/>
      <c r="I1232" s="12"/>
      <c r="J1232" s="12"/>
      <c r="K1232" s="12"/>
      <c r="L1232" s="12"/>
      <c r="M1232" s="12"/>
      <c r="N1232" s="12"/>
      <c r="O1232" s="12"/>
    </row>
    <row r="1233" spans="1:15" ht="13">
      <c r="A1233" s="24"/>
      <c r="B1233" s="9"/>
      <c r="C1233" s="4"/>
      <c r="D1233" s="10"/>
      <c r="E1233" s="11"/>
      <c r="F1233" s="11"/>
      <c r="G1233" s="12"/>
      <c r="H1233" s="12"/>
      <c r="I1233" s="12"/>
      <c r="J1233" s="12"/>
      <c r="K1233" s="12"/>
      <c r="L1233" s="12"/>
      <c r="M1233" s="12"/>
      <c r="N1233" s="12"/>
      <c r="O1233" s="12"/>
    </row>
    <row r="1234" spans="1:15" ht="13">
      <c r="A1234" s="24"/>
      <c r="B1234" s="9"/>
      <c r="C1234" s="4"/>
      <c r="D1234" s="10"/>
      <c r="E1234" s="11"/>
      <c r="F1234" s="11"/>
      <c r="G1234" s="12"/>
      <c r="H1234" s="12"/>
      <c r="I1234" s="12"/>
      <c r="J1234" s="12"/>
      <c r="K1234" s="12"/>
      <c r="L1234" s="12"/>
      <c r="M1234" s="12"/>
      <c r="N1234" s="12"/>
      <c r="O1234" s="12"/>
    </row>
    <row r="1235" spans="1:15" ht="13">
      <c r="A1235" s="24"/>
      <c r="B1235" s="9"/>
      <c r="C1235" s="4"/>
      <c r="D1235" s="10"/>
      <c r="E1235" s="11"/>
      <c r="F1235" s="11"/>
      <c r="G1235" s="12"/>
      <c r="H1235" s="12"/>
      <c r="I1235" s="12"/>
      <c r="J1235" s="12"/>
      <c r="K1235" s="12"/>
      <c r="L1235" s="12"/>
      <c r="M1235" s="12"/>
      <c r="N1235" s="12"/>
      <c r="O1235" s="12"/>
    </row>
    <row r="1236" spans="1:15" ht="13">
      <c r="A1236" s="24"/>
      <c r="B1236" s="9"/>
      <c r="C1236" s="4"/>
      <c r="D1236" s="10"/>
      <c r="E1236" s="11"/>
      <c r="F1236" s="11"/>
      <c r="G1236" s="12"/>
      <c r="H1236" s="12"/>
      <c r="I1236" s="12"/>
      <c r="J1236" s="12"/>
      <c r="K1236" s="12"/>
      <c r="L1236" s="12"/>
      <c r="M1236" s="12"/>
      <c r="N1236" s="12"/>
      <c r="O1236" s="12"/>
    </row>
    <row r="1237" spans="1:15" ht="13">
      <c r="A1237" s="24"/>
      <c r="B1237" s="9"/>
      <c r="C1237" s="4"/>
      <c r="D1237" s="10"/>
      <c r="E1237" s="11"/>
      <c r="F1237" s="11"/>
      <c r="G1237" s="12"/>
      <c r="H1237" s="12"/>
      <c r="I1237" s="12"/>
      <c r="J1237" s="12"/>
      <c r="K1237" s="12"/>
      <c r="L1237" s="12"/>
      <c r="M1237" s="12"/>
      <c r="N1237" s="12"/>
      <c r="O1237" s="12"/>
    </row>
    <row r="1238" spans="1:15" ht="13">
      <c r="A1238" s="24"/>
      <c r="B1238" s="9"/>
      <c r="C1238" s="4"/>
      <c r="D1238" s="10"/>
      <c r="E1238" s="11"/>
      <c r="F1238" s="11"/>
      <c r="G1238" s="12"/>
      <c r="H1238" s="12"/>
      <c r="I1238" s="12"/>
      <c r="J1238" s="12"/>
      <c r="K1238" s="12"/>
      <c r="L1238" s="12"/>
      <c r="M1238" s="12"/>
      <c r="N1238" s="12"/>
      <c r="O1238" s="12"/>
    </row>
    <row r="1239" spans="1:15" ht="13">
      <c r="A1239" s="24"/>
      <c r="B1239" s="9"/>
      <c r="C1239" s="4"/>
      <c r="D1239" s="10"/>
      <c r="E1239" s="11"/>
      <c r="F1239" s="11"/>
      <c r="G1239" s="12"/>
      <c r="H1239" s="12"/>
      <c r="I1239" s="12"/>
      <c r="J1239" s="12"/>
      <c r="K1239" s="12"/>
      <c r="L1239" s="12"/>
      <c r="M1239" s="12"/>
      <c r="N1239" s="12"/>
      <c r="O1239" s="12"/>
    </row>
    <row r="1240" spans="1:15" ht="13">
      <c r="A1240" s="24"/>
      <c r="B1240" s="9"/>
      <c r="C1240" s="4"/>
      <c r="D1240" s="10"/>
      <c r="E1240" s="11"/>
      <c r="F1240" s="11"/>
      <c r="G1240" s="12"/>
      <c r="H1240" s="12"/>
      <c r="I1240" s="12"/>
      <c r="J1240" s="12"/>
      <c r="K1240" s="12"/>
      <c r="L1240" s="12"/>
      <c r="M1240" s="12"/>
      <c r="N1240" s="12"/>
      <c r="O1240" s="12"/>
    </row>
    <row r="1241" spans="1:15" ht="13">
      <c r="A1241" s="24"/>
      <c r="B1241" s="9"/>
      <c r="C1241" s="4"/>
      <c r="D1241" s="10"/>
      <c r="E1241" s="11"/>
      <c r="F1241" s="11"/>
      <c r="G1241" s="12"/>
      <c r="H1241" s="12"/>
      <c r="I1241" s="12"/>
      <c r="J1241" s="12"/>
      <c r="K1241" s="12"/>
      <c r="L1241" s="12"/>
      <c r="M1241" s="12"/>
      <c r="N1241" s="12"/>
      <c r="O1241" s="12"/>
    </row>
    <row r="1242" spans="1:15" ht="13">
      <c r="A1242" s="24"/>
      <c r="B1242" s="9"/>
      <c r="C1242" s="4"/>
      <c r="D1242" s="10"/>
      <c r="E1242" s="11"/>
      <c r="F1242" s="11"/>
      <c r="G1242" s="12"/>
      <c r="H1242" s="12"/>
      <c r="I1242" s="12"/>
      <c r="J1242" s="12"/>
      <c r="K1242" s="12"/>
      <c r="L1242" s="12"/>
      <c r="M1242" s="12"/>
      <c r="N1242" s="12"/>
      <c r="O1242" s="12"/>
    </row>
    <row r="1243" spans="1:15" ht="13">
      <c r="A1243" s="24"/>
      <c r="B1243" s="9"/>
      <c r="C1243" s="4"/>
      <c r="D1243" s="10"/>
      <c r="E1243" s="11"/>
      <c r="F1243" s="11"/>
      <c r="G1243" s="12"/>
      <c r="H1243" s="12"/>
      <c r="I1243" s="12"/>
      <c r="J1243" s="12"/>
      <c r="K1243" s="12"/>
      <c r="L1243" s="12"/>
      <c r="M1243" s="12"/>
      <c r="N1243" s="12"/>
      <c r="O1243" s="12"/>
    </row>
    <row r="1244" spans="1:15" ht="13">
      <c r="A1244" s="24"/>
      <c r="B1244" s="9"/>
      <c r="C1244" s="4"/>
      <c r="D1244" s="10"/>
      <c r="E1244" s="11"/>
      <c r="F1244" s="11"/>
      <c r="G1244" s="12"/>
      <c r="H1244" s="12"/>
      <c r="I1244" s="12"/>
      <c r="J1244" s="12"/>
      <c r="K1244" s="12"/>
      <c r="L1244" s="12"/>
      <c r="M1244" s="12"/>
      <c r="N1244" s="12"/>
      <c r="O1244" s="12"/>
    </row>
    <row r="1245" spans="1:15" ht="13">
      <c r="A1245" s="24"/>
      <c r="B1245" s="9"/>
      <c r="C1245" s="4"/>
      <c r="D1245" s="10"/>
      <c r="E1245" s="11"/>
      <c r="F1245" s="11"/>
      <c r="G1245" s="12"/>
      <c r="H1245" s="12"/>
      <c r="I1245" s="12"/>
      <c r="J1245" s="12"/>
      <c r="K1245" s="12"/>
      <c r="L1245" s="12"/>
      <c r="M1245" s="12"/>
      <c r="N1245" s="12"/>
      <c r="O1245" s="12"/>
    </row>
    <row r="1246" spans="1:15" ht="13">
      <c r="A1246" s="24"/>
      <c r="B1246" s="9"/>
      <c r="C1246" s="4"/>
      <c r="D1246" s="10"/>
      <c r="E1246" s="11"/>
      <c r="F1246" s="11"/>
      <c r="G1246" s="12"/>
      <c r="H1246" s="12"/>
      <c r="I1246" s="12"/>
      <c r="J1246" s="12"/>
      <c r="K1246" s="12"/>
      <c r="L1246" s="12"/>
      <c r="M1246" s="12"/>
      <c r="N1246" s="12"/>
      <c r="O1246" s="12"/>
    </row>
    <row r="1247" spans="1:15" ht="13">
      <c r="A1247" s="24"/>
      <c r="B1247" s="9"/>
      <c r="C1247" s="4"/>
      <c r="D1247" s="10"/>
      <c r="E1247" s="11"/>
      <c r="F1247" s="11"/>
      <c r="G1247" s="12"/>
      <c r="H1247" s="12"/>
      <c r="I1247" s="12"/>
      <c r="J1247" s="12"/>
      <c r="K1247" s="12"/>
      <c r="L1247" s="12"/>
      <c r="M1247" s="12"/>
      <c r="N1247" s="12"/>
      <c r="O1247" s="12"/>
    </row>
    <row r="1248" spans="1:15" ht="13">
      <c r="A1248" s="24"/>
      <c r="B1248" s="9"/>
      <c r="C1248" s="4"/>
      <c r="D1248" s="10"/>
      <c r="E1248" s="11"/>
      <c r="F1248" s="11"/>
      <c r="G1248" s="12"/>
      <c r="H1248" s="12"/>
      <c r="I1248" s="12"/>
      <c r="J1248" s="12"/>
      <c r="K1248" s="12"/>
      <c r="L1248" s="12"/>
      <c r="M1248" s="12"/>
      <c r="N1248" s="12"/>
      <c r="O1248" s="12"/>
    </row>
    <row r="1249" spans="1:15" ht="13">
      <c r="A1249" s="24"/>
      <c r="B1249" s="9"/>
      <c r="C1249" s="4"/>
      <c r="D1249" s="10"/>
      <c r="E1249" s="11"/>
      <c r="F1249" s="11"/>
      <c r="G1249" s="12"/>
      <c r="H1249" s="12"/>
      <c r="I1249" s="12"/>
      <c r="J1249" s="12"/>
      <c r="K1249" s="12"/>
      <c r="L1249" s="12"/>
      <c r="M1249" s="12"/>
      <c r="N1249" s="12"/>
      <c r="O1249" s="12"/>
    </row>
    <row r="1250" spans="1:15" ht="13">
      <c r="A1250" s="24"/>
      <c r="B1250" s="9"/>
      <c r="C1250" s="4"/>
      <c r="D1250" s="10"/>
      <c r="E1250" s="11"/>
      <c r="F1250" s="11"/>
      <c r="G1250" s="12"/>
      <c r="H1250" s="12"/>
      <c r="I1250" s="12"/>
      <c r="J1250" s="12"/>
      <c r="K1250" s="12"/>
      <c r="L1250" s="12"/>
      <c r="M1250" s="12"/>
      <c r="N1250" s="12"/>
      <c r="O1250" s="12"/>
    </row>
    <row r="1251" spans="1:15" ht="13">
      <c r="A1251" s="24"/>
      <c r="B1251" s="9"/>
      <c r="C1251" s="4"/>
      <c r="D1251" s="10"/>
      <c r="E1251" s="11"/>
      <c r="F1251" s="11"/>
      <c r="G1251" s="12"/>
      <c r="H1251" s="12"/>
      <c r="I1251" s="12"/>
      <c r="J1251" s="12"/>
      <c r="K1251" s="12"/>
      <c r="L1251" s="12"/>
      <c r="M1251" s="12"/>
      <c r="N1251" s="12"/>
      <c r="O1251" s="12"/>
    </row>
    <row r="1252" spans="1:15" ht="13">
      <c r="A1252" s="24"/>
      <c r="B1252" s="9"/>
      <c r="C1252" s="4"/>
      <c r="D1252" s="10"/>
      <c r="E1252" s="11"/>
      <c r="F1252" s="11"/>
      <c r="G1252" s="12"/>
      <c r="H1252" s="12"/>
      <c r="I1252" s="12"/>
      <c r="J1252" s="12"/>
      <c r="K1252" s="12"/>
      <c r="L1252" s="12"/>
      <c r="M1252" s="12"/>
      <c r="N1252" s="12"/>
      <c r="O1252" s="12"/>
    </row>
    <row r="1253" spans="1:15" ht="13">
      <c r="A1253" s="24"/>
      <c r="B1253" s="9"/>
      <c r="C1253" s="4"/>
      <c r="D1253" s="10"/>
      <c r="E1253" s="11"/>
      <c r="F1253" s="11"/>
      <c r="G1253" s="12"/>
      <c r="H1253" s="12"/>
      <c r="I1253" s="12"/>
      <c r="J1253" s="12"/>
      <c r="K1253" s="12"/>
      <c r="L1253" s="12"/>
      <c r="M1253" s="12"/>
      <c r="N1253" s="12"/>
      <c r="O1253" s="12"/>
    </row>
    <row r="1254" spans="1:15" ht="13">
      <c r="A1254" s="24"/>
      <c r="B1254" s="9"/>
      <c r="C1254" s="4"/>
      <c r="D1254" s="10"/>
      <c r="E1254" s="11"/>
      <c r="F1254" s="11"/>
      <c r="G1254" s="12"/>
      <c r="H1254" s="12"/>
      <c r="I1254" s="12"/>
      <c r="J1254" s="12"/>
      <c r="K1254" s="12"/>
      <c r="L1254" s="12"/>
      <c r="M1254" s="12"/>
      <c r="N1254" s="12"/>
      <c r="O1254" s="12"/>
    </row>
    <row r="1255" spans="1:15" ht="13">
      <c r="A1255" s="24"/>
      <c r="B1255" s="9"/>
      <c r="C1255" s="4"/>
      <c r="D1255" s="10"/>
      <c r="E1255" s="11"/>
      <c r="F1255" s="11"/>
      <c r="G1255" s="12"/>
      <c r="H1255" s="12"/>
      <c r="I1255" s="12"/>
      <c r="J1255" s="12"/>
      <c r="K1255" s="12"/>
      <c r="L1255" s="12"/>
      <c r="M1255" s="12"/>
      <c r="N1255" s="12"/>
      <c r="O1255" s="12"/>
    </row>
    <row r="1256" spans="1:15" ht="13">
      <c r="A1256" s="24"/>
      <c r="B1256" s="9"/>
      <c r="C1256" s="4"/>
      <c r="D1256" s="10"/>
      <c r="E1256" s="11"/>
      <c r="F1256" s="11"/>
      <c r="G1256" s="12"/>
      <c r="H1256" s="12"/>
      <c r="I1256" s="12"/>
      <c r="J1256" s="12"/>
      <c r="K1256" s="12"/>
      <c r="L1256" s="12"/>
      <c r="M1256" s="12"/>
      <c r="N1256" s="12"/>
      <c r="O1256" s="12"/>
    </row>
    <row r="1257" spans="1:15" ht="13">
      <c r="A1257" s="24"/>
      <c r="B1257" s="9"/>
      <c r="C1257" s="4"/>
      <c r="D1257" s="10"/>
      <c r="E1257" s="11"/>
      <c r="F1257" s="11"/>
      <c r="G1257" s="12"/>
      <c r="H1257" s="12"/>
      <c r="I1257" s="12"/>
      <c r="J1257" s="12"/>
      <c r="K1257" s="12"/>
      <c r="L1257" s="12"/>
      <c r="M1257" s="12"/>
      <c r="N1257" s="12"/>
      <c r="O1257" s="12"/>
    </row>
    <row r="1258" spans="1:15" ht="13">
      <c r="A1258" s="24"/>
      <c r="B1258" s="9"/>
      <c r="C1258" s="4"/>
      <c r="D1258" s="10"/>
      <c r="E1258" s="11"/>
      <c r="F1258" s="11"/>
      <c r="G1258" s="12"/>
      <c r="H1258" s="12"/>
      <c r="I1258" s="12"/>
      <c r="J1258" s="12"/>
      <c r="K1258" s="12"/>
      <c r="L1258" s="12"/>
      <c r="M1258" s="12"/>
      <c r="N1258" s="12"/>
      <c r="O1258" s="12"/>
    </row>
    <row r="1259" spans="1:15" ht="13">
      <c r="A1259" s="24"/>
      <c r="B1259" s="9"/>
      <c r="C1259" s="4"/>
      <c r="D1259" s="10"/>
      <c r="E1259" s="11"/>
      <c r="F1259" s="11"/>
      <c r="G1259" s="12"/>
      <c r="H1259" s="12"/>
      <c r="I1259" s="12"/>
      <c r="J1259" s="12"/>
      <c r="K1259" s="12"/>
      <c r="L1259" s="12"/>
      <c r="M1259" s="12"/>
      <c r="N1259" s="12"/>
      <c r="O1259" s="12"/>
    </row>
    <row r="1260" spans="1:15" ht="13">
      <c r="A1260" s="24"/>
      <c r="B1260" s="9"/>
      <c r="C1260" s="4"/>
      <c r="D1260" s="10"/>
      <c r="E1260" s="11"/>
      <c r="F1260" s="11"/>
      <c r="G1260" s="12"/>
      <c r="H1260" s="12"/>
      <c r="I1260" s="12"/>
      <c r="J1260" s="12"/>
      <c r="K1260" s="12"/>
      <c r="L1260" s="12"/>
      <c r="M1260" s="12"/>
      <c r="N1260" s="12"/>
      <c r="O1260" s="12"/>
    </row>
    <row r="1261" spans="1:15" ht="13">
      <c r="A1261" s="24"/>
      <c r="B1261" s="9"/>
      <c r="C1261" s="4"/>
      <c r="D1261" s="10"/>
      <c r="E1261" s="11"/>
      <c r="F1261" s="11"/>
      <c r="G1261" s="12"/>
      <c r="H1261" s="12"/>
      <c r="I1261" s="12"/>
      <c r="J1261" s="12"/>
      <c r="K1261" s="12"/>
      <c r="L1261" s="12"/>
      <c r="M1261" s="12"/>
      <c r="N1261" s="12"/>
      <c r="O1261" s="12"/>
    </row>
    <row r="1262" spans="1:15" ht="13">
      <c r="A1262" s="24"/>
      <c r="B1262" s="9"/>
      <c r="C1262" s="4"/>
      <c r="D1262" s="10"/>
      <c r="E1262" s="11"/>
      <c r="F1262" s="11"/>
      <c r="G1262" s="12"/>
      <c r="H1262" s="12"/>
      <c r="I1262" s="12"/>
      <c r="J1262" s="12"/>
      <c r="K1262" s="12"/>
      <c r="L1262" s="12"/>
      <c r="M1262" s="12"/>
      <c r="N1262" s="12"/>
      <c r="O1262" s="12"/>
    </row>
    <row r="1263" spans="1:15" ht="13">
      <c r="A1263" s="24"/>
      <c r="B1263" s="9"/>
      <c r="C1263" s="4"/>
      <c r="D1263" s="10"/>
      <c r="E1263" s="11"/>
      <c r="F1263" s="11"/>
      <c r="G1263" s="12"/>
      <c r="H1263" s="12"/>
      <c r="I1263" s="12"/>
      <c r="J1263" s="12"/>
      <c r="K1263" s="12"/>
      <c r="L1263" s="12"/>
      <c r="M1263" s="12"/>
      <c r="N1263" s="12"/>
      <c r="O1263" s="12"/>
    </row>
    <row r="1264" spans="1:15" ht="13">
      <c r="A1264" s="24"/>
      <c r="B1264" s="9"/>
      <c r="C1264" s="4"/>
      <c r="D1264" s="10"/>
      <c r="E1264" s="11"/>
      <c r="F1264" s="11"/>
      <c r="G1264" s="12"/>
      <c r="H1264" s="12"/>
      <c r="I1264" s="12"/>
      <c r="J1264" s="12"/>
      <c r="K1264" s="12"/>
      <c r="L1264" s="12"/>
      <c r="M1264" s="12"/>
      <c r="N1264" s="12"/>
      <c r="O1264" s="12"/>
    </row>
    <row r="1265" spans="1:15" ht="13">
      <c r="A1265" s="24"/>
      <c r="B1265" s="9"/>
      <c r="C1265" s="4"/>
      <c r="D1265" s="10"/>
      <c r="E1265" s="11"/>
      <c r="F1265" s="11"/>
      <c r="G1265" s="12"/>
      <c r="H1265" s="12"/>
      <c r="I1265" s="12"/>
      <c r="J1265" s="12"/>
      <c r="K1265" s="12"/>
      <c r="L1265" s="12"/>
      <c r="M1265" s="12"/>
      <c r="N1265" s="12"/>
      <c r="O1265" s="12"/>
    </row>
    <row r="1266" spans="1:15" ht="13">
      <c r="A1266" s="24"/>
      <c r="B1266" s="9"/>
      <c r="C1266" s="4"/>
      <c r="D1266" s="10"/>
      <c r="E1266" s="11"/>
      <c r="F1266" s="11"/>
      <c r="G1266" s="12"/>
      <c r="H1266" s="12"/>
      <c r="I1266" s="12"/>
      <c r="J1266" s="12"/>
      <c r="K1266" s="12"/>
      <c r="L1266" s="12"/>
      <c r="M1266" s="12"/>
      <c r="N1266" s="12"/>
      <c r="O1266" s="12"/>
    </row>
    <row r="1267" spans="1:15" ht="13">
      <c r="A1267" s="24"/>
      <c r="B1267" s="9"/>
      <c r="C1267" s="4"/>
      <c r="D1267" s="10"/>
      <c r="E1267" s="11"/>
      <c r="F1267" s="11"/>
      <c r="G1267" s="12"/>
      <c r="H1267" s="12"/>
      <c r="I1267" s="12"/>
      <c r="J1267" s="12"/>
      <c r="K1267" s="12"/>
      <c r="L1267" s="12"/>
      <c r="M1267" s="12"/>
      <c r="N1267" s="12"/>
      <c r="O1267" s="12"/>
    </row>
    <row r="1268" spans="1:15" ht="13">
      <c r="A1268" s="24"/>
      <c r="B1268" s="9"/>
      <c r="C1268" s="4"/>
      <c r="D1268" s="10"/>
      <c r="E1268" s="11"/>
      <c r="F1268" s="11"/>
      <c r="G1268" s="12"/>
      <c r="H1268" s="12"/>
      <c r="I1268" s="12"/>
      <c r="J1268" s="12"/>
      <c r="K1268" s="12"/>
      <c r="L1268" s="12"/>
      <c r="M1268" s="12"/>
      <c r="N1268" s="12"/>
      <c r="O1268" s="12"/>
    </row>
    <row r="1269" spans="1:15" ht="13">
      <c r="A1269" s="24"/>
      <c r="B1269" s="9"/>
      <c r="C1269" s="4"/>
      <c r="D1269" s="10"/>
      <c r="E1269" s="11"/>
      <c r="F1269" s="11"/>
      <c r="G1269" s="12"/>
      <c r="H1269" s="12"/>
      <c r="I1269" s="12"/>
      <c r="J1269" s="12"/>
      <c r="K1269" s="12"/>
      <c r="L1269" s="12"/>
      <c r="M1269" s="12"/>
      <c r="N1269" s="12"/>
      <c r="O1269" s="12"/>
    </row>
    <row r="1270" spans="1:15" ht="13">
      <c r="A1270" s="24"/>
      <c r="B1270" s="9"/>
      <c r="C1270" s="4"/>
      <c r="D1270" s="10"/>
      <c r="E1270" s="11"/>
      <c r="F1270" s="11"/>
      <c r="G1270" s="12"/>
      <c r="H1270" s="12"/>
      <c r="I1270" s="12"/>
      <c r="J1270" s="12"/>
      <c r="K1270" s="12"/>
      <c r="L1270" s="12"/>
      <c r="M1270" s="12"/>
      <c r="N1270" s="12"/>
      <c r="O1270" s="12"/>
    </row>
    <row r="1271" spans="1:15" ht="13">
      <c r="A1271" s="24"/>
      <c r="B1271" s="9"/>
      <c r="C1271" s="4"/>
      <c r="D1271" s="10"/>
      <c r="E1271" s="11"/>
      <c r="F1271" s="11"/>
      <c r="G1271" s="12"/>
      <c r="H1271" s="12"/>
      <c r="I1271" s="12"/>
      <c r="J1271" s="12"/>
      <c r="K1271" s="12"/>
      <c r="L1271" s="12"/>
      <c r="M1271" s="12"/>
      <c r="N1271" s="12"/>
      <c r="O1271" s="12"/>
    </row>
    <row r="1272" spans="1:15" ht="13">
      <c r="A1272" s="24"/>
      <c r="B1272" s="9"/>
      <c r="C1272" s="4"/>
      <c r="D1272" s="10"/>
      <c r="E1272" s="11"/>
      <c r="F1272" s="11"/>
      <c r="G1272" s="12"/>
      <c r="H1272" s="12"/>
      <c r="I1272" s="12"/>
      <c r="J1272" s="12"/>
      <c r="K1272" s="12"/>
      <c r="L1272" s="12"/>
      <c r="M1272" s="12"/>
      <c r="N1272" s="12"/>
      <c r="O1272" s="12"/>
    </row>
    <row r="1273" spans="1:15" ht="13">
      <c r="A1273" s="24"/>
      <c r="B1273" s="9"/>
      <c r="C1273" s="4"/>
      <c r="D1273" s="10"/>
      <c r="E1273" s="11"/>
      <c r="F1273" s="11"/>
      <c r="G1273" s="12"/>
      <c r="H1273" s="12"/>
      <c r="I1273" s="12"/>
      <c r="J1273" s="12"/>
      <c r="K1273" s="12"/>
      <c r="L1273" s="12"/>
      <c r="M1273" s="12"/>
      <c r="N1273" s="12"/>
      <c r="O1273" s="12"/>
    </row>
    <row r="1274" spans="1:15" ht="13">
      <c r="A1274" s="24"/>
      <c r="B1274" s="9"/>
      <c r="C1274" s="4"/>
      <c r="D1274" s="10"/>
      <c r="E1274" s="11"/>
      <c r="F1274" s="11"/>
      <c r="G1274" s="12"/>
      <c r="H1274" s="12"/>
      <c r="I1274" s="12"/>
      <c r="J1274" s="12"/>
      <c r="K1274" s="12"/>
      <c r="L1274" s="12"/>
      <c r="M1274" s="12"/>
      <c r="N1274" s="12"/>
      <c r="O1274" s="12"/>
    </row>
    <row r="1275" spans="1:15" ht="13">
      <c r="A1275" s="24"/>
      <c r="B1275" s="9"/>
      <c r="C1275" s="4"/>
      <c r="D1275" s="10"/>
      <c r="E1275" s="11"/>
      <c r="F1275" s="11"/>
      <c r="G1275" s="12"/>
      <c r="H1275" s="12"/>
      <c r="I1275" s="12"/>
      <c r="J1275" s="12"/>
      <c r="K1275" s="12"/>
      <c r="L1275" s="12"/>
      <c r="M1275" s="12"/>
      <c r="N1275" s="12"/>
      <c r="O1275" s="12"/>
    </row>
    <row r="1276" spans="1:15" ht="13">
      <c r="A1276" s="24"/>
      <c r="B1276" s="9"/>
      <c r="C1276" s="4"/>
      <c r="D1276" s="10"/>
      <c r="E1276" s="11"/>
      <c r="F1276" s="11"/>
      <c r="G1276" s="12"/>
      <c r="H1276" s="12"/>
      <c r="I1276" s="12"/>
      <c r="J1276" s="12"/>
      <c r="K1276" s="12"/>
      <c r="L1276" s="12"/>
      <c r="M1276" s="12"/>
      <c r="N1276" s="12"/>
      <c r="O1276" s="12"/>
    </row>
    <row r="1277" spans="1:15" ht="13">
      <c r="A1277" s="24"/>
      <c r="B1277" s="9"/>
      <c r="C1277" s="4"/>
      <c r="D1277" s="10"/>
      <c r="E1277" s="11"/>
      <c r="F1277" s="11"/>
      <c r="G1277" s="12"/>
      <c r="H1277" s="12"/>
      <c r="I1277" s="12"/>
      <c r="J1277" s="12"/>
      <c r="K1277" s="12"/>
      <c r="L1277" s="12"/>
      <c r="M1277" s="12"/>
      <c r="N1277" s="12"/>
      <c r="O1277" s="12"/>
    </row>
    <row r="1278" spans="1:15" ht="13">
      <c r="A1278" s="24"/>
      <c r="B1278" s="9"/>
      <c r="C1278" s="4"/>
      <c r="D1278" s="10"/>
      <c r="E1278" s="11"/>
      <c r="F1278" s="11"/>
      <c r="G1278" s="12"/>
      <c r="H1278" s="12"/>
      <c r="I1278" s="12"/>
      <c r="J1278" s="12"/>
      <c r="K1278" s="12"/>
      <c r="L1278" s="12"/>
      <c r="M1278" s="12"/>
      <c r="N1278" s="12"/>
      <c r="O1278" s="12"/>
    </row>
    <row r="1279" spans="1:15" ht="13">
      <c r="A1279" s="24"/>
      <c r="B1279" s="9"/>
      <c r="C1279" s="4"/>
      <c r="D1279" s="10"/>
      <c r="E1279" s="11"/>
      <c r="F1279" s="11"/>
      <c r="G1279" s="12"/>
      <c r="H1279" s="12"/>
      <c r="I1279" s="12"/>
      <c r="J1279" s="12"/>
      <c r="K1279" s="12"/>
      <c r="L1279" s="12"/>
      <c r="M1279" s="12"/>
      <c r="N1279" s="12"/>
      <c r="O1279" s="12"/>
    </row>
    <row r="1280" spans="1:15" ht="13">
      <c r="A1280" s="24"/>
      <c r="B1280" s="9"/>
      <c r="C1280" s="4"/>
      <c r="D1280" s="10"/>
      <c r="E1280" s="11"/>
      <c r="F1280" s="11"/>
      <c r="G1280" s="12"/>
      <c r="H1280" s="12"/>
      <c r="I1280" s="12"/>
      <c r="J1280" s="12"/>
      <c r="K1280" s="12"/>
      <c r="L1280" s="12"/>
      <c r="M1280" s="12"/>
      <c r="N1280" s="12"/>
      <c r="O1280" s="12"/>
    </row>
    <row r="1281" spans="1:15" ht="13">
      <c r="A1281" s="24"/>
      <c r="B1281" s="9"/>
      <c r="C1281" s="4"/>
      <c r="D1281" s="10"/>
      <c r="E1281" s="11"/>
      <c r="F1281" s="11"/>
      <c r="G1281" s="12"/>
      <c r="H1281" s="12"/>
      <c r="I1281" s="12"/>
      <c r="J1281" s="12"/>
      <c r="K1281" s="12"/>
      <c r="L1281" s="12"/>
      <c r="M1281" s="12"/>
      <c r="N1281" s="12"/>
      <c r="O1281" s="12"/>
    </row>
    <row r="1282" spans="1:15" ht="13">
      <c r="A1282" s="24"/>
      <c r="B1282" s="9"/>
      <c r="C1282" s="4"/>
      <c r="D1282" s="10"/>
      <c r="E1282" s="11"/>
      <c r="F1282" s="11"/>
      <c r="G1282" s="12"/>
      <c r="H1282" s="12"/>
      <c r="I1282" s="12"/>
      <c r="J1282" s="12"/>
      <c r="K1282" s="12"/>
      <c r="L1282" s="12"/>
      <c r="M1282" s="12"/>
      <c r="N1282" s="12"/>
      <c r="O1282" s="12"/>
    </row>
    <row r="1283" spans="1:15" ht="13">
      <c r="A1283" s="24"/>
      <c r="B1283" s="9"/>
      <c r="C1283" s="4"/>
      <c r="D1283" s="10"/>
      <c r="E1283" s="11"/>
      <c r="F1283" s="11"/>
      <c r="G1283" s="12"/>
      <c r="H1283" s="12"/>
      <c r="I1283" s="12"/>
      <c r="J1283" s="12"/>
      <c r="K1283" s="12"/>
      <c r="L1283" s="12"/>
      <c r="M1283" s="12"/>
      <c r="N1283" s="12"/>
      <c r="O1283" s="12"/>
    </row>
    <row r="1284" spans="1:15" ht="13">
      <c r="A1284" s="24"/>
      <c r="B1284" s="9"/>
      <c r="C1284" s="4"/>
      <c r="D1284" s="10"/>
      <c r="E1284" s="11"/>
      <c r="F1284" s="11"/>
      <c r="G1284" s="12"/>
      <c r="H1284" s="12"/>
      <c r="I1284" s="12"/>
      <c r="J1284" s="12"/>
      <c r="K1284" s="12"/>
      <c r="L1284" s="12"/>
      <c r="M1284" s="12"/>
      <c r="N1284" s="12"/>
      <c r="O1284" s="12"/>
    </row>
    <row r="1285" spans="1:15" ht="13">
      <c r="A1285" s="24"/>
      <c r="B1285" s="9"/>
      <c r="C1285" s="4"/>
      <c r="D1285" s="10"/>
      <c r="E1285" s="11"/>
      <c r="F1285" s="11"/>
      <c r="G1285" s="12"/>
      <c r="H1285" s="12"/>
      <c r="I1285" s="12"/>
      <c r="J1285" s="12"/>
      <c r="K1285" s="12"/>
      <c r="L1285" s="12"/>
      <c r="M1285" s="12"/>
      <c r="N1285" s="12"/>
      <c r="O1285" s="12"/>
    </row>
    <row r="1286" spans="1:15" ht="13">
      <c r="A1286" s="24"/>
      <c r="B1286" s="9"/>
      <c r="C1286" s="4"/>
      <c r="D1286" s="10"/>
      <c r="E1286" s="11"/>
      <c r="F1286" s="11"/>
      <c r="G1286" s="12"/>
      <c r="H1286" s="12"/>
      <c r="I1286" s="12"/>
      <c r="J1286" s="12"/>
      <c r="K1286" s="12"/>
      <c r="L1286" s="12"/>
      <c r="M1286" s="12"/>
      <c r="N1286" s="12"/>
      <c r="O1286" s="12"/>
    </row>
    <row r="1287" spans="1:15" ht="13">
      <c r="A1287" s="24"/>
      <c r="B1287" s="9"/>
      <c r="C1287" s="4"/>
      <c r="D1287" s="10"/>
      <c r="E1287" s="11"/>
      <c r="F1287" s="11"/>
      <c r="G1287" s="12"/>
      <c r="H1287" s="12"/>
      <c r="I1287" s="12"/>
      <c r="J1287" s="12"/>
      <c r="K1287" s="12"/>
      <c r="L1287" s="12"/>
      <c r="M1287" s="12"/>
      <c r="N1287" s="12"/>
      <c r="O1287" s="12"/>
    </row>
    <row r="1288" spans="1:15" ht="13">
      <c r="A1288" s="24"/>
      <c r="B1288" s="9"/>
      <c r="C1288" s="4"/>
      <c r="D1288" s="10"/>
      <c r="E1288" s="11"/>
      <c r="F1288" s="11"/>
      <c r="G1288" s="12"/>
      <c r="H1288" s="12"/>
      <c r="I1288" s="12"/>
      <c r="J1288" s="12"/>
      <c r="K1288" s="12"/>
      <c r="L1288" s="12"/>
      <c r="M1288" s="12"/>
      <c r="N1288" s="12"/>
      <c r="O1288" s="12"/>
    </row>
    <row r="1289" spans="1:15" ht="13">
      <c r="A1289" s="24"/>
      <c r="B1289" s="9"/>
      <c r="C1289" s="4"/>
      <c r="D1289" s="10"/>
      <c r="E1289" s="11"/>
      <c r="F1289" s="11"/>
      <c r="G1289" s="12"/>
      <c r="H1289" s="12"/>
      <c r="I1289" s="12"/>
      <c r="J1289" s="12"/>
      <c r="K1289" s="12"/>
      <c r="L1289" s="12"/>
      <c r="M1289" s="12"/>
      <c r="N1289" s="12"/>
      <c r="O1289" s="12"/>
    </row>
    <row r="1290" spans="1:15" ht="13">
      <c r="A1290" s="24"/>
      <c r="B1290" s="9"/>
      <c r="C1290" s="4"/>
      <c r="D1290" s="10"/>
      <c r="E1290" s="11"/>
      <c r="F1290" s="11"/>
      <c r="G1290" s="12"/>
      <c r="H1290" s="12"/>
      <c r="I1290" s="12"/>
      <c r="J1290" s="12"/>
      <c r="K1290" s="12"/>
      <c r="L1290" s="12"/>
      <c r="M1290" s="12"/>
      <c r="N1290" s="12"/>
      <c r="O1290" s="12"/>
    </row>
    <row r="1291" spans="1:15" ht="13">
      <c r="A1291" s="24"/>
      <c r="B1291" s="9"/>
      <c r="C1291" s="4"/>
      <c r="D1291" s="10"/>
      <c r="E1291" s="11"/>
      <c r="F1291" s="11"/>
      <c r="G1291" s="12"/>
      <c r="H1291" s="12"/>
      <c r="I1291" s="12"/>
      <c r="J1291" s="12"/>
      <c r="K1291" s="12"/>
      <c r="L1291" s="12"/>
      <c r="M1291" s="12"/>
      <c r="N1291" s="12"/>
      <c r="O1291" s="12"/>
    </row>
    <row r="1292" spans="1:15" ht="13">
      <c r="A1292" s="24"/>
      <c r="B1292" s="9"/>
      <c r="C1292" s="4"/>
      <c r="D1292" s="10"/>
      <c r="E1292" s="11"/>
      <c r="F1292" s="11"/>
      <c r="G1292" s="12"/>
      <c r="H1292" s="12"/>
      <c r="I1292" s="12"/>
      <c r="J1292" s="12"/>
      <c r="K1292" s="12"/>
      <c r="L1292" s="12"/>
      <c r="M1292" s="12"/>
      <c r="N1292" s="12"/>
      <c r="O1292" s="12"/>
    </row>
    <row r="1293" spans="1:15" ht="13">
      <c r="A1293" s="24"/>
      <c r="B1293" s="9"/>
      <c r="C1293" s="4"/>
      <c r="D1293" s="10"/>
      <c r="E1293" s="11"/>
      <c r="F1293" s="11"/>
      <c r="G1293" s="12"/>
      <c r="H1293" s="12"/>
      <c r="I1293" s="12"/>
      <c r="J1293" s="12"/>
      <c r="K1293" s="12"/>
      <c r="L1293" s="12"/>
      <c r="M1293" s="12"/>
      <c r="N1293" s="12"/>
      <c r="O1293" s="12"/>
    </row>
    <row r="1294" spans="1:15" ht="13">
      <c r="A1294" s="24"/>
      <c r="B1294" s="9"/>
      <c r="C1294" s="4"/>
      <c r="D1294" s="10"/>
      <c r="E1294" s="11"/>
      <c r="F1294" s="11"/>
      <c r="G1294" s="12"/>
      <c r="H1294" s="12"/>
      <c r="I1294" s="12"/>
      <c r="J1294" s="12"/>
      <c r="K1294" s="12"/>
      <c r="L1294" s="12"/>
      <c r="M1294" s="12"/>
      <c r="N1294" s="12"/>
      <c r="O1294" s="12"/>
    </row>
    <row r="1295" spans="1:15" ht="13">
      <c r="A1295" s="24"/>
      <c r="B1295" s="9"/>
      <c r="C1295" s="4"/>
      <c r="D1295" s="10"/>
      <c r="E1295" s="11"/>
      <c r="F1295" s="11"/>
      <c r="G1295" s="12"/>
      <c r="H1295" s="12"/>
      <c r="I1295" s="12"/>
      <c r="J1295" s="12"/>
      <c r="K1295" s="12"/>
      <c r="L1295" s="12"/>
      <c r="M1295" s="12"/>
      <c r="N1295" s="12"/>
      <c r="O1295" s="12"/>
    </row>
    <row r="1296" spans="1:15" ht="13">
      <c r="A1296" s="24"/>
      <c r="B1296" s="9"/>
      <c r="C1296" s="4"/>
      <c r="D1296" s="10"/>
      <c r="E1296" s="11"/>
      <c r="F1296" s="11"/>
      <c r="G1296" s="12"/>
      <c r="H1296" s="12"/>
      <c r="I1296" s="12"/>
      <c r="J1296" s="12"/>
      <c r="K1296" s="12"/>
      <c r="L1296" s="12"/>
      <c r="M1296" s="12"/>
      <c r="N1296" s="12"/>
      <c r="O1296" s="12"/>
    </row>
    <row r="1297" spans="1:15" ht="13">
      <c r="A1297" s="24"/>
      <c r="B1297" s="9"/>
      <c r="C1297" s="4"/>
      <c r="D1297" s="10"/>
      <c r="E1297" s="11"/>
      <c r="F1297" s="11"/>
      <c r="G1297" s="12"/>
      <c r="H1297" s="12"/>
      <c r="I1297" s="12"/>
      <c r="J1297" s="12"/>
      <c r="K1297" s="12"/>
      <c r="L1297" s="12"/>
      <c r="M1297" s="12"/>
      <c r="N1297" s="12"/>
      <c r="O1297" s="12"/>
    </row>
    <row r="1298" spans="1:15" ht="13">
      <c r="A1298" s="24"/>
      <c r="B1298" s="9"/>
      <c r="C1298" s="4"/>
      <c r="D1298" s="10"/>
      <c r="E1298" s="11"/>
      <c r="F1298" s="11"/>
      <c r="G1298" s="12"/>
      <c r="H1298" s="12"/>
      <c r="I1298" s="12"/>
      <c r="J1298" s="12"/>
      <c r="K1298" s="12"/>
      <c r="L1298" s="12"/>
      <c r="M1298" s="12"/>
      <c r="N1298" s="12"/>
      <c r="O1298" s="12"/>
    </row>
    <row r="1299" spans="1:15" ht="13">
      <c r="A1299" s="24"/>
      <c r="B1299" s="9"/>
      <c r="C1299" s="4"/>
      <c r="D1299" s="10"/>
      <c r="E1299" s="11"/>
      <c r="F1299" s="11"/>
      <c r="G1299" s="12"/>
      <c r="H1299" s="12"/>
      <c r="I1299" s="12"/>
      <c r="J1299" s="12"/>
      <c r="K1299" s="12"/>
      <c r="L1299" s="12"/>
      <c r="M1299" s="12"/>
      <c r="N1299" s="12"/>
      <c r="O1299" s="12"/>
    </row>
    <row r="1300" spans="1:15" ht="13">
      <c r="A1300" s="24"/>
      <c r="B1300" s="9"/>
      <c r="C1300" s="4"/>
      <c r="D1300" s="10"/>
      <c r="E1300" s="11"/>
      <c r="F1300" s="11"/>
      <c r="G1300" s="12"/>
      <c r="H1300" s="12"/>
      <c r="I1300" s="12"/>
      <c r="J1300" s="12"/>
      <c r="K1300" s="12"/>
      <c r="L1300" s="12"/>
      <c r="M1300" s="12"/>
      <c r="N1300" s="12"/>
      <c r="O1300" s="12"/>
    </row>
    <row r="1301" spans="1:15" ht="13">
      <c r="A1301" s="24"/>
      <c r="B1301" s="9"/>
      <c r="C1301" s="4"/>
      <c r="D1301" s="10"/>
      <c r="E1301" s="11"/>
      <c r="F1301" s="11"/>
      <c r="G1301" s="12"/>
      <c r="H1301" s="12"/>
      <c r="I1301" s="12"/>
      <c r="J1301" s="12"/>
      <c r="K1301" s="12"/>
      <c r="L1301" s="12"/>
      <c r="M1301" s="12"/>
      <c r="N1301" s="12"/>
      <c r="O1301" s="12"/>
    </row>
    <row r="1302" spans="1:15" ht="13">
      <c r="A1302" s="24"/>
      <c r="B1302" s="9"/>
      <c r="C1302" s="4"/>
      <c r="D1302" s="10"/>
      <c r="E1302" s="11"/>
      <c r="F1302" s="11"/>
      <c r="G1302" s="12"/>
      <c r="H1302" s="12"/>
      <c r="I1302" s="12"/>
      <c r="J1302" s="12"/>
      <c r="K1302" s="12"/>
      <c r="L1302" s="12"/>
      <c r="M1302" s="12"/>
      <c r="N1302" s="12"/>
      <c r="O1302" s="12"/>
    </row>
    <row r="1303" spans="1:15" ht="13">
      <c r="A1303" s="24"/>
      <c r="B1303" s="9"/>
      <c r="C1303" s="4"/>
      <c r="D1303" s="10"/>
      <c r="E1303" s="11"/>
      <c r="F1303" s="11"/>
      <c r="G1303" s="12"/>
      <c r="H1303" s="12"/>
      <c r="I1303" s="12"/>
      <c r="J1303" s="12"/>
      <c r="K1303" s="12"/>
      <c r="L1303" s="12"/>
      <c r="M1303" s="12"/>
      <c r="N1303" s="12"/>
      <c r="O1303" s="12"/>
    </row>
    <row r="1304" spans="1:15" ht="13">
      <c r="A1304" s="24"/>
      <c r="B1304" s="9"/>
      <c r="C1304" s="4"/>
      <c r="D1304" s="10"/>
      <c r="E1304" s="11"/>
      <c r="F1304" s="11"/>
      <c r="G1304" s="12"/>
      <c r="H1304" s="12"/>
      <c r="I1304" s="12"/>
      <c r="J1304" s="12"/>
      <c r="K1304" s="12"/>
      <c r="L1304" s="12"/>
      <c r="M1304" s="12"/>
      <c r="N1304" s="12"/>
      <c r="O1304" s="12"/>
    </row>
    <row r="1305" spans="1:15" ht="13">
      <c r="A1305" s="24"/>
      <c r="B1305" s="9"/>
      <c r="C1305" s="4"/>
      <c r="D1305" s="10"/>
      <c r="E1305" s="11"/>
      <c r="F1305" s="11"/>
      <c r="G1305" s="12"/>
      <c r="H1305" s="12"/>
      <c r="I1305" s="12"/>
      <c r="J1305" s="12"/>
      <c r="K1305" s="12"/>
      <c r="L1305" s="12"/>
      <c r="M1305" s="12"/>
      <c r="N1305" s="12"/>
      <c r="O1305" s="12"/>
    </row>
    <row r="1306" spans="1:15" ht="13">
      <c r="A1306" s="24"/>
      <c r="B1306" s="9"/>
      <c r="C1306" s="4"/>
      <c r="D1306" s="10"/>
      <c r="E1306" s="11"/>
      <c r="F1306" s="11"/>
      <c r="G1306" s="12"/>
      <c r="H1306" s="12"/>
      <c r="I1306" s="12"/>
      <c r="J1306" s="12"/>
      <c r="K1306" s="12"/>
      <c r="L1306" s="12"/>
      <c r="M1306" s="12"/>
      <c r="N1306" s="12"/>
      <c r="O1306" s="12"/>
    </row>
    <row r="1307" spans="1:15" ht="13">
      <c r="A1307" s="24"/>
      <c r="B1307" s="9"/>
      <c r="C1307" s="4"/>
      <c r="D1307" s="10"/>
      <c r="E1307" s="11"/>
      <c r="F1307" s="11"/>
      <c r="G1307" s="12"/>
      <c r="H1307" s="12"/>
      <c r="I1307" s="12"/>
      <c r="J1307" s="12"/>
      <c r="K1307" s="12"/>
      <c r="L1307" s="12"/>
      <c r="M1307" s="12"/>
      <c r="N1307" s="12"/>
      <c r="O1307" s="12"/>
    </row>
    <row r="1308" spans="1:15" ht="13">
      <c r="A1308" s="24"/>
      <c r="B1308" s="9"/>
      <c r="C1308" s="4"/>
      <c r="D1308" s="10"/>
      <c r="E1308" s="11"/>
      <c r="F1308" s="11"/>
      <c r="G1308" s="12"/>
      <c r="H1308" s="12"/>
      <c r="I1308" s="12"/>
      <c r="J1308" s="12"/>
      <c r="K1308" s="12"/>
      <c r="L1308" s="12"/>
      <c r="M1308" s="12"/>
      <c r="N1308" s="12"/>
      <c r="O1308" s="12"/>
    </row>
    <row r="1309" spans="1:15" ht="13">
      <c r="A1309" s="24"/>
      <c r="B1309" s="9"/>
      <c r="C1309" s="4"/>
      <c r="D1309" s="10"/>
      <c r="E1309" s="11"/>
      <c r="F1309" s="11"/>
      <c r="G1309" s="12"/>
      <c r="H1309" s="12"/>
      <c r="I1309" s="12"/>
      <c r="J1309" s="12"/>
      <c r="K1309" s="12"/>
      <c r="L1309" s="12"/>
      <c r="M1309" s="12"/>
      <c r="N1309" s="12"/>
      <c r="O1309" s="12"/>
    </row>
    <row r="1310" spans="1:15" ht="13">
      <c r="A1310" s="24"/>
      <c r="B1310" s="9"/>
      <c r="C1310" s="4"/>
      <c r="D1310" s="10"/>
      <c r="E1310" s="11"/>
      <c r="F1310" s="11"/>
      <c r="G1310" s="12"/>
      <c r="H1310" s="12"/>
      <c r="I1310" s="12"/>
      <c r="J1310" s="12"/>
      <c r="K1310" s="12"/>
      <c r="L1310" s="12"/>
      <c r="M1310" s="12"/>
      <c r="N1310" s="12"/>
      <c r="O1310" s="12"/>
    </row>
    <row r="1311" spans="1:15" ht="13">
      <c r="A1311" s="24"/>
      <c r="B1311" s="9"/>
      <c r="C1311" s="4"/>
      <c r="D1311" s="10"/>
      <c r="E1311" s="11"/>
      <c r="F1311" s="11"/>
      <c r="G1311" s="12"/>
      <c r="H1311" s="12"/>
      <c r="I1311" s="12"/>
      <c r="J1311" s="12"/>
      <c r="K1311" s="12"/>
      <c r="L1311" s="12"/>
      <c r="M1311" s="12"/>
      <c r="N1311" s="12"/>
      <c r="O1311" s="12"/>
    </row>
    <row r="1312" spans="1:15" ht="13">
      <c r="A1312" s="24"/>
      <c r="B1312" s="9"/>
      <c r="C1312" s="4"/>
      <c r="D1312" s="10"/>
      <c r="E1312" s="11"/>
      <c r="F1312" s="11"/>
      <c r="G1312" s="12"/>
      <c r="H1312" s="12"/>
      <c r="I1312" s="12"/>
      <c r="J1312" s="12"/>
      <c r="K1312" s="12"/>
      <c r="L1312" s="12"/>
      <c r="M1312" s="12"/>
      <c r="N1312" s="12"/>
      <c r="O1312" s="12"/>
    </row>
    <row r="1313" spans="1:15" ht="13">
      <c r="A1313" s="24"/>
      <c r="B1313" s="9"/>
      <c r="C1313" s="4"/>
      <c r="D1313" s="10"/>
      <c r="E1313" s="11"/>
      <c r="F1313" s="11"/>
      <c r="G1313" s="12"/>
      <c r="H1313" s="12"/>
      <c r="I1313" s="12"/>
      <c r="J1313" s="12"/>
      <c r="K1313" s="12"/>
      <c r="L1313" s="12"/>
      <c r="M1313" s="12"/>
      <c r="N1313" s="12"/>
      <c r="O1313" s="12"/>
    </row>
    <row r="1314" spans="1:15" ht="13">
      <c r="A1314" s="24"/>
      <c r="B1314" s="9"/>
      <c r="C1314" s="4"/>
      <c r="D1314" s="10"/>
      <c r="E1314" s="11"/>
      <c r="F1314" s="11"/>
      <c r="G1314" s="12"/>
      <c r="H1314" s="12"/>
      <c r="I1314" s="12"/>
      <c r="J1314" s="12"/>
      <c r="K1314" s="12"/>
      <c r="L1314" s="12"/>
      <c r="M1314" s="12"/>
      <c r="N1314" s="12"/>
      <c r="O1314" s="12"/>
    </row>
    <row r="1315" spans="1:15" ht="13">
      <c r="A1315" s="24"/>
      <c r="B1315" s="9"/>
      <c r="C1315" s="4"/>
      <c r="D1315" s="10"/>
      <c r="E1315" s="11"/>
      <c r="F1315" s="11"/>
      <c r="G1315" s="12"/>
      <c r="H1315" s="12"/>
      <c r="I1315" s="12"/>
      <c r="J1315" s="12"/>
      <c r="K1315" s="12"/>
      <c r="L1315" s="12"/>
      <c r="M1315" s="12"/>
      <c r="N1315" s="12"/>
      <c r="O1315" s="12"/>
    </row>
    <row r="1316" spans="1:15" ht="13">
      <c r="A1316" s="24"/>
      <c r="B1316" s="9"/>
      <c r="C1316" s="4"/>
      <c r="D1316" s="10"/>
      <c r="E1316" s="11"/>
      <c r="F1316" s="11"/>
      <c r="G1316" s="12"/>
      <c r="H1316" s="12"/>
      <c r="I1316" s="12"/>
      <c r="J1316" s="12"/>
      <c r="K1316" s="12"/>
      <c r="L1316" s="12"/>
      <c r="M1316" s="12"/>
      <c r="N1316" s="12"/>
      <c r="O1316" s="12"/>
    </row>
    <row r="1317" spans="1:15" ht="13">
      <c r="A1317" s="24"/>
      <c r="B1317" s="9"/>
      <c r="C1317" s="4"/>
      <c r="D1317" s="10"/>
      <c r="E1317" s="11"/>
      <c r="F1317" s="11"/>
      <c r="G1317" s="12"/>
      <c r="H1317" s="12"/>
      <c r="I1317" s="12"/>
      <c r="J1317" s="12"/>
      <c r="K1317" s="12"/>
      <c r="L1317" s="12"/>
      <c r="M1317" s="12"/>
      <c r="N1317" s="12"/>
      <c r="O1317" s="12"/>
    </row>
    <row r="1318" spans="1:15" ht="13">
      <c r="A1318" s="24"/>
      <c r="B1318" s="9"/>
      <c r="C1318" s="4"/>
      <c r="D1318" s="10"/>
      <c r="E1318" s="11"/>
      <c r="F1318" s="11"/>
      <c r="G1318" s="12"/>
      <c r="H1318" s="12"/>
      <c r="I1318" s="12"/>
      <c r="J1318" s="12"/>
      <c r="K1318" s="12"/>
      <c r="L1318" s="12"/>
      <c r="M1318" s="12"/>
      <c r="N1318" s="12"/>
      <c r="O1318" s="12"/>
    </row>
    <row r="1319" spans="1:15" ht="13">
      <c r="A1319" s="24"/>
      <c r="B1319" s="9"/>
      <c r="C1319" s="4"/>
      <c r="D1319" s="10"/>
      <c r="E1319" s="11"/>
      <c r="F1319" s="11"/>
      <c r="G1319" s="12"/>
      <c r="H1319" s="12"/>
      <c r="I1319" s="12"/>
      <c r="J1319" s="12"/>
      <c r="K1319" s="12"/>
      <c r="L1319" s="12"/>
      <c r="M1319" s="12"/>
      <c r="N1319" s="12"/>
      <c r="O1319" s="12"/>
    </row>
    <row r="1320" spans="1:15" ht="13">
      <c r="A1320" s="24"/>
      <c r="B1320" s="9"/>
      <c r="C1320" s="4"/>
      <c r="D1320" s="10"/>
      <c r="E1320" s="11"/>
      <c r="F1320" s="11"/>
      <c r="G1320" s="12"/>
      <c r="H1320" s="12"/>
      <c r="I1320" s="12"/>
      <c r="J1320" s="12"/>
      <c r="K1320" s="12"/>
      <c r="L1320" s="12"/>
      <c r="M1320" s="12"/>
      <c r="N1320" s="12"/>
      <c r="O1320" s="12"/>
    </row>
    <row r="1321" spans="1:15" ht="13">
      <c r="A1321" s="24"/>
      <c r="B1321" s="9"/>
      <c r="C1321" s="4"/>
      <c r="D1321" s="10"/>
      <c r="E1321" s="11"/>
      <c r="F1321" s="11"/>
      <c r="G1321" s="12"/>
      <c r="H1321" s="12"/>
      <c r="I1321" s="12"/>
      <c r="J1321" s="12"/>
      <c r="K1321" s="12"/>
      <c r="L1321" s="12"/>
      <c r="M1321" s="12"/>
      <c r="N1321" s="12"/>
      <c r="O1321" s="12"/>
    </row>
    <row r="1322" spans="1:15" ht="13">
      <c r="A1322" s="24"/>
      <c r="B1322" s="9"/>
      <c r="C1322" s="4"/>
      <c r="D1322" s="10"/>
      <c r="E1322" s="11"/>
      <c r="F1322" s="11"/>
      <c r="G1322" s="12"/>
      <c r="H1322" s="12"/>
      <c r="I1322" s="12"/>
      <c r="J1322" s="12"/>
      <c r="K1322" s="12"/>
      <c r="L1322" s="12"/>
      <c r="M1322" s="12"/>
      <c r="N1322" s="12"/>
      <c r="O1322" s="12"/>
    </row>
    <row r="1323" spans="1:15" ht="13">
      <c r="A1323" s="24"/>
      <c r="B1323" s="9"/>
      <c r="C1323" s="4"/>
      <c r="D1323" s="10"/>
      <c r="E1323" s="11"/>
      <c r="F1323" s="11"/>
      <c r="G1323" s="12"/>
      <c r="H1323" s="12"/>
      <c r="I1323" s="12"/>
      <c r="J1323" s="12"/>
      <c r="K1323" s="12"/>
      <c r="L1323" s="12"/>
      <c r="M1323" s="12"/>
      <c r="N1323" s="12"/>
      <c r="O1323" s="12"/>
    </row>
    <row r="1324" spans="1:15" ht="13">
      <c r="A1324" s="24"/>
      <c r="B1324" s="9"/>
      <c r="C1324" s="4"/>
      <c r="D1324" s="10"/>
      <c r="E1324" s="11"/>
      <c r="F1324" s="11"/>
      <c r="G1324" s="12"/>
      <c r="H1324" s="12"/>
      <c r="I1324" s="12"/>
      <c r="J1324" s="12"/>
      <c r="K1324" s="12"/>
      <c r="L1324" s="12"/>
      <c r="M1324" s="12"/>
      <c r="N1324" s="12"/>
      <c r="O1324" s="12"/>
    </row>
    <row r="1325" spans="1:15" ht="13">
      <c r="A1325" s="24"/>
      <c r="B1325" s="9"/>
      <c r="C1325" s="4"/>
      <c r="D1325" s="10"/>
      <c r="E1325" s="11"/>
      <c r="F1325" s="11"/>
      <c r="G1325" s="12"/>
      <c r="H1325" s="12"/>
      <c r="I1325" s="12"/>
      <c r="J1325" s="12"/>
      <c r="K1325" s="12"/>
      <c r="L1325" s="12"/>
      <c r="M1325" s="12"/>
      <c r="N1325" s="12"/>
      <c r="O1325" s="12"/>
    </row>
    <row r="1326" spans="1:15" ht="13">
      <c r="A1326" s="24"/>
      <c r="B1326" s="9"/>
      <c r="C1326" s="4"/>
      <c r="D1326" s="10"/>
      <c r="E1326" s="11"/>
      <c r="F1326" s="11"/>
      <c r="G1326" s="12"/>
      <c r="H1326" s="12"/>
      <c r="I1326" s="12"/>
      <c r="J1326" s="12"/>
      <c r="K1326" s="12"/>
      <c r="L1326" s="12"/>
      <c r="M1326" s="12"/>
      <c r="N1326" s="12"/>
      <c r="O1326" s="12"/>
    </row>
    <row r="1327" spans="1:15" ht="13">
      <c r="A1327" s="24"/>
      <c r="B1327" s="9"/>
      <c r="C1327" s="4"/>
      <c r="D1327" s="10"/>
      <c r="E1327" s="11"/>
      <c r="F1327" s="11"/>
      <c r="G1327" s="12"/>
      <c r="H1327" s="12"/>
      <c r="I1327" s="12"/>
      <c r="J1327" s="12"/>
      <c r="K1327" s="12"/>
      <c r="L1327" s="12"/>
      <c r="M1327" s="12"/>
      <c r="N1327" s="12"/>
      <c r="O1327" s="12"/>
    </row>
    <row r="1328" spans="1:15" ht="13">
      <c r="A1328" s="24"/>
      <c r="B1328" s="9"/>
      <c r="C1328" s="4"/>
      <c r="D1328" s="10"/>
      <c r="E1328" s="11"/>
      <c r="F1328" s="11"/>
      <c r="G1328" s="12"/>
      <c r="H1328" s="12"/>
      <c r="I1328" s="12"/>
      <c r="J1328" s="12"/>
      <c r="K1328" s="12"/>
      <c r="L1328" s="12"/>
      <c r="M1328" s="12"/>
      <c r="N1328" s="12"/>
      <c r="O1328" s="12"/>
    </row>
    <row r="1329" spans="1:15" ht="13">
      <c r="A1329" s="24"/>
      <c r="B1329" s="9"/>
      <c r="C1329" s="4"/>
      <c r="D1329" s="10"/>
      <c r="E1329" s="11"/>
      <c r="F1329" s="11"/>
      <c r="G1329" s="12"/>
      <c r="H1329" s="12"/>
      <c r="I1329" s="12"/>
      <c r="J1329" s="12"/>
      <c r="K1329" s="12"/>
      <c r="L1329" s="12"/>
      <c r="M1329" s="12"/>
      <c r="N1329" s="12"/>
      <c r="O1329" s="12"/>
    </row>
    <row r="1330" spans="1:15" ht="13">
      <c r="A1330" s="24"/>
      <c r="B1330" s="9"/>
      <c r="C1330" s="4"/>
      <c r="D1330" s="10"/>
      <c r="E1330" s="11"/>
      <c r="F1330" s="11"/>
      <c r="G1330" s="12"/>
      <c r="H1330" s="12"/>
      <c r="I1330" s="12"/>
      <c r="J1330" s="12"/>
      <c r="K1330" s="12"/>
      <c r="L1330" s="12"/>
      <c r="M1330" s="12"/>
      <c r="N1330" s="12"/>
      <c r="O1330" s="12"/>
    </row>
    <row r="1331" spans="1:15" ht="13">
      <c r="A1331" s="24"/>
      <c r="B1331" s="9"/>
      <c r="C1331" s="4"/>
      <c r="D1331" s="10"/>
      <c r="E1331" s="11"/>
      <c r="F1331" s="11"/>
      <c r="G1331" s="12"/>
      <c r="H1331" s="12"/>
      <c r="I1331" s="12"/>
      <c r="J1331" s="12"/>
      <c r="K1331" s="12"/>
      <c r="L1331" s="12"/>
      <c r="M1331" s="12"/>
      <c r="N1331" s="12"/>
      <c r="O1331" s="12"/>
    </row>
    <row r="1332" spans="1:15" ht="13">
      <c r="A1332" s="24"/>
      <c r="B1332" s="9"/>
      <c r="C1332" s="4"/>
      <c r="D1332" s="10"/>
      <c r="E1332" s="11"/>
      <c r="F1332" s="11"/>
      <c r="G1332" s="12"/>
      <c r="H1332" s="12"/>
      <c r="I1332" s="12"/>
      <c r="J1332" s="12"/>
      <c r="K1332" s="12"/>
      <c r="L1332" s="12"/>
      <c r="M1332" s="12"/>
      <c r="N1332" s="12"/>
      <c r="O1332" s="12"/>
    </row>
    <row r="1333" spans="1:15" ht="13">
      <c r="A1333" s="24"/>
      <c r="B1333" s="9"/>
      <c r="C1333" s="4"/>
      <c r="D1333" s="10"/>
      <c r="E1333" s="11"/>
      <c r="F1333" s="11"/>
      <c r="G1333" s="12"/>
      <c r="H1333" s="12"/>
      <c r="I1333" s="12"/>
      <c r="J1333" s="12"/>
      <c r="K1333" s="12"/>
      <c r="L1333" s="12"/>
      <c r="M1333" s="12"/>
      <c r="N1333" s="12"/>
      <c r="O1333" s="12"/>
    </row>
    <row r="1334" spans="1:15" ht="13">
      <c r="A1334" s="24"/>
      <c r="B1334" s="9"/>
      <c r="C1334" s="4"/>
      <c r="D1334" s="10"/>
      <c r="E1334" s="11"/>
      <c r="F1334" s="11"/>
      <c r="G1334" s="12"/>
      <c r="H1334" s="12"/>
      <c r="I1334" s="12"/>
      <c r="J1334" s="12"/>
      <c r="K1334" s="12"/>
      <c r="L1334" s="12"/>
      <c r="M1334" s="12"/>
      <c r="N1334" s="12"/>
      <c r="O1334" s="12"/>
    </row>
    <row r="1335" spans="1:15" ht="13">
      <c r="A1335" s="24"/>
      <c r="B1335" s="9"/>
      <c r="C1335" s="4"/>
      <c r="D1335" s="10"/>
      <c r="E1335" s="11"/>
      <c r="F1335" s="11"/>
      <c r="G1335" s="12"/>
      <c r="H1335" s="12"/>
      <c r="I1335" s="12"/>
      <c r="J1335" s="12"/>
      <c r="K1335" s="12"/>
      <c r="L1335" s="12"/>
      <c r="M1335" s="12"/>
      <c r="N1335" s="12"/>
      <c r="O1335" s="12"/>
    </row>
    <row r="1336" spans="1:15" ht="13">
      <c r="A1336" s="24"/>
      <c r="B1336" s="9"/>
      <c r="C1336" s="4"/>
      <c r="D1336" s="10"/>
      <c r="E1336" s="11"/>
      <c r="F1336" s="11"/>
      <c r="G1336" s="12"/>
      <c r="H1336" s="12"/>
      <c r="I1336" s="12"/>
      <c r="J1336" s="12"/>
      <c r="K1336" s="12"/>
      <c r="L1336" s="12"/>
      <c r="M1336" s="12"/>
      <c r="N1336" s="12"/>
      <c r="O1336" s="12"/>
    </row>
    <row r="1337" spans="1:15" ht="13">
      <c r="A1337" s="24"/>
      <c r="B1337" s="9"/>
      <c r="C1337" s="4"/>
      <c r="D1337" s="10"/>
      <c r="E1337" s="11"/>
      <c r="F1337" s="11"/>
      <c r="G1337" s="12"/>
      <c r="H1337" s="12"/>
      <c r="I1337" s="12"/>
      <c r="J1337" s="12"/>
      <c r="K1337" s="12"/>
      <c r="L1337" s="12"/>
      <c r="M1337" s="12"/>
      <c r="N1337" s="12"/>
      <c r="O1337" s="12"/>
    </row>
    <row r="1338" spans="1:15" ht="13">
      <c r="A1338" s="24"/>
      <c r="B1338" s="9"/>
      <c r="C1338" s="4"/>
      <c r="D1338" s="10"/>
      <c r="E1338" s="11"/>
      <c r="F1338" s="11"/>
      <c r="G1338" s="12"/>
      <c r="H1338" s="12"/>
      <c r="I1338" s="12"/>
      <c r="J1338" s="12"/>
      <c r="K1338" s="12"/>
      <c r="L1338" s="12"/>
      <c r="M1338" s="12"/>
      <c r="N1338" s="12"/>
      <c r="O1338" s="12"/>
    </row>
    <row r="1339" spans="1:15" ht="13">
      <c r="A1339" s="24"/>
      <c r="B1339" s="9"/>
      <c r="C1339" s="4"/>
      <c r="D1339" s="10"/>
      <c r="E1339" s="11"/>
      <c r="F1339" s="11"/>
      <c r="G1339" s="12"/>
      <c r="H1339" s="12"/>
      <c r="I1339" s="12"/>
      <c r="J1339" s="12"/>
      <c r="K1339" s="12"/>
      <c r="L1339" s="12"/>
      <c r="M1339" s="12"/>
      <c r="N1339" s="12"/>
      <c r="O1339" s="12"/>
    </row>
    <row r="1340" spans="1:15" ht="13">
      <c r="A1340" s="24"/>
      <c r="B1340" s="9"/>
      <c r="C1340" s="4"/>
      <c r="D1340" s="10"/>
      <c r="E1340" s="11"/>
      <c r="F1340" s="11"/>
      <c r="G1340" s="12"/>
      <c r="H1340" s="12"/>
      <c r="I1340" s="12"/>
      <c r="J1340" s="12"/>
      <c r="K1340" s="12"/>
      <c r="L1340" s="12"/>
      <c r="M1340" s="12"/>
      <c r="N1340" s="12"/>
      <c r="O1340" s="12"/>
    </row>
    <row r="1341" spans="1:15" ht="13">
      <c r="A1341" s="24"/>
      <c r="B1341" s="9"/>
      <c r="C1341" s="4"/>
      <c r="D1341" s="10"/>
      <c r="E1341" s="11"/>
      <c r="F1341" s="11"/>
      <c r="G1341" s="12"/>
      <c r="H1341" s="12"/>
      <c r="I1341" s="12"/>
      <c r="J1341" s="12"/>
      <c r="K1341" s="12"/>
      <c r="L1341" s="12"/>
      <c r="M1341" s="12"/>
      <c r="N1341" s="12"/>
      <c r="O1341" s="12"/>
    </row>
    <row r="1342" spans="1:15" ht="13">
      <c r="A1342" s="24"/>
      <c r="B1342" s="9"/>
      <c r="C1342" s="4"/>
      <c r="D1342" s="10"/>
      <c r="E1342" s="11"/>
      <c r="F1342" s="11"/>
      <c r="G1342" s="12"/>
      <c r="H1342" s="12"/>
      <c r="I1342" s="12"/>
      <c r="J1342" s="12"/>
      <c r="K1342" s="12"/>
      <c r="L1342" s="12"/>
      <c r="M1342" s="12"/>
      <c r="N1342" s="12"/>
      <c r="O1342" s="12"/>
    </row>
    <row r="1343" spans="1:15" ht="13">
      <c r="A1343" s="24"/>
      <c r="B1343" s="9"/>
      <c r="C1343" s="4"/>
      <c r="D1343" s="10"/>
      <c r="E1343" s="11"/>
      <c r="F1343" s="11"/>
      <c r="G1343" s="12"/>
      <c r="H1343" s="12"/>
      <c r="I1343" s="12"/>
      <c r="J1343" s="12"/>
      <c r="K1343" s="12"/>
      <c r="L1343" s="12"/>
      <c r="M1343" s="12"/>
      <c r="N1343" s="12"/>
      <c r="O1343" s="12"/>
    </row>
    <row r="1344" spans="1:15" ht="13">
      <c r="A1344" s="24"/>
      <c r="B1344" s="9"/>
      <c r="C1344" s="4"/>
      <c r="D1344" s="10"/>
      <c r="E1344" s="11"/>
      <c r="F1344" s="11"/>
      <c r="G1344" s="12"/>
      <c r="H1344" s="12"/>
      <c r="I1344" s="12"/>
      <c r="J1344" s="12"/>
      <c r="K1344" s="12"/>
      <c r="L1344" s="12"/>
      <c r="M1344" s="12"/>
      <c r="N1344" s="12"/>
      <c r="O1344" s="12"/>
    </row>
    <row r="1345" spans="1:15" ht="13">
      <c r="A1345" s="24"/>
      <c r="B1345" s="9"/>
      <c r="C1345" s="4"/>
      <c r="D1345" s="10"/>
      <c r="E1345" s="11"/>
      <c r="F1345" s="11"/>
      <c r="G1345" s="12"/>
      <c r="H1345" s="12"/>
      <c r="I1345" s="12"/>
      <c r="J1345" s="12"/>
      <c r="K1345" s="12"/>
      <c r="L1345" s="12"/>
      <c r="M1345" s="12"/>
      <c r="N1345" s="12"/>
      <c r="O1345" s="12"/>
    </row>
    <row r="1346" spans="1:15" ht="13">
      <c r="A1346" s="24"/>
      <c r="B1346" s="9"/>
      <c r="C1346" s="4"/>
      <c r="D1346" s="10"/>
      <c r="E1346" s="11"/>
      <c r="F1346" s="11"/>
      <c r="G1346" s="12"/>
      <c r="H1346" s="12"/>
      <c r="I1346" s="12"/>
      <c r="J1346" s="12"/>
      <c r="K1346" s="12"/>
      <c r="L1346" s="12"/>
      <c r="M1346" s="12"/>
      <c r="N1346" s="12"/>
      <c r="O1346" s="12"/>
    </row>
    <row r="1347" spans="1:15" ht="13">
      <c r="A1347" s="24"/>
      <c r="B1347" s="9"/>
      <c r="C1347" s="4"/>
      <c r="D1347" s="10"/>
      <c r="E1347" s="11"/>
      <c r="F1347" s="11"/>
      <c r="G1347" s="12"/>
      <c r="H1347" s="12"/>
      <c r="I1347" s="12"/>
      <c r="J1347" s="12"/>
      <c r="K1347" s="12"/>
      <c r="L1347" s="12"/>
      <c r="M1347" s="12"/>
      <c r="N1347" s="12"/>
      <c r="O1347" s="12"/>
    </row>
    <row r="1348" spans="1:15" ht="13">
      <c r="A1348" s="24"/>
      <c r="B1348" s="9"/>
      <c r="C1348" s="4"/>
      <c r="D1348" s="10"/>
      <c r="E1348" s="11"/>
      <c r="F1348" s="11"/>
      <c r="G1348" s="12"/>
      <c r="H1348" s="12"/>
      <c r="I1348" s="12"/>
      <c r="J1348" s="12"/>
      <c r="K1348" s="12"/>
      <c r="L1348" s="12"/>
      <c r="M1348" s="12"/>
      <c r="N1348" s="12"/>
      <c r="O1348" s="12"/>
    </row>
    <row r="1349" spans="1:15" ht="13">
      <c r="A1349" s="24"/>
      <c r="B1349" s="9"/>
      <c r="C1349" s="4"/>
      <c r="D1349" s="10"/>
      <c r="E1349" s="11"/>
      <c r="F1349" s="11"/>
      <c r="G1349" s="12"/>
      <c r="H1349" s="12"/>
      <c r="I1349" s="12"/>
      <c r="J1349" s="12"/>
      <c r="K1349" s="12"/>
      <c r="L1349" s="12"/>
      <c r="M1349" s="12"/>
      <c r="N1349" s="12"/>
      <c r="O1349" s="12"/>
    </row>
    <row r="1350" spans="1:15" ht="13">
      <c r="A1350" s="24"/>
      <c r="B1350" s="9"/>
      <c r="C1350" s="4"/>
      <c r="D1350" s="10"/>
      <c r="E1350" s="11"/>
      <c r="F1350" s="11"/>
      <c r="G1350" s="12"/>
      <c r="H1350" s="12"/>
      <c r="I1350" s="12"/>
      <c r="J1350" s="12"/>
      <c r="K1350" s="12"/>
      <c r="L1350" s="12"/>
      <c r="M1350" s="12"/>
      <c r="N1350" s="12"/>
      <c r="O1350" s="12"/>
    </row>
    <row r="1351" spans="1:15" ht="13">
      <c r="A1351" s="24"/>
      <c r="B1351" s="9"/>
      <c r="C1351" s="4"/>
      <c r="D1351" s="10"/>
      <c r="E1351" s="11"/>
      <c r="F1351" s="11"/>
      <c r="G1351" s="12"/>
      <c r="H1351" s="12"/>
      <c r="I1351" s="12"/>
      <c r="J1351" s="12"/>
      <c r="K1351" s="12"/>
      <c r="L1351" s="12"/>
      <c r="M1351" s="12"/>
      <c r="N1351" s="12"/>
      <c r="O1351" s="12"/>
    </row>
    <row r="1352" spans="1:15" ht="13">
      <c r="A1352" s="24"/>
      <c r="B1352" s="9"/>
      <c r="C1352" s="4"/>
      <c r="D1352" s="10"/>
      <c r="E1352" s="11"/>
      <c r="F1352" s="11"/>
      <c r="G1352" s="12"/>
      <c r="H1352" s="12"/>
      <c r="I1352" s="12"/>
      <c r="J1352" s="12"/>
      <c r="K1352" s="12"/>
      <c r="L1352" s="12"/>
      <c r="M1352" s="12"/>
      <c r="N1352" s="12"/>
      <c r="O1352" s="12"/>
    </row>
    <row r="1353" spans="1:15" ht="13">
      <c r="A1353" s="24"/>
      <c r="B1353" s="9"/>
      <c r="C1353" s="4"/>
      <c r="D1353" s="10"/>
      <c r="E1353" s="11"/>
      <c r="F1353" s="11"/>
      <c r="G1353" s="12"/>
      <c r="H1353" s="12"/>
      <c r="I1353" s="12"/>
      <c r="J1353" s="12"/>
      <c r="K1353" s="12"/>
      <c r="L1353" s="12"/>
      <c r="M1353" s="12"/>
      <c r="N1353" s="12"/>
      <c r="O1353" s="12"/>
    </row>
    <row r="1354" spans="1:15" ht="13">
      <c r="A1354" s="24"/>
      <c r="B1354" s="9"/>
      <c r="C1354" s="4"/>
      <c r="D1354" s="10"/>
      <c r="E1354" s="11"/>
      <c r="F1354" s="11"/>
      <c r="G1354" s="12"/>
      <c r="H1354" s="12"/>
      <c r="I1354" s="12"/>
      <c r="J1354" s="12"/>
      <c r="K1354" s="12"/>
      <c r="L1354" s="12"/>
      <c r="M1354" s="12"/>
      <c r="N1354" s="12"/>
      <c r="O1354" s="12"/>
    </row>
    <row r="1355" spans="1:15" ht="13">
      <c r="A1355" s="24"/>
      <c r="B1355" s="9"/>
      <c r="C1355" s="4"/>
      <c r="D1355" s="10"/>
      <c r="E1355" s="11"/>
      <c r="F1355" s="11"/>
      <c r="G1355" s="12"/>
      <c r="H1355" s="12"/>
      <c r="I1355" s="12"/>
      <c r="J1355" s="12"/>
      <c r="K1355" s="12"/>
      <c r="L1355" s="12"/>
      <c r="M1355" s="12"/>
      <c r="N1355" s="12"/>
      <c r="O1355" s="12"/>
    </row>
    <row r="1356" spans="1:15" ht="13">
      <c r="A1356" s="24"/>
      <c r="B1356" s="9"/>
      <c r="C1356" s="4"/>
      <c r="D1356" s="10"/>
      <c r="E1356" s="11"/>
      <c r="F1356" s="11"/>
      <c r="G1356" s="12"/>
      <c r="H1356" s="12"/>
      <c r="I1356" s="12"/>
      <c r="J1356" s="12"/>
      <c r="K1356" s="12"/>
      <c r="L1356" s="12"/>
      <c r="M1356" s="12"/>
      <c r="N1356" s="12"/>
      <c r="O1356" s="12"/>
    </row>
    <row r="1357" spans="1:15" ht="13">
      <c r="A1357" s="24"/>
      <c r="B1357" s="9"/>
      <c r="C1357" s="4"/>
      <c r="D1357" s="10"/>
      <c r="E1357" s="11"/>
      <c r="F1357" s="11"/>
      <c r="G1357" s="12"/>
      <c r="H1357" s="12"/>
      <c r="I1357" s="12"/>
      <c r="J1357" s="12"/>
      <c r="K1357" s="12"/>
      <c r="L1357" s="12"/>
      <c r="M1357" s="12"/>
      <c r="N1357" s="12"/>
      <c r="O1357" s="12"/>
    </row>
    <row r="1358" spans="1:15" ht="13">
      <c r="A1358" s="24"/>
      <c r="B1358" s="9"/>
      <c r="C1358" s="4"/>
      <c r="D1358" s="10"/>
      <c r="E1358" s="11"/>
      <c r="F1358" s="11"/>
      <c r="G1358" s="12"/>
      <c r="H1358" s="12"/>
      <c r="I1358" s="12"/>
      <c r="J1358" s="12"/>
      <c r="K1358" s="12"/>
      <c r="L1358" s="12"/>
      <c r="M1358" s="12"/>
      <c r="N1358" s="12"/>
      <c r="O1358" s="12"/>
    </row>
    <row r="1359" spans="1:15" ht="13">
      <c r="A1359" s="24"/>
      <c r="B1359" s="9"/>
      <c r="C1359" s="4"/>
      <c r="D1359" s="10"/>
      <c r="E1359" s="11"/>
      <c r="F1359" s="11"/>
      <c r="G1359" s="12"/>
      <c r="H1359" s="12"/>
      <c r="I1359" s="12"/>
      <c r="J1359" s="12"/>
      <c r="K1359" s="12"/>
      <c r="L1359" s="12"/>
      <c r="M1359" s="12"/>
      <c r="N1359" s="12"/>
      <c r="O1359" s="12"/>
    </row>
    <row r="1360" spans="1:15" ht="13">
      <c r="A1360" s="24"/>
      <c r="B1360" s="9"/>
      <c r="C1360" s="4"/>
      <c r="D1360" s="10"/>
      <c r="E1360" s="11"/>
      <c r="F1360" s="11"/>
      <c r="G1360" s="12"/>
      <c r="H1360" s="12"/>
      <c r="I1360" s="12"/>
      <c r="J1360" s="12"/>
      <c r="K1360" s="12"/>
      <c r="L1360" s="12"/>
      <c r="M1360" s="12"/>
      <c r="N1360" s="12"/>
      <c r="O1360" s="12"/>
    </row>
    <row r="1361" spans="1:15" ht="13">
      <c r="A1361" s="24"/>
      <c r="B1361" s="9"/>
      <c r="C1361" s="4"/>
      <c r="D1361" s="10"/>
      <c r="E1361" s="11"/>
      <c r="F1361" s="11"/>
      <c r="G1361" s="12"/>
      <c r="H1361" s="12"/>
      <c r="I1361" s="12"/>
      <c r="J1361" s="12"/>
      <c r="K1361" s="12"/>
      <c r="L1361" s="12"/>
      <c r="M1361" s="12"/>
      <c r="N1361" s="12"/>
      <c r="O1361" s="12"/>
    </row>
    <row r="1362" spans="1:15" ht="13">
      <c r="A1362" s="24"/>
      <c r="B1362" s="9"/>
      <c r="C1362" s="4"/>
      <c r="D1362" s="10"/>
      <c r="E1362" s="11"/>
      <c r="F1362" s="11"/>
      <c r="G1362" s="12"/>
      <c r="H1362" s="12"/>
      <c r="I1362" s="12"/>
      <c r="J1362" s="12"/>
      <c r="K1362" s="12"/>
      <c r="L1362" s="12"/>
      <c r="M1362" s="12"/>
      <c r="N1362" s="12"/>
      <c r="O1362" s="12"/>
    </row>
    <row r="1363" spans="1:15" ht="13">
      <c r="A1363" s="24"/>
      <c r="B1363" s="9"/>
      <c r="C1363" s="4"/>
      <c r="D1363" s="10"/>
      <c r="E1363" s="11"/>
      <c r="F1363" s="11"/>
      <c r="G1363" s="12"/>
      <c r="H1363" s="12"/>
      <c r="I1363" s="12"/>
      <c r="J1363" s="12"/>
      <c r="K1363" s="12"/>
      <c r="L1363" s="12"/>
      <c r="M1363" s="12"/>
      <c r="N1363" s="12"/>
      <c r="O1363" s="12"/>
    </row>
    <row r="1364" spans="1:15" ht="13">
      <c r="A1364" s="24"/>
      <c r="B1364" s="9"/>
      <c r="C1364" s="4"/>
      <c r="D1364" s="10"/>
      <c r="E1364" s="11"/>
      <c r="F1364" s="11"/>
      <c r="G1364" s="12"/>
      <c r="H1364" s="12"/>
      <c r="I1364" s="12"/>
      <c r="J1364" s="12"/>
      <c r="K1364" s="12"/>
      <c r="L1364" s="12"/>
      <c r="M1364" s="12"/>
      <c r="N1364" s="12"/>
      <c r="O1364" s="12"/>
    </row>
    <row r="1365" spans="1:15" ht="13">
      <c r="A1365" s="24"/>
      <c r="B1365" s="9"/>
      <c r="C1365" s="4"/>
      <c r="D1365" s="10"/>
      <c r="E1365" s="11"/>
      <c r="F1365" s="11"/>
      <c r="G1365" s="12"/>
      <c r="H1365" s="12"/>
      <c r="I1365" s="12"/>
      <c r="J1365" s="12"/>
      <c r="K1365" s="12"/>
      <c r="L1365" s="12"/>
      <c r="M1365" s="12"/>
      <c r="N1365" s="12"/>
      <c r="O1365" s="12"/>
    </row>
    <row r="1366" spans="1:15" ht="13">
      <c r="A1366" s="24"/>
      <c r="B1366" s="9"/>
      <c r="C1366" s="4"/>
      <c r="D1366" s="10"/>
      <c r="E1366" s="11"/>
      <c r="F1366" s="11"/>
      <c r="G1366" s="12"/>
      <c r="H1366" s="12"/>
      <c r="I1366" s="12"/>
      <c r="J1366" s="12"/>
      <c r="K1366" s="12"/>
      <c r="L1366" s="12"/>
      <c r="M1366" s="12"/>
      <c r="N1366" s="12"/>
      <c r="O1366" s="12"/>
    </row>
    <row r="1367" spans="1:15" ht="13">
      <c r="A1367" s="24"/>
      <c r="B1367" s="9"/>
      <c r="C1367" s="4"/>
      <c r="D1367" s="10"/>
      <c r="E1367" s="11"/>
      <c r="F1367" s="11"/>
      <c r="G1367" s="12"/>
      <c r="H1367" s="12"/>
      <c r="I1367" s="12"/>
      <c r="J1367" s="12"/>
      <c r="K1367" s="12"/>
      <c r="L1367" s="12"/>
      <c r="M1367" s="12"/>
      <c r="N1367" s="12"/>
      <c r="O1367" s="12"/>
    </row>
    <row r="1368" spans="1:15" ht="13">
      <c r="A1368" s="24"/>
      <c r="B1368" s="9"/>
      <c r="C1368" s="4"/>
      <c r="D1368" s="10"/>
      <c r="E1368" s="11"/>
      <c r="F1368" s="11"/>
      <c r="G1368" s="12"/>
      <c r="H1368" s="12"/>
      <c r="I1368" s="12"/>
      <c r="J1368" s="12"/>
      <c r="K1368" s="12"/>
      <c r="L1368" s="12"/>
      <c r="M1368" s="12"/>
      <c r="N1368" s="12"/>
      <c r="O1368" s="12"/>
    </row>
    <row r="1369" spans="1:15" ht="13">
      <c r="A1369" s="24"/>
      <c r="B1369" s="9"/>
      <c r="C1369" s="4"/>
      <c r="D1369" s="10"/>
      <c r="E1369" s="11"/>
      <c r="F1369" s="11"/>
      <c r="G1369" s="12"/>
      <c r="H1369" s="12"/>
      <c r="I1369" s="12"/>
      <c r="J1369" s="12"/>
      <c r="K1369" s="12"/>
      <c r="L1369" s="12"/>
      <c r="M1369" s="12"/>
      <c r="N1369" s="12"/>
      <c r="O1369" s="12"/>
    </row>
    <row r="1370" spans="1:15" ht="13">
      <c r="A1370" s="24"/>
      <c r="B1370" s="9"/>
      <c r="C1370" s="4"/>
      <c r="D1370" s="10"/>
      <c r="E1370" s="11"/>
      <c r="F1370" s="11"/>
      <c r="G1370" s="12"/>
      <c r="H1370" s="12"/>
      <c r="I1370" s="12"/>
      <c r="J1370" s="12"/>
      <c r="K1370" s="12"/>
      <c r="L1370" s="12"/>
      <c r="M1370" s="12"/>
      <c r="N1370" s="12"/>
      <c r="O1370" s="12"/>
    </row>
    <row r="1371" spans="1:15" ht="13">
      <c r="A1371" s="24"/>
      <c r="B1371" s="9"/>
      <c r="C1371" s="4"/>
      <c r="D1371" s="10"/>
      <c r="E1371" s="11"/>
      <c r="F1371" s="11"/>
      <c r="G1371" s="12"/>
      <c r="H1371" s="12"/>
      <c r="I1371" s="12"/>
      <c r="J1371" s="12"/>
      <c r="K1371" s="12"/>
      <c r="L1371" s="12"/>
      <c r="M1371" s="12"/>
      <c r="N1371" s="12"/>
      <c r="O1371" s="12"/>
    </row>
    <row r="1372" spans="1:15" ht="13">
      <c r="A1372" s="24"/>
      <c r="B1372" s="9"/>
      <c r="C1372" s="4"/>
      <c r="D1372" s="10"/>
      <c r="E1372" s="11"/>
      <c r="F1372" s="11"/>
      <c r="G1372" s="12"/>
      <c r="H1372" s="12"/>
      <c r="I1372" s="12"/>
      <c r="J1372" s="12"/>
      <c r="K1372" s="12"/>
      <c r="L1372" s="12"/>
      <c r="M1372" s="12"/>
      <c r="N1372" s="12"/>
      <c r="O1372" s="12"/>
    </row>
    <row r="1373" spans="1:15" ht="13">
      <c r="A1373" s="24"/>
      <c r="B1373" s="9"/>
      <c r="C1373" s="4"/>
      <c r="D1373" s="10"/>
      <c r="E1373" s="11"/>
      <c r="F1373" s="11"/>
      <c r="G1373" s="12"/>
      <c r="H1373" s="12"/>
      <c r="I1373" s="12"/>
      <c r="J1373" s="12"/>
      <c r="K1373" s="12"/>
      <c r="L1373" s="12"/>
      <c r="M1373" s="12"/>
      <c r="N1373" s="12"/>
      <c r="O1373" s="12"/>
    </row>
    <row r="1374" spans="1:15" ht="13">
      <c r="A1374" s="24"/>
      <c r="B1374" s="9"/>
      <c r="C1374" s="4"/>
      <c r="D1374" s="10"/>
      <c r="E1374" s="11"/>
      <c r="F1374" s="11"/>
      <c r="G1374" s="12"/>
      <c r="H1374" s="12"/>
      <c r="I1374" s="12"/>
      <c r="J1374" s="12"/>
      <c r="K1374" s="12"/>
      <c r="L1374" s="12"/>
      <c r="M1374" s="12"/>
      <c r="N1374" s="12"/>
      <c r="O1374" s="12"/>
    </row>
    <row r="1375" spans="1:15" ht="13">
      <c r="A1375" s="24"/>
      <c r="B1375" s="9"/>
      <c r="C1375" s="4"/>
      <c r="D1375" s="10"/>
      <c r="E1375" s="11"/>
      <c r="F1375" s="11"/>
      <c r="G1375" s="12"/>
      <c r="H1375" s="12"/>
      <c r="I1375" s="12"/>
      <c r="J1375" s="12"/>
      <c r="K1375" s="12"/>
      <c r="L1375" s="12"/>
      <c r="M1375" s="12"/>
      <c r="N1375" s="12"/>
      <c r="O1375" s="12"/>
    </row>
    <row r="1376" spans="1:15" ht="13">
      <c r="A1376" s="24"/>
      <c r="B1376" s="9"/>
      <c r="C1376" s="4"/>
      <c r="D1376" s="10"/>
      <c r="E1376" s="11"/>
      <c r="F1376" s="11"/>
      <c r="G1376" s="12"/>
      <c r="H1376" s="12"/>
      <c r="I1376" s="12"/>
      <c r="J1376" s="12"/>
      <c r="K1376" s="12"/>
      <c r="L1376" s="12"/>
      <c r="M1376" s="12"/>
      <c r="N1376" s="12"/>
      <c r="O1376" s="12"/>
    </row>
    <row r="1377" spans="1:15" ht="13">
      <c r="A1377" s="24"/>
      <c r="B1377" s="9"/>
      <c r="C1377" s="4"/>
      <c r="D1377" s="10"/>
      <c r="E1377" s="11"/>
      <c r="F1377" s="11"/>
      <c r="G1377" s="12"/>
      <c r="H1377" s="12"/>
      <c r="I1377" s="12"/>
      <c r="J1377" s="12"/>
      <c r="K1377" s="12"/>
      <c r="L1377" s="12"/>
      <c r="M1377" s="12"/>
      <c r="N1377" s="12"/>
      <c r="O1377" s="12"/>
    </row>
    <row r="1378" spans="1:15" ht="13">
      <c r="A1378" s="24"/>
      <c r="B1378" s="9"/>
      <c r="C1378" s="4"/>
      <c r="D1378" s="10"/>
      <c r="E1378" s="11"/>
      <c r="F1378" s="11"/>
      <c r="G1378" s="12"/>
      <c r="H1378" s="12"/>
      <c r="I1378" s="12"/>
      <c r="J1378" s="12"/>
      <c r="K1378" s="12"/>
      <c r="L1378" s="12"/>
      <c r="M1378" s="12"/>
      <c r="N1378" s="12"/>
      <c r="O1378" s="12"/>
    </row>
    <row r="1379" spans="1:15" ht="13">
      <c r="A1379" s="24"/>
      <c r="B1379" s="9"/>
      <c r="C1379" s="4"/>
      <c r="D1379" s="10"/>
      <c r="E1379" s="11"/>
      <c r="F1379" s="11"/>
      <c r="G1379" s="12"/>
      <c r="H1379" s="12"/>
      <c r="I1379" s="12"/>
      <c r="J1379" s="12"/>
      <c r="K1379" s="12"/>
      <c r="L1379" s="12"/>
      <c r="M1379" s="12"/>
      <c r="N1379" s="12"/>
      <c r="O1379" s="12"/>
    </row>
    <row r="1380" spans="1:15" ht="13">
      <c r="A1380" s="24"/>
      <c r="B1380" s="9"/>
      <c r="C1380" s="4"/>
      <c r="D1380" s="10"/>
      <c r="E1380" s="11"/>
      <c r="F1380" s="11"/>
      <c r="G1380" s="12"/>
      <c r="H1380" s="12"/>
      <c r="I1380" s="12"/>
      <c r="J1380" s="12"/>
      <c r="K1380" s="12"/>
      <c r="L1380" s="12"/>
      <c r="M1380" s="12"/>
      <c r="N1380" s="12"/>
      <c r="O1380" s="12"/>
    </row>
    <row r="1381" spans="1:15" ht="13">
      <c r="A1381" s="24"/>
      <c r="B1381" s="9"/>
      <c r="C1381" s="4"/>
      <c r="D1381" s="10"/>
      <c r="E1381" s="11"/>
      <c r="F1381" s="11"/>
      <c r="G1381" s="12"/>
      <c r="H1381" s="12"/>
      <c r="I1381" s="12"/>
      <c r="J1381" s="12"/>
      <c r="K1381" s="12"/>
      <c r="L1381" s="12"/>
      <c r="M1381" s="12"/>
      <c r="N1381" s="12"/>
      <c r="O1381" s="12"/>
    </row>
    <row r="1382" spans="1:15" ht="13">
      <c r="A1382" s="24"/>
      <c r="B1382" s="9"/>
      <c r="C1382" s="4"/>
      <c r="D1382" s="10"/>
      <c r="E1382" s="11"/>
      <c r="F1382" s="11"/>
      <c r="G1382" s="12"/>
      <c r="H1382" s="12"/>
      <c r="I1382" s="12"/>
      <c r="J1382" s="12"/>
      <c r="K1382" s="12"/>
      <c r="L1382" s="12"/>
      <c r="M1382" s="12"/>
      <c r="N1382" s="12"/>
      <c r="O1382" s="12"/>
    </row>
    <row r="1383" spans="1:15" ht="13">
      <c r="A1383" s="24"/>
      <c r="B1383" s="9"/>
      <c r="C1383" s="4"/>
      <c r="D1383" s="10"/>
      <c r="E1383" s="11"/>
      <c r="F1383" s="11"/>
      <c r="G1383" s="12"/>
      <c r="H1383" s="12"/>
      <c r="I1383" s="12"/>
      <c r="J1383" s="12"/>
      <c r="K1383" s="12"/>
      <c r="L1383" s="12"/>
      <c r="M1383" s="12"/>
      <c r="N1383" s="12"/>
      <c r="O1383" s="12"/>
    </row>
    <row r="1384" spans="1:15" ht="13">
      <c r="A1384" s="24"/>
      <c r="B1384" s="9"/>
      <c r="C1384" s="4"/>
      <c r="D1384" s="10"/>
      <c r="E1384" s="11"/>
      <c r="F1384" s="11"/>
      <c r="G1384" s="12"/>
      <c r="H1384" s="12"/>
      <c r="I1384" s="12"/>
      <c r="J1384" s="12"/>
      <c r="K1384" s="12"/>
      <c r="L1384" s="12"/>
      <c r="M1384" s="12"/>
      <c r="N1384" s="12"/>
      <c r="O1384" s="12"/>
    </row>
    <row r="1385" spans="1:15" ht="13">
      <c r="A1385" s="24"/>
      <c r="B1385" s="9"/>
      <c r="C1385" s="4"/>
      <c r="D1385" s="10"/>
      <c r="E1385" s="11"/>
      <c r="F1385" s="11"/>
      <c r="G1385" s="12"/>
      <c r="H1385" s="12"/>
      <c r="I1385" s="12"/>
      <c r="J1385" s="12"/>
      <c r="K1385" s="12"/>
      <c r="L1385" s="12"/>
      <c r="M1385" s="12"/>
      <c r="N1385" s="12"/>
      <c r="O1385" s="12"/>
    </row>
    <row r="1386" spans="1:15" ht="13">
      <c r="A1386" s="24"/>
      <c r="B1386" s="9"/>
      <c r="C1386" s="4"/>
      <c r="D1386" s="10"/>
      <c r="E1386" s="11"/>
      <c r="F1386" s="11"/>
      <c r="G1386" s="12"/>
      <c r="H1386" s="12"/>
      <c r="I1386" s="12"/>
      <c r="J1386" s="12"/>
      <c r="K1386" s="12"/>
      <c r="L1386" s="12"/>
      <c r="M1386" s="12"/>
      <c r="N1386" s="12"/>
      <c r="O1386" s="12"/>
    </row>
    <row r="1387" spans="1:15" ht="13">
      <c r="A1387" s="24"/>
      <c r="B1387" s="9"/>
      <c r="C1387" s="4"/>
      <c r="D1387" s="10"/>
      <c r="E1387" s="11"/>
      <c r="F1387" s="11"/>
      <c r="G1387" s="12"/>
      <c r="H1387" s="12"/>
      <c r="I1387" s="12"/>
      <c r="J1387" s="12"/>
      <c r="K1387" s="12"/>
      <c r="L1387" s="12"/>
      <c r="M1387" s="12"/>
      <c r="N1387" s="12"/>
      <c r="O1387" s="12"/>
    </row>
    <row r="1388" spans="1:15" ht="13">
      <c r="A1388" s="24"/>
      <c r="B1388" s="9"/>
      <c r="C1388" s="4"/>
      <c r="D1388" s="10"/>
      <c r="E1388" s="11"/>
      <c r="F1388" s="11"/>
      <c r="G1388" s="12"/>
      <c r="H1388" s="12"/>
      <c r="I1388" s="12"/>
      <c r="J1388" s="12"/>
      <c r="K1388" s="12"/>
      <c r="L1388" s="12"/>
      <c r="M1388" s="12"/>
      <c r="N1388" s="12"/>
      <c r="O1388" s="12"/>
    </row>
    <row r="1389" spans="1:15" ht="13">
      <c r="A1389" s="24"/>
      <c r="B1389" s="9"/>
      <c r="C1389" s="4"/>
      <c r="D1389" s="10"/>
      <c r="E1389" s="11"/>
      <c r="F1389" s="11"/>
      <c r="G1389" s="12"/>
      <c r="H1389" s="12"/>
      <c r="I1389" s="12"/>
      <c r="J1389" s="12"/>
      <c r="K1389" s="12"/>
      <c r="L1389" s="12"/>
      <c r="M1389" s="12"/>
      <c r="N1389" s="12"/>
      <c r="O1389" s="12"/>
    </row>
    <row r="1390" spans="1:15" ht="13">
      <c r="A1390" s="24"/>
      <c r="B1390" s="9"/>
      <c r="C1390" s="4"/>
      <c r="D1390" s="10"/>
      <c r="E1390" s="11"/>
      <c r="F1390" s="11"/>
      <c r="G1390" s="12"/>
      <c r="H1390" s="12"/>
      <c r="I1390" s="12"/>
      <c r="J1390" s="12"/>
      <c r="K1390" s="12"/>
      <c r="L1390" s="12"/>
      <c r="M1390" s="12"/>
      <c r="N1390" s="12"/>
      <c r="O1390" s="12"/>
    </row>
    <row r="1391" spans="1:15" ht="13">
      <c r="A1391" s="24"/>
      <c r="B1391" s="9"/>
      <c r="C1391" s="4"/>
      <c r="D1391" s="10"/>
      <c r="E1391" s="11"/>
      <c r="F1391" s="11"/>
      <c r="G1391" s="12"/>
      <c r="H1391" s="12"/>
      <c r="I1391" s="12"/>
      <c r="J1391" s="12"/>
      <c r="K1391" s="12"/>
      <c r="L1391" s="12"/>
      <c r="M1391" s="12"/>
      <c r="N1391" s="12"/>
      <c r="O1391" s="12"/>
    </row>
    <row r="1392" spans="1:15" ht="13">
      <c r="A1392" s="24"/>
      <c r="B1392" s="9"/>
      <c r="C1392" s="4"/>
      <c r="D1392" s="10"/>
      <c r="E1392" s="11"/>
      <c r="F1392" s="11"/>
      <c r="G1392" s="12"/>
      <c r="H1392" s="12"/>
      <c r="I1392" s="12"/>
      <c r="J1392" s="12"/>
      <c r="K1392" s="12"/>
      <c r="L1392" s="12"/>
      <c r="M1392" s="12"/>
      <c r="N1392" s="12"/>
      <c r="O1392" s="12"/>
    </row>
    <row r="1393" spans="1:15" ht="13">
      <c r="A1393" s="24"/>
      <c r="B1393" s="9"/>
      <c r="C1393" s="4"/>
      <c r="D1393" s="10"/>
      <c r="E1393" s="11"/>
      <c r="F1393" s="11"/>
      <c r="G1393" s="12"/>
      <c r="H1393" s="12"/>
      <c r="I1393" s="12"/>
      <c r="J1393" s="12"/>
      <c r="K1393" s="12"/>
      <c r="L1393" s="12"/>
      <c r="M1393" s="12"/>
      <c r="N1393" s="12"/>
      <c r="O1393" s="12"/>
    </row>
    <row r="1394" spans="1:15" ht="13">
      <c r="A1394" s="24"/>
      <c r="B1394" s="9"/>
      <c r="C1394" s="4"/>
      <c r="D1394" s="10"/>
      <c r="E1394" s="11"/>
      <c r="F1394" s="11"/>
      <c r="G1394" s="12"/>
      <c r="H1394" s="12"/>
      <c r="I1394" s="12"/>
      <c r="J1394" s="12"/>
      <c r="K1394" s="12"/>
      <c r="L1394" s="12"/>
      <c r="M1394" s="12"/>
      <c r="N1394" s="12"/>
      <c r="O1394" s="12"/>
    </row>
    <row r="1395" spans="1:15" ht="13">
      <c r="A1395" s="24"/>
      <c r="B1395" s="9"/>
      <c r="C1395" s="4"/>
      <c r="D1395" s="10"/>
      <c r="E1395" s="11"/>
      <c r="F1395" s="11"/>
      <c r="G1395" s="12"/>
      <c r="H1395" s="12"/>
      <c r="I1395" s="12"/>
      <c r="J1395" s="12"/>
      <c r="K1395" s="12"/>
      <c r="L1395" s="12"/>
      <c r="M1395" s="12"/>
      <c r="N1395" s="12"/>
      <c r="O1395" s="12"/>
    </row>
    <row r="1396" spans="1:15" ht="13">
      <c r="A1396" s="24"/>
      <c r="B1396" s="9"/>
      <c r="C1396" s="4"/>
      <c r="D1396" s="10"/>
      <c r="E1396" s="11"/>
      <c r="F1396" s="11"/>
      <c r="G1396" s="12"/>
      <c r="H1396" s="12"/>
      <c r="I1396" s="12"/>
      <c r="J1396" s="12"/>
      <c r="K1396" s="12"/>
      <c r="L1396" s="12"/>
      <c r="M1396" s="12"/>
      <c r="N1396" s="12"/>
      <c r="O1396" s="12"/>
    </row>
    <row r="1397" spans="1:15" ht="13">
      <c r="A1397" s="24"/>
      <c r="B1397" s="9"/>
      <c r="C1397" s="4"/>
      <c r="D1397" s="10"/>
      <c r="E1397" s="11"/>
      <c r="F1397" s="11"/>
      <c r="G1397" s="12"/>
      <c r="H1397" s="12"/>
      <c r="I1397" s="12"/>
      <c r="J1397" s="12"/>
      <c r="K1397" s="12"/>
      <c r="L1397" s="12"/>
      <c r="M1397" s="12"/>
      <c r="N1397" s="12"/>
      <c r="O1397" s="12"/>
    </row>
    <row r="1398" spans="1:15" ht="13">
      <c r="A1398" s="24"/>
      <c r="B1398" s="9"/>
      <c r="C1398" s="4"/>
      <c r="D1398" s="10"/>
      <c r="E1398" s="11"/>
      <c r="F1398" s="11"/>
      <c r="G1398" s="12"/>
      <c r="H1398" s="12"/>
      <c r="I1398" s="12"/>
      <c r="J1398" s="12"/>
      <c r="K1398" s="12"/>
      <c r="L1398" s="12"/>
      <c r="M1398" s="12"/>
      <c r="N1398" s="12"/>
      <c r="O1398" s="12"/>
    </row>
    <row r="1399" spans="1:15" ht="13">
      <c r="A1399" s="24"/>
      <c r="B1399" s="9"/>
      <c r="C1399" s="4"/>
      <c r="D1399" s="10"/>
      <c r="E1399" s="11"/>
      <c r="F1399" s="11"/>
      <c r="G1399" s="12"/>
      <c r="H1399" s="12"/>
      <c r="I1399" s="12"/>
      <c r="J1399" s="12"/>
      <c r="K1399" s="12"/>
      <c r="L1399" s="12"/>
      <c r="M1399" s="12"/>
      <c r="N1399" s="12"/>
      <c r="O1399" s="12"/>
    </row>
    <row r="1400" spans="1:15" ht="13">
      <c r="A1400" s="24"/>
      <c r="B1400" s="9"/>
      <c r="C1400" s="4"/>
      <c r="D1400" s="10"/>
      <c r="E1400" s="11"/>
      <c r="F1400" s="11"/>
      <c r="G1400" s="12"/>
      <c r="H1400" s="12"/>
      <c r="I1400" s="12"/>
      <c r="J1400" s="12"/>
      <c r="K1400" s="12"/>
      <c r="L1400" s="12"/>
      <c r="M1400" s="12"/>
      <c r="N1400" s="12"/>
      <c r="O1400" s="12"/>
    </row>
    <row r="1401" spans="1:15" ht="13">
      <c r="A1401" s="24"/>
      <c r="B1401" s="9"/>
      <c r="C1401" s="4"/>
      <c r="D1401" s="10"/>
      <c r="E1401" s="11"/>
      <c r="F1401" s="11"/>
      <c r="G1401" s="12"/>
      <c r="H1401" s="12"/>
      <c r="I1401" s="12"/>
      <c r="J1401" s="12"/>
      <c r="K1401" s="12"/>
      <c r="L1401" s="12"/>
      <c r="M1401" s="12"/>
      <c r="N1401" s="12"/>
      <c r="O1401" s="12"/>
    </row>
    <row r="1402" spans="1:15" ht="13">
      <c r="A1402" s="24"/>
      <c r="B1402" s="9"/>
      <c r="C1402" s="4"/>
      <c r="D1402" s="10"/>
      <c r="E1402" s="11"/>
      <c r="F1402" s="11"/>
      <c r="G1402" s="12"/>
      <c r="H1402" s="12"/>
      <c r="I1402" s="12"/>
      <c r="J1402" s="12"/>
      <c r="K1402" s="12"/>
      <c r="L1402" s="12"/>
      <c r="M1402" s="12"/>
      <c r="N1402" s="12"/>
      <c r="O1402" s="12"/>
    </row>
    <row r="1403" spans="1:15" ht="13">
      <c r="A1403" s="24"/>
      <c r="B1403" s="9"/>
      <c r="C1403" s="4"/>
      <c r="D1403" s="10"/>
      <c r="E1403" s="11"/>
      <c r="F1403" s="11"/>
      <c r="G1403" s="12"/>
      <c r="H1403" s="12"/>
      <c r="I1403" s="12"/>
      <c r="J1403" s="12"/>
      <c r="K1403" s="12"/>
      <c r="L1403" s="12"/>
      <c r="M1403" s="12"/>
      <c r="N1403" s="12"/>
      <c r="O1403" s="12"/>
    </row>
    <row r="1404" spans="1:15" ht="13">
      <c r="A1404" s="24"/>
      <c r="B1404" s="9"/>
      <c r="C1404" s="4"/>
      <c r="D1404" s="10"/>
      <c r="E1404" s="11"/>
      <c r="F1404" s="11"/>
      <c r="G1404" s="12"/>
      <c r="H1404" s="12"/>
      <c r="I1404" s="12"/>
      <c r="J1404" s="12"/>
      <c r="K1404" s="12"/>
      <c r="L1404" s="12"/>
      <c r="M1404" s="12"/>
      <c r="N1404" s="12"/>
      <c r="O1404" s="12"/>
    </row>
    <row r="1405" spans="1:15" ht="13">
      <c r="A1405" s="24"/>
      <c r="B1405" s="9"/>
      <c r="C1405" s="4"/>
      <c r="D1405" s="10"/>
      <c r="E1405" s="11"/>
      <c r="F1405" s="11"/>
      <c r="G1405" s="12"/>
      <c r="H1405" s="12"/>
      <c r="I1405" s="12"/>
      <c r="J1405" s="12"/>
      <c r="K1405" s="12"/>
      <c r="L1405" s="12"/>
      <c r="M1405" s="12"/>
      <c r="N1405" s="12"/>
      <c r="O1405" s="12"/>
    </row>
    <row r="1406" spans="1:15" ht="13">
      <c r="A1406" s="24"/>
      <c r="B1406" s="9"/>
      <c r="C1406" s="4"/>
      <c r="D1406" s="10"/>
      <c r="E1406" s="11"/>
      <c r="F1406" s="11"/>
      <c r="G1406" s="12"/>
      <c r="H1406" s="12"/>
      <c r="I1406" s="12"/>
      <c r="J1406" s="12"/>
      <c r="K1406" s="12"/>
      <c r="L1406" s="12"/>
      <c r="M1406" s="12"/>
      <c r="N1406" s="12"/>
      <c r="O1406" s="12"/>
    </row>
    <row r="1407" spans="1:15" ht="13">
      <c r="A1407" s="24"/>
      <c r="B1407" s="9"/>
      <c r="C1407" s="4"/>
      <c r="D1407" s="10"/>
      <c r="E1407" s="11"/>
      <c r="F1407" s="11"/>
      <c r="G1407" s="12"/>
      <c r="H1407" s="12"/>
      <c r="I1407" s="12"/>
      <c r="J1407" s="12"/>
      <c r="K1407" s="12"/>
      <c r="L1407" s="12"/>
      <c r="M1407" s="12"/>
      <c r="N1407" s="12"/>
      <c r="O1407" s="12"/>
    </row>
    <row r="1408" spans="1:15" ht="13">
      <c r="A1408" s="24"/>
      <c r="B1408" s="9"/>
      <c r="C1408" s="4"/>
      <c r="D1408" s="10"/>
      <c r="E1408" s="11"/>
      <c r="F1408" s="11"/>
      <c r="G1408" s="12"/>
      <c r="H1408" s="12"/>
      <c r="I1408" s="12"/>
      <c r="J1408" s="12"/>
      <c r="K1408" s="12"/>
      <c r="L1408" s="12"/>
      <c r="M1408" s="12"/>
      <c r="N1408" s="12"/>
      <c r="O1408" s="12"/>
    </row>
    <row r="1409" spans="1:15" ht="13">
      <c r="A1409" s="24"/>
      <c r="B1409" s="9"/>
      <c r="C1409" s="4"/>
      <c r="D1409" s="10"/>
      <c r="E1409" s="11"/>
      <c r="F1409" s="11"/>
      <c r="G1409" s="12"/>
      <c r="H1409" s="12"/>
      <c r="I1409" s="12"/>
      <c r="J1409" s="12"/>
      <c r="K1409" s="12"/>
      <c r="L1409" s="12"/>
      <c r="M1409" s="12"/>
      <c r="N1409" s="12"/>
      <c r="O1409" s="12"/>
    </row>
    <row r="1410" spans="1:15" ht="13">
      <c r="A1410" s="24"/>
      <c r="B1410" s="9"/>
      <c r="C1410" s="4"/>
      <c r="D1410" s="10"/>
      <c r="E1410" s="11"/>
      <c r="F1410" s="11"/>
      <c r="G1410" s="12"/>
      <c r="H1410" s="12"/>
      <c r="I1410" s="12"/>
      <c r="J1410" s="12"/>
      <c r="K1410" s="12"/>
      <c r="L1410" s="12"/>
      <c r="M1410" s="12"/>
      <c r="N1410" s="12"/>
      <c r="O1410" s="12"/>
    </row>
    <row r="1411" spans="1:15" ht="13">
      <c r="A1411" s="24"/>
      <c r="B1411" s="9"/>
      <c r="C1411" s="4"/>
      <c r="D1411" s="10"/>
      <c r="E1411" s="11"/>
      <c r="F1411" s="11"/>
      <c r="G1411" s="12"/>
      <c r="H1411" s="12"/>
      <c r="I1411" s="12"/>
      <c r="J1411" s="12"/>
      <c r="K1411" s="12"/>
      <c r="L1411" s="12"/>
      <c r="M1411" s="12"/>
      <c r="N1411" s="12"/>
      <c r="O1411" s="12"/>
    </row>
    <row r="1412" spans="1:15" ht="13">
      <c r="A1412" s="24"/>
      <c r="B1412" s="9"/>
      <c r="C1412" s="4"/>
      <c r="D1412" s="10"/>
      <c r="E1412" s="11"/>
      <c r="F1412" s="11"/>
      <c r="G1412" s="12"/>
      <c r="H1412" s="12"/>
      <c r="I1412" s="12"/>
      <c r="J1412" s="12"/>
      <c r="K1412" s="12"/>
      <c r="L1412" s="12"/>
      <c r="M1412" s="12"/>
      <c r="N1412" s="12"/>
      <c r="O1412" s="12"/>
    </row>
    <row r="1413" spans="1:15" ht="13">
      <c r="A1413" s="24"/>
      <c r="B1413" s="9"/>
      <c r="C1413" s="4"/>
      <c r="D1413" s="10"/>
      <c r="E1413" s="11"/>
      <c r="F1413" s="11"/>
      <c r="G1413" s="12"/>
      <c r="H1413" s="12"/>
      <c r="I1413" s="12"/>
      <c r="J1413" s="12"/>
      <c r="K1413" s="12"/>
      <c r="L1413" s="12"/>
      <c r="M1413" s="12"/>
      <c r="N1413" s="12"/>
      <c r="O1413" s="12"/>
    </row>
    <row r="1414" spans="1:15" ht="13">
      <c r="A1414" s="24"/>
      <c r="B1414" s="9"/>
      <c r="C1414" s="4"/>
      <c r="D1414" s="10"/>
      <c r="E1414" s="11"/>
      <c r="F1414" s="11"/>
      <c r="G1414" s="12"/>
      <c r="H1414" s="12"/>
      <c r="I1414" s="12"/>
      <c r="J1414" s="12"/>
      <c r="K1414" s="12"/>
      <c r="L1414" s="12"/>
      <c r="M1414" s="12"/>
      <c r="N1414" s="12"/>
      <c r="O1414" s="12"/>
    </row>
    <row r="1415" spans="1:15" ht="13">
      <c r="A1415" s="24"/>
      <c r="B1415" s="9"/>
      <c r="C1415" s="4"/>
      <c r="D1415" s="10"/>
      <c r="E1415" s="11"/>
      <c r="F1415" s="11"/>
      <c r="G1415" s="12"/>
      <c r="H1415" s="12"/>
      <c r="I1415" s="12"/>
      <c r="J1415" s="12"/>
      <c r="K1415" s="12"/>
      <c r="L1415" s="12"/>
      <c r="M1415" s="12"/>
      <c r="N1415" s="12"/>
      <c r="O1415" s="12"/>
    </row>
    <row r="1416" spans="1:15" ht="13">
      <c r="A1416" s="24"/>
      <c r="B1416" s="9"/>
      <c r="C1416" s="4"/>
      <c r="D1416" s="10"/>
      <c r="E1416" s="11"/>
      <c r="F1416" s="11"/>
      <c r="G1416" s="12"/>
      <c r="H1416" s="12"/>
      <c r="I1416" s="12"/>
      <c r="J1416" s="12"/>
      <c r="K1416" s="12"/>
      <c r="L1416" s="12"/>
      <c r="M1416" s="12"/>
      <c r="N1416" s="12"/>
      <c r="O1416" s="12"/>
    </row>
    <row r="1417" spans="1:15" ht="13">
      <c r="A1417" s="24"/>
      <c r="B1417" s="9"/>
      <c r="C1417" s="4"/>
      <c r="D1417" s="10"/>
      <c r="E1417" s="11"/>
      <c r="F1417" s="11"/>
      <c r="G1417" s="12"/>
      <c r="H1417" s="12"/>
      <c r="I1417" s="12"/>
      <c r="J1417" s="12"/>
      <c r="K1417" s="12"/>
      <c r="L1417" s="12"/>
      <c r="M1417" s="12"/>
      <c r="N1417" s="12"/>
      <c r="O1417" s="12"/>
    </row>
    <row r="1418" spans="1:15" ht="13">
      <c r="A1418" s="24"/>
      <c r="B1418" s="9"/>
      <c r="C1418" s="4"/>
      <c r="D1418" s="10"/>
      <c r="E1418" s="11"/>
      <c r="F1418" s="11"/>
      <c r="G1418" s="12"/>
      <c r="H1418" s="12"/>
      <c r="I1418" s="12"/>
      <c r="J1418" s="12"/>
      <c r="K1418" s="12"/>
      <c r="L1418" s="12"/>
      <c r="M1418" s="12"/>
      <c r="N1418" s="12"/>
      <c r="O1418" s="12"/>
    </row>
    <row r="1419" spans="1:15" ht="13">
      <c r="A1419" s="24"/>
      <c r="B1419" s="9"/>
      <c r="C1419" s="4"/>
      <c r="D1419" s="10"/>
      <c r="E1419" s="11"/>
      <c r="F1419" s="11"/>
      <c r="G1419" s="12"/>
      <c r="H1419" s="12"/>
      <c r="I1419" s="12"/>
      <c r="J1419" s="12"/>
      <c r="K1419" s="12"/>
      <c r="L1419" s="12"/>
      <c r="M1419" s="12"/>
      <c r="N1419" s="12"/>
      <c r="O1419" s="12"/>
    </row>
    <row r="1420" spans="1:15" ht="13">
      <c r="A1420" s="24"/>
      <c r="B1420" s="9"/>
      <c r="C1420" s="4"/>
      <c r="D1420" s="10"/>
      <c r="E1420" s="11"/>
      <c r="F1420" s="11"/>
      <c r="G1420" s="12"/>
      <c r="H1420" s="12"/>
      <c r="I1420" s="12"/>
      <c r="J1420" s="12"/>
      <c r="K1420" s="12"/>
      <c r="L1420" s="12"/>
      <c r="M1420" s="12"/>
      <c r="N1420" s="12"/>
      <c r="O1420" s="12"/>
    </row>
    <row r="1421" spans="1:15" ht="13">
      <c r="A1421" s="24"/>
      <c r="B1421" s="9"/>
      <c r="C1421" s="4"/>
      <c r="D1421" s="10"/>
      <c r="E1421" s="11"/>
      <c r="F1421" s="11"/>
      <c r="G1421" s="12"/>
      <c r="H1421" s="12"/>
      <c r="I1421" s="12"/>
      <c r="J1421" s="12"/>
      <c r="K1421" s="12"/>
      <c r="L1421" s="12"/>
      <c r="M1421" s="12"/>
      <c r="N1421" s="12"/>
      <c r="O1421" s="12"/>
    </row>
    <row r="1422" spans="1:15" ht="13">
      <c r="A1422" s="24"/>
      <c r="B1422" s="9"/>
      <c r="C1422" s="4"/>
      <c r="D1422" s="10"/>
      <c r="E1422" s="11"/>
      <c r="F1422" s="11"/>
      <c r="G1422" s="12"/>
      <c r="H1422" s="12"/>
      <c r="I1422" s="12"/>
      <c r="J1422" s="12"/>
      <c r="K1422" s="12"/>
      <c r="L1422" s="12"/>
      <c r="M1422" s="12"/>
      <c r="N1422" s="12"/>
      <c r="O1422" s="12"/>
    </row>
    <row r="1423" spans="1:15" ht="13">
      <c r="A1423" s="24"/>
      <c r="B1423" s="9"/>
      <c r="C1423" s="4"/>
      <c r="D1423" s="10"/>
      <c r="E1423" s="11"/>
      <c r="F1423" s="11"/>
      <c r="G1423" s="12"/>
      <c r="H1423" s="12"/>
      <c r="I1423" s="12"/>
      <c r="J1423" s="12"/>
      <c r="K1423" s="12"/>
      <c r="L1423" s="12"/>
      <c r="M1423" s="12"/>
      <c r="N1423" s="12"/>
      <c r="O1423" s="12"/>
    </row>
    <row r="1424" spans="1:15" ht="13">
      <c r="A1424" s="24"/>
      <c r="B1424" s="9"/>
      <c r="C1424" s="4"/>
      <c r="D1424" s="10"/>
      <c r="E1424" s="11"/>
      <c r="F1424" s="11"/>
      <c r="G1424" s="12"/>
      <c r="H1424" s="12"/>
      <c r="I1424" s="12"/>
      <c r="J1424" s="12"/>
      <c r="K1424" s="12"/>
      <c r="L1424" s="12"/>
      <c r="M1424" s="12"/>
      <c r="N1424" s="12"/>
      <c r="O1424" s="12"/>
    </row>
    <row r="1425" spans="1:15" ht="13">
      <c r="A1425" s="24"/>
      <c r="B1425" s="9"/>
      <c r="C1425" s="4"/>
      <c r="D1425" s="10"/>
      <c r="E1425" s="11"/>
      <c r="F1425" s="11"/>
      <c r="G1425" s="12"/>
      <c r="H1425" s="12"/>
      <c r="I1425" s="12"/>
      <c r="J1425" s="12"/>
      <c r="K1425" s="12"/>
      <c r="L1425" s="12"/>
      <c r="M1425" s="12"/>
      <c r="N1425" s="12"/>
      <c r="O1425" s="12"/>
    </row>
    <row r="1426" spans="1:15" ht="13">
      <c r="A1426" s="24"/>
      <c r="B1426" s="9"/>
      <c r="C1426" s="4"/>
      <c r="D1426" s="10"/>
      <c r="E1426" s="11"/>
      <c r="F1426" s="11"/>
      <c r="G1426" s="12"/>
      <c r="H1426" s="12"/>
      <c r="I1426" s="12"/>
      <c r="J1426" s="12"/>
      <c r="K1426" s="12"/>
      <c r="L1426" s="12"/>
      <c r="M1426" s="12"/>
      <c r="N1426" s="12"/>
      <c r="O1426" s="12"/>
    </row>
    <row r="1427" spans="1:15" ht="13">
      <c r="A1427" s="24"/>
      <c r="B1427" s="9"/>
      <c r="C1427" s="4"/>
      <c r="D1427" s="10"/>
      <c r="E1427" s="11"/>
      <c r="F1427" s="11"/>
      <c r="G1427" s="12"/>
      <c r="H1427" s="12"/>
      <c r="I1427" s="12"/>
      <c r="J1427" s="12"/>
      <c r="K1427" s="12"/>
      <c r="L1427" s="12"/>
      <c r="M1427" s="12"/>
      <c r="N1427" s="12"/>
      <c r="O1427" s="12"/>
    </row>
    <row r="1428" spans="1:15" ht="13">
      <c r="A1428" s="24"/>
      <c r="B1428" s="9"/>
      <c r="C1428" s="4"/>
      <c r="D1428" s="10"/>
      <c r="E1428" s="11"/>
      <c r="F1428" s="11"/>
      <c r="G1428" s="12"/>
      <c r="H1428" s="12"/>
      <c r="I1428" s="12"/>
      <c r="J1428" s="12"/>
      <c r="K1428" s="12"/>
      <c r="L1428" s="12"/>
      <c r="M1428" s="12"/>
      <c r="N1428" s="12"/>
      <c r="O1428" s="12"/>
    </row>
    <row r="1429" spans="1:15" ht="13">
      <c r="A1429" s="24"/>
      <c r="B1429" s="9"/>
      <c r="C1429" s="4"/>
      <c r="D1429" s="10"/>
      <c r="E1429" s="11"/>
      <c r="F1429" s="11"/>
      <c r="G1429" s="12"/>
      <c r="H1429" s="12"/>
      <c r="I1429" s="12"/>
      <c r="J1429" s="12"/>
      <c r="K1429" s="12"/>
      <c r="L1429" s="12"/>
      <c r="M1429" s="12"/>
      <c r="N1429" s="12"/>
      <c r="O1429" s="12"/>
    </row>
    <row r="1430" spans="1:15" ht="13">
      <c r="A1430" s="24"/>
      <c r="B1430" s="9"/>
      <c r="C1430" s="4"/>
      <c r="D1430" s="10"/>
      <c r="E1430" s="11"/>
      <c r="F1430" s="11"/>
      <c r="G1430" s="12"/>
      <c r="H1430" s="12"/>
      <c r="I1430" s="12"/>
      <c r="J1430" s="12"/>
      <c r="K1430" s="12"/>
      <c r="L1430" s="12"/>
      <c r="M1430" s="12"/>
      <c r="N1430" s="12"/>
      <c r="O1430" s="12"/>
    </row>
    <row r="1431" spans="1:15" ht="13">
      <c r="A1431" s="24"/>
      <c r="B1431" s="9"/>
      <c r="C1431" s="4"/>
      <c r="D1431" s="10"/>
      <c r="E1431" s="11"/>
      <c r="F1431" s="11"/>
      <c r="G1431" s="12"/>
      <c r="H1431" s="12"/>
      <c r="I1431" s="12"/>
      <c r="J1431" s="12"/>
      <c r="K1431" s="12"/>
      <c r="L1431" s="12"/>
      <c r="M1431" s="12"/>
      <c r="N1431" s="12"/>
      <c r="O1431" s="12"/>
    </row>
    <row r="1432" spans="1:15" ht="13">
      <c r="A1432" s="24"/>
      <c r="B1432" s="9"/>
      <c r="C1432" s="4"/>
      <c r="D1432" s="10"/>
      <c r="E1432" s="11"/>
      <c r="F1432" s="11"/>
      <c r="G1432" s="12"/>
      <c r="H1432" s="12"/>
      <c r="I1432" s="12"/>
      <c r="J1432" s="12"/>
      <c r="K1432" s="12"/>
      <c r="L1432" s="12"/>
      <c r="M1432" s="12"/>
      <c r="N1432" s="12"/>
      <c r="O1432" s="12"/>
    </row>
    <row r="1433" spans="1:15" ht="13">
      <c r="A1433" s="24"/>
      <c r="B1433" s="9"/>
      <c r="C1433" s="4"/>
      <c r="D1433" s="10"/>
      <c r="E1433" s="11"/>
      <c r="F1433" s="11"/>
      <c r="G1433" s="12"/>
      <c r="H1433" s="12"/>
      <c r="I1433" s="12"/>
      <c r="J1433" s="12"/>
      <c r="K1433" s="12"/>
      <c r="L1433" s="12"/>
      <c r="M1433" s="12"/>
      <c r="N1433" s="12"/>
      <c r="O1433" s="12"/>
    </row>
    <row r="1434" spans="1:15" ht="13">
      <c r="A1434" s="24"/>
      <c r="B1434" s="9"/>
      <c r="C1434" s="4"/>
      <c r="D1434" s="10"/>
      <c r="E1434" s="11"/>
      <c r="F1434" s="11"/>
      <c r="G1434" s="12"/>
      <c r="H1434" s="12"/>
      <c r="I1434" s="12"/>
      <c r="J1434" s="12"/>
      <c r="K1434" s="12"/>
      <c r="L1434" s="12"/>
      <c r="M1434" s="12"/>
      <c r="N1434" s="12"/>
      <c r="O1434" s="12"/>
    </row>
    <row r="1435" spans="1:15" ht="13">
      <c r="A1435" s="24"/>
      <c r="B1435" s="9"/>
      <c r="C1435" s="4"/>
      <c r="D1435" s="10"/>
      <c r="E1435" s="11"/>
      <c r="F1435" s="11"/>
      <c r="G1435" s="12"/>
      <c r="H1435" s="12"/>
      <c r="I1435" s="12"/>
      <c r="J1435" s="12"/>
      <c r="K1435" s="12"/>
      <c r="L1435" s="12"/>
      <c r="M1435" s="12"/>
      <c r="N1435" s="12"/>
      <c r="O1435" s="12"/>
    </row>
    <row r="1436" spans="1:15" ht="13">
      <c r="A1436" s="24"/>
      <c r="B1436" s="9"/>
      <c r="C1436" s="4"/>
      <c r="D1436" s="10"/>
      <c r="E1436" s="11"/>
      <c r="F1436" s="11"/>
      <c r="G1436" s="12"/>
      <c r="H1436" s="12"/>
      <c r="I1436" s="12"/>
      <c r="J1436" s="12"/>
      <c r="K1436" s="12"/>
      <c r="L1436" s="12"/>
      <c r="M1436" s="12"/>
      <c r="N1436" s="12"/>
      <c r="O1436" s="12"/>
    </row>
    <row r="1437" spans="1:15" ht="13">
      <c r="A1437" s="24"/>
      <c r="B1437" s="9"/>
      <c r="C1437" s="4"/>
      <c r="D1437" s="10"/>
      <c r="E1437" s="11"/>
      <c r="F1437" s="11"/>
      <c r="G1437" s="12"/>
      <c r="H1437" s="12"/>
      <c r="I1437" s="12"/>
      <c r="J1437" s="12"/>
      <c r="K1437" s="12"/>
      <c r="L1437" s="12"/>
      <c r="M1437" s="12"/>
      <c r="N1437" s="12"/>
      <c r="O1437" s="12"/>
    </row>
    <row r="1438" spans="1:15" ht="13">
      <c r="A1438" s="24"/>
      <c r="B1438" s="9"/>
      <c r="C1438" s="4"/>
      <c r="D1438" s="10"/>
      <c r="E1438" s="11"/>
      <c r="F1438" s="11"/>
      <c r="G1438" s="12"/>
      <c r="H1438" s="12"/>
      <c r="I1438" s="12"/>
      <c r="J1438" s="12"/>
      <c r="K1438" s="12"/>
      <c r="L1438" s="12"/>
      <c r="M1438" s="12"/>
      <c r="N1438" s="12"/>
      <c r="O1438" s="12"/>
    </row>
    <row r="1439" spans="1:15" ht="13">
      <c r="A1439" s="24"/>
      <c r="B1439" s="9"/>
      <c r="C1439" s="4"/>
      <c r="D1439" s="10"/>
      <c r="E1439" s="11"/>
      <c r="F1439" s="11"/>
      <c r="G1439" s="12"/>
      <c r="H1439" s="12"/>
      <c r="I1439" s="12"/>
      <c r="J1439" s="12"/>
      <c r="K1439" s="12"/>
      <c r="L1439" s="12"/>
      <c r="M1439" s="12"/>
      <c r="N1439" s="12"/>
      <c r="O1439" s="12"/>
    </row>
    <row r="1440" spans="1:15" ht="13">
      <c r="A1440" s="24"/>
      <c r="B1440" s="9"/>
      <c r="C1440" s="4"/>
      <c r="D1440" s="10"/>
      <c r="E1440" s="11"/>
      <c r="F1440" s="11"/>
      <c r="G1440" s="12"/>
      <c r="H1440" s="12"/>
      <c r="I1440" s="12"/>
      <c r="J1440" s="12"/>
      <c r="K1440" s="12"/>
      <c r="L1440" s="12"/>
      <c r="M1440" s="12"/>
      <c r="N1440" s="12"/>
      <c r="O1440" s="12"/>
    </row>
    <row r="1441" spans="1:15" ht="13">
      <c r="A1441" s="24"/>
      <c r="B1441" s="9"/>
      <c r="C1441" s="4"/>
      <c r="D1441" s="10"/>
      <c r="E1441" s="11"/>
      <c r="F1441" s="11"/>
      <c r="G1441" s="12"/>
      <c r="H1441" s="12"/>
      <c r="I1441" s="12"/>
      <c r="J1441" s="12"/>
      <c r="K1441" s="12"/>
      <c r="L1441" s="12"/>
      <c r="M1441" s="12"/>
      <c r="N1441" s="12"/>
      <c r="O1441" s="12"/>
    </row>
    <row r="1442" spans="1:15" ht="13">
      <c r="A1442" s="24"/>
      <c r="B1442" s="9"/>
      <c r="C1442" s="4"/>
      <c r="D1442" s="10"/>
      <c r="E1442" s="11"/>
      <c r="F1442" s="11"/>
      <c r="G1442" s="12"/>
      <c r="H1442" s="12"/>
      <c r="I1442" s="12"/>
      <c r="J1442" s="12"/>
      <c r="K1442" s="12"/>
      <c r="L1442" s="12"/>
      <c r="M1442" s="12"/>
      <c r="N1442" s="12"/>
      <c r="O1442" s="12"/>
    </row>
    <row r="1443" spans="1:15" ht="13">
      <c r="A1443" s="24"/>
      <c r="B1443" s="9"/>
      <c r="C1443" s="4"/>
      <c r="D1443" s="10"/>
      <c r="E1443" s="11"/>
      <c r="F1443" s="11"/>
      <c r="G1443" s="12"/>
      <c r="H1443" s="12"/>
      <c r="I1443" s="12"/>
      <c r="J1443" s="12"/>
      <c r="K1443" s="12"/>
      <c r="L1443" s="12"/>
      <c r="M1443" s="12"/>
      <c r="N1443" s="12"/>
      <c r="O1443" s="12"/>
    </row>
    <row r="1444" spans="1:15" ht="13">
      <c r="A1444" s="24"/>
      <c r="B1444" s="9"/>
      <c r="C1444" s="4"/>
      <c r="D1444" s="10"/>
      <c r="E1444" s="11"/>
      <c r="F1444" s="11"/>
      <c r="G1444" s="12"/>
      <c r="H1444" s="12"/>
      <c r="I1444" s="12"/>
      <c r="J1444" s="12"/>
      <c r="K1444" s="12"/>
      <c r="L1444" s="12"/>
      <c r="M1444" s="12"/>
      <c r="N1444" s="12"/>
      <c r="O1444" s="12"/>
    </row>
    <row r="1445" spans="1:15" ht="13">
      <c r="A1445" s="24"/>
      <c r="B1445" s="9"/>
      <c r="C1445" s="4"/>
      <c r="D1445" s="10"/>
      <c r="E1445" s="11"/>
      <c r="F1445" s="11"/>
      <c r="G1445" s="12"/>
      <c r="H1445" s="12"/>
      <c r="I1445" s="12"/>
      <c r="J1445" s="12"/>
      <c r="K1445" s="12"/>
      <c r="L1445" s="12"/>
      <c r="M1445" s="12"/>
      <c r="N1445" s="12"/>
      <c r="O1445" s="12"/>
    </row>
    <row r="1446" spans="1:15" ht="13">
      <c r="A1446" s="24"/>
      <c r="B1446" s="9"/>
      <c r="C1446" s="4"/>
      <c r="D1446" s="10"/>
      <c r="E1446" s="11"/>
      <c r="F1446" s="11"/>
      <c r="G1446" s="12"/>
      <c r="H1446" s="12"/>
      <c r="I1446" s="12"/>
      <c r="J1446" s="12"/>
      <c r="K1446" s="12"/>
      <c r="L1446" s="12"/>
      <c r="M1446" s="12"/>
      <c r="N1446" s="12"/>
      <c r="O1446" s="12"/>
    </row>
    <row r="1447" spans="1:15" ht="13">
      <c r="A1447" s="24"/>
      <c r="B1447" s="9"/>
      <c r="C1447" s="4"/>
      <c r="D1447" s="10"/>
      <c r="E1447" s="11"/>
      <c r="F1447" s="11"/>
      <c r="G1447" s="12"/>
      <c r="H1447" s="12"/>
      <c r="I1447" s="12"/>
      <c r="J1447" s="12"/>
      <c r="K1447" s="12"/>
      <c r="L1447" s="12"/>
      <c r="M1447" s="12"/>
      <c r="N1447" s="12"/>
      <c r="O1447" s="12"/>
    </row>
    <row r="1448" spans="1:15" ht="13">
      <c r="A1448" s="24"/>
      <c r="B1448" s="9"/>
      <c r="C1448" s="4"/>
      <c r="D1448" s="10"/>
      <c r="E1448" s="11"/>
      <c r="F1448" s="11"/>
      <c r="G1448" s="12"/>
      <c r="H1448" s="12"/>
      <c r="I1448" s="12"/>
      <c r="J1448" s="12"/>
      <c r="K1448" s="12"/>
      <c r="L1448" s="12"/>
      <c r="M1448" s="12"/>
      <c r="N1448" s="12"/>
      <c r="O1448" s="12"/>
    </row>
    <row r="1449" spans="1:15" ht="13">
      <c r="A1449" s="24"/>
      <c r="B1449" s="9"/>
      <c r="C1449" s="4"/>
      <c r="D1449" s="10"/>
      <c r="E1449" s="11"/>
      <c r="F1449" s="11"/>
      <c r="G1449" s="12"/>
      <c r="H1449" s="12"/>
      <c r="I1449" s="12"/>
      <c r="J1449" s="12"/>
      <c r="K1449" s="12"/>
      <c r="L1449" s="12"/>
      <c r="M1449" s="12"/>
      <c r="N1449" s="12"/>
      <c r="O1449" s="12"/>
    </row>
    <row r="1450" spans="1:15" ht="13">
      <c r="A1450" s="24"/>
      <c r="B1450" s="9"/>
      <c r="C1450" s="4"/>
      <c r="D1450" s="10"/>
      <c r="E1450" s="11"/>
      <c r="F1450" s="11"/>
      <c r="G1450" s="12"/>
      <c r="H1450" s="12"/>
      <c r="I1450" s="12"/>
      <c r="J1450" s="12"/>
      <c r="K1450" s="12"/>
      <c r="L1450" s="12"/>
      <c r="M1450" s="12"/>
      <c r="N1450" s="12"/>
      <c r="O1450" s="12"/>
    </row>
    <row r="1451" spans="1:15" ht="13">
      <c r="A1451" s="24"/>
      <c r="B1451" s="9"/>
      <c r="C1451" s="4"/>
      <c r="D1451" s="10"/>
      <c r="E1451" s="11"/>
      <c r="F1451" s="11"/>
      <c r="G1451" s="12"/>
      <c r="H1451" s="12"/>
      <c r="I1451" s="12"/>
      <c r="J1451" s="12"/>
      <c r="K1451" s="12"/>
      <c r="L1451" s="12"/>
      <c r="M1451" s="12"/>
      <c r="N1451" s="12"/>
      <c r="O1451" s="12"/>
    </row>
    <row r="1452" spans="1:15" ht="13">
      <c r="A1452" s="24"/>
      <c r="B1452" s="9"/>
      <c r="C1452" s="4"/>
      <c r="D1452" s="10"/>
      <c r="E1452" s="11"/>
      <c r="F1452" s="11"/>
      <c r="G1452" s="12"/>
      <c r="H1452" s="12"/>
      <c r="I1452" s="12"/>
      <c r="J1452" s="12"/>
      <c r="K1452" s="12"/>
      <c r="L1452" s="12"/>
      <c r="M1452" s="12"/>
      <c r="N1452" s="12"/>
      <c r="O1452" s="12"/>
    </row>
    <row r="1453" spans="1:15" ht="13">
      <c r="A1453" s="24"/>
      <c r="B1453" s="9"/>
      <c r="C1453" s="4"/>
      <c r="D1453" s="10"/>
      <c r="E1453" s="11"/>
      <c r="F1453" s="11"/>
      <c r="G1453" s="12"/>
      <c r="H1453" s="12"/>
      <c r="I1453" s="12"/>
      <c r="J1453" s="12"/>
      <c r="K1453" s="12"/>
      <c r="L1453" s="12"/>
      <c r="M1453" s="12"/>
      <c r="N1453" s="12"/>
      <c r="O1453" s="12"/>
    </row>
    <row r="1454" spans="1:15" ht="13">
      <c r="A1454" s="24"/>
      <c r="B1454" s="9"/>
      <c r="C1454" s="4"/>
      <c r="D1454" s="10"/>
      <c r="E1454" s="11"/>
      <c r="F1454" s="11"/>
      <c r="G1454" s="12"/>
      <c r="H1454" s="12"/>
      <c r="I1454" s="12"/>
      <c r="J1454" s="12"/>
      <c r="K1454" s="12"/>
      <c r="L1454" s="12"/>
      <c r="M1454" s="12"/>
      <c r="N1454" s="12"/>
      <c r="O1454" s="12"/>
    </row>
    <row r="1455" spans="1:15" ht="13">
      <c r="A1455" s="24"/>
      <c r="B1455" s="9"/>
      <c r="C1455" s="4"/>
      <c r="D1455" s="10"/>
      <c r="E1455" s="11"/>
      <c r="F1455" s="11"/>
      <c r="G1455" s="12"/>
      <c r="H1455" s="12"/>
      <c r="I1455" s="12"/>
      <c r="J1455" s="12"/>
      <c r="K1455" s="12"/>
      <c r="L1455" s="12"/>
      <c r="M1455" s="12"/>
      <c r="N1455" s="12"/>
      <c r="O1455" s="12"/>
    </row>
    <row r="1456" spans="1:15" ht="13">
      <c r="A1456" s="24"/>
      <c r="B1456" s="9"/>
      <c r="C1456" s="4"/>
      <c r="D1456" s="10"/>
      <c r="E1456" s="11"/>
      <c r="F1456" s="11"/>
      <c r="G1456" s="12"/>
      <c r="H1456" s="12"/>
      <c r="I1456" s="12"/>
      <c r="J1456" s="12"/>
      <c r="K1456" s="12"/>
      <c r="L1456" s="12"/>
      <c r="M1456" s="12"/>
      <c r="N1456" s="12"/>
      <c r="O1456" s="12"/>
    </row>
    <row r="1457" spans="1:15" ht="13">
      <c r="A1457" s="24"/>
      <c r="B1457" s="9"/>
      <c r="C1457" s="4"/>
      <c r="D1457" s="10"/>
      <c r="E1457" s="11"/>
      <c r="F1457" s="11"/>
      <c r="G1457" s="12"/>
      <c r="H1457" s="12"/>
      <c r="I1457" s="12"/>
      <c r="J1457" s="12"/>
      <c r="K1457" s="12"/>
      <c r="L1457" s="12"/>
      <c r="M1457" s="12"/>
      <c r="N1457" s="12"/>
      <c r="O1457" s="12"/>
    </row>
    <row r="1458" spans="1:15" ht="13">
      <c r="A1458" s="24"/>
      <c r="B1458" s="9"/>
      <c r="C1458" s="4"/>
      <c r="D1458" s="10"/>
      <c r="E1458" s="11"/>
      <c r="F1458" s="11"/>
      <c r="G1458" s="12"/>
      <c r="H1458" s="12"/>
      <c r="I1458" s="12"/>
      <c r="J1458" s="12"/>
      <c r="K1458" s="12"/>
      <c r="L1458" s="12"/>
      <c r="M1458" s="12"/>
      <c r="N1458" s="12"/>
      <c r="O1458" s="12"/>
    </row>
    <row r="1459" spans="1:15" ht="13">
      <c r="A1459" s="24"/>
      <c r="B1459" s="9"/>
      <c r="C1459" s="4"/>
      <c r="D1459" s="10"/>
      <c r="E1459" s="11"/>
      <c r="F1459" s="11"/>
      <c r="G1459" s="12"/>
      <c r="H1459" s="12"/>
      <c r="I1459" s="12"/>
      <c r="J1459" s="12"/>
      <c r="K1459" s="12"/>
      <c r="L1459" s="12"/>
      <c r="M1459" s="12"/>
      <c r="N1459" s="12"/>
      <c r="O1459" s="12"/>
    </row>
    <row r="1460" spans="1:15" ht="13">
      <c r="A1460" s="24"/>
      <c r="B1460" s="9"/>
      <c r="C1460" s="4"/>
      <c r="D1460" s="10"/>
      <c r="E1460" s="11"/>
      <c r="F1460" s="11"/>
      <c r="G1460" s="12"/>
      <c r="H1460" s="12"/>
      <c r="I1460" s="12"/>
      <c r="J1460" s="12"/>
      <c r="K1460" s="12"/>
      <c r="L1460" s="12"/>
      <c r="M1460" s="12"/>
      <c r="N1460" s="12"/>
      <c r="O1460" s="12"/>
    </row>
    <row r="1461" spans="1:15" ht="13">
      <c r="A1461" s="24"/>
      <c r="B1461" s="9"/>
      <c r="C1461" s="4"/>
      <c r="D1461" s="10"/>
      <c r="E1461" s="11"/>
      <c r="F1461" s="11"/>
      <c r="G1461" s="12"/>
      <c r="H1461" s="12"/>
      <c r="I1461" s="12"/>
      <c r="J1461" s="12"/>
      <c r="K1461" s="12"/>
      <c r="L1461" s="12"/>
      <c r="M1461" s="12"/>
      <c r="N1461" s="12"/>
      <c r="O1461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461"/>
  <sheetViews>
    <sheetView workbookViewId="0">
      <pane xSplit="2" ySplit="1" topLeftCell="C686" activePane="bottomRight" state="frozen"/>
      <selection pane="topRight" activeCell="C1" sqref="C1"/>
      <selection pane="bottomLeft" activeCell="A2" sqref="A2"/>
      <selection pane="bottomRight" activeCell="D686" sqref="A1:Z1016"/>
    </sheetView>
  </sheetViews>
  <sheetFormatPr defaultColWidth="12.6328125" defaultRowHeight="15.75" customHeight="1"/>
  <cols>
    <col min="1" max="1" width="5.26953125" customWidth="1"/>
    <col min="2" max="2" width="5.453125" customWidth="1"/>
    <col min="16" max="16" width="11.453125" customWidth="1"/>
    <col min="17" max="17" width="11" customWidth="1"/>
  </cols>
  <sheetData>
    <row r="1" spans="1:27" ht="13">
      <c r="A1" s="1" t="s">
        <v>0</v>
      </c>
      <c r="B1" s="2" t="s">
        <v>1</v>
      </c>
      <c r="C1" s="3" t="s">
        <v>221</v>
      </c>
      <c r="D1" s="3" t="s">
        <v>222</v>
      </c>
      <c r="E1" s="3" t="s">
        <v>223</v>
      </c>
      <c r="F1" s="3" t="s">
        <v>224</v>
      </c>
      <c r="G1" s="3" t="s">
        <v>225</v>
      </c>
      <c r="H1" s="3" t="s">
        <v>2</v>
      </c>
      <c r="I1" s="3" t="s">
        <v>3</v>
      </c>
      <c r="J1" s="3" t="s">
        <v>4</v>
      </c>
      <c r="K1" s="4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5" t="s">
        <v>10</v>
      </c>
      <c r="Q1" s="6" t="s">
        <v>11</v>
      </c>
      <c r="R1" s="7" t="s">
        <v>7</v>
      </c>
      <c r="S1" s="7" t="s">
        <v>8</v>
      </c>
      <c r="T1" s="7" t="s">
        <v>9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38"/>
    </row>
    <row r="2" spans="1:27" ht="15.5">
      <c r="A2" s="8" t="s">
        <v>18</v>
      </c>
      <c r="B2" s="9">
        <v>2017</v>
      </c>
      <c r="C2" s="10">
        <v>263.36</v>
      </c>
      <c r="D2" s="10">
        <v>2951.19</v>
      </c>
      <c r="E2" s="10">
        <v>4576.16</v>
      </c>
      <c r="F2" s="10">
        <v>2142.7199999999998</v>
      </c>
      <c r="G2" s="10">
        <v>1990.8</v>
      </c>
      <c r="H2" s="10">
        <f>C2/E2</f>
        <v>5.7550435299465061E-2</v>
      </c>
      <c r="I2" s="10">
        <f>D2/E2</f>
        <v>0.64490533547778051</v>
      </c>
      <c r="J2" s="10">
        <f>F2/G2</f>
        <v>1.0763110307414103</v>
      </c>
      <c r="K2" s="4">
        <f t="shared" ref="K2:K25" si="0">-4.3 -4.5*(C2/E2)+5.7*(D2/E2)-0.004*(F2/G2)</f>
        <v>-0.88732179074720929</v>
      </c>
      <c r="L2" s="10">
        <f t="shared" ref="L2:L33" si="1">D2/E2</f>
        <v>0.64490533547778051</v>
      </c>
      <c r="M2" s="10">
        <v>-80.66</v>
      </c>
      <c r="N2" s="10">
        <v>-698.57</v>
      </c>
      <c r="O2" s="10">
        <v>882.21</v>
      </c>
      <c r="P2" s="11">
        <v>0.1231</v>
      </c>
      <c r="Q2" s="11">
        <v>2.0299999999999999E-2</v>
      </c>
      <c r="R2" s="12">
        <f t="shared" ref="R2:R65" si="2">M2/E2</f>
        <v>-1.7626131953428201E-2</v>
      </c>
      <c r="S2" s="12">
        <f t="shared" ref="S2:S65" si="3">N2/E2</f>
        <v>-0.15265419041292264</v>
      </c>
      <c r="T2" s="12">
        <f t="shared" ref="T2:T65" si="4">O2/E2</f>
        <v>0.1927839061571274</v>
      </c>
      <c r="U2" s="12">
        <f t="shared" ref="U2:U9" si="5">P2*R2</f>
        <v>-2.1697768434670115E-3</v>
      </c>
      <c r="V2" s="12">
        <f t="shared" ref="V2:V251" si="6">S2*P2</f>
        <v>-1.8791730839830777E-2</v>
      </c>
      <c r="W2" s="12">
        <f t="shared" ref="W2:W251" si="7">T2*P2</f>
        <v>2.3731698847942382E-2</v>
      </c>
      <c r="X2" s="12">
        <f t="shared" ref="X2:X251" si="8">R2*Q2</f>
        <v>-3.5781047865459243E-4</v>
      </c>
      <c r="Y2" s="12">
        <f t="shared" ref="Y2:Y251" si="9">S2*Q2</f>
        <v>-3.0988800653823294E-3</v>
      </c>
      <c r="Z2" s="12">
        <f t="shared" ref="Z2:Z251" si="10">T2*Q2</f>
        <v>3.9135132949896859E-3</v>
      </c>
      <c r="AA2" s="39"/>
    </row>
    <row r="3" spans="1:27" ht="15.5">
      <c r="A3" s="8" t="s">
        <v>18</v>
      </c>
      <c r="B3" s="9">
        <v>2018</v>
      </c>
      <c r="C3" s="10">
        <v>212.15</v>
      </c>
      <c r="D3" s="10">
        <v>4548.92</v>
      </c>
      <c r="E3" s="10">
        <v>7529.17</v>
      </c>
      <c r="F3" s="10">
        <v>3989.37</v>
      </c>
      <c r="G3" s="10">
        <v>3206.1</v>
      </c>
      <c r="H3" s="10">
        <f t="shared" ref="H3:H66" si="11">C3/E3</f>
        <v>2.8177076623319704E-2</v>
      </c>
      <c r="I3" s="10">
        <f t="shared" ref="I3:I66" si="12">D3/E3</f>
        <v>0.60417283711219161</v>
      </c>
      <c r="J3" s="10">
        <f t="shared" ref="J3:J66" si="13">F3/G3</f>
        <v>1.2443061663703565</v>
      </c>
      <c r="K3" s="4">
        <f t="shared" si="0"/>
        <v>-0.98798889793092737</v>
      </c>
      <c r="L3" s="10">
        <f t="shared" si="1"/>
        <v>0.60417283711219161</v>
      </c>
      <c r="M3" s="10">
        <v>38.54</v>
      </c>
      <c r="N3" s="10">
        <v>-2628.23</v>
      </c>
      <c r="O3" s="10">
        <v>2725.76</v>
      </c>
      <c r="P3" s="11">
        <v>9.9699999999999997E-2</v>
      </c>
      <c r="Q3" s="11">
        <v>0</v>
      </c>
      <c r="R3" s="12">
        <f t="shared" si="2"/>
        <v>5.1187581101236924E-3</v>
      </c>
      <c r="S3" s="12">
        <f t="shared" si="3"/>
        <v>-0.34907300539103248</v>
      </c>
      <c r="T3" s="12">
        <f t="shared" si="4"/>
        <v>0.36202662444864442</v>
      </c>
      <c r="U3" s="12">
        <f t="shared" si="5"/>
        <v>5.1034018357933215E-4</v>
      </c>
      <c r="V3" s="12">
        <f t="shared" si="6"/>
        <v>-3.480257863748594E-2</v>
      </c>
      <c r="W3" s="12">
        <f t="shared" si="7"/>
        <v>3.6094054457529848E-2</v>
      </c>
      <c r="X3" s="12">
        <f t="shared" si="8"/>
        <v>0</v>
      </c>
      <c r="Y3" s="12">
        <f t="shared" si="9"/>
        <v>0</v>
      </c>
      <c r="Z3" s="12">
        <f t="shared" si="10"/>
        <v>0</v>
      </c>
      <c r="AA3" s="39"/>
    </row>
    <row r="4" spans="1:27" ht="15.5">
      <c r="A4" s="8" t="s">
        <v>18</v>
      </c>
      <c r="B4" s="9">
        <v>2019</v>
      </c>
      <c r="C4" s="10">
        <v>491.03</v>
      </c>
      <c r="D4" s="10">
        <v>4732.22</v>
      </c>
      <c r="E4" s="10">
        <v>7987.45</v>
      </c>
      <c r="F4" s="10">
        <v>4971.3599999999997</v>
      </c>
      <c r="G4" s="10">
        <v>3236.65</v>
      </c>
      <c r="H4" s="10">
        <f t="shared" si="11"/>
        <v>6.1475189203062303E-2</v>
      </c>
      <c r="I4" s="10">
        <f t="shared" si="12"/>
        <v>0.59245691678821155</v>
      </c>
      <c r="J4" s="10">
        <f t="shared" si="13"/>
        <v>1.5359584755843232</v>
      </c>
      <c r="K4" s="4">
        <f t="shared" si="0"/>
        <v>-1.2057777596233112</v>
      </c>
      <c r="L4" s="10">
        <f t="shared" si="1"/>
        <v>0.59245691678821155</v>
      </c>
      <c r="M4" s="10">
        <v>489.34</v>
      </c>
      <c r="N4" s="10">
        <v>-859.85</v>
      </c>
      <c r="O4" s="10">
        <v>17.309999999999999</v>
      </c>
      <c r="P4" s="11">
        <v>2.3E-2</v>
      </c>
      <c r="Q4" s="11">
        <v>0</v>
      </c>
      <c r="R4" s="12">
        <f t="shared" si="2"/>
        <v>6.1263607283926658E-2</v>
      </c>
      <c r="S4" s="12">
        <f t="shared" si="3"/>
        <v>-0.10765012613537488</v>
      </c>
      <c r="T4" s="12">
        <f t="shared" si="4"/>
        <v>2.1671497161171588E-3</v>
      </c>
      <c r="U4" s="12">
        <f t="shared" si="5"/>
        <v>1.409062967530313E-3</v>
      </c>
      <c r="V4" s="12">
        <f t="shared" si="6"/>
        <v>-2.4759529011136221E-3</v>
      </c>
      <c r="W4" s="12">
        <f t="shared" si="7"/>
        <v>4.9844443470694648E-5</v>
      </c>
      <c r="X4" s="12">
        <f t="shared" si="8"/>
        <v>0</v>
      </c>
      <c r="Y4" s="12">
        <f t="shared" si="9"/>
        <v>0</v>
      </c>
      <c r="Z4" s="12">
        <f t="shared" si="10"/>
        <v>0</v>
      </c>
      <c r="AA4" s="39"/>
    </row>
    <row r="5" spans="1:27" ht="15.5">
      <c r="A5" s="8" t="s">
        <v>18</v>
      </c>
      <c r="B5" s="9">
        <v>2020</v>
      </c>
      <c r="C5" s="10">
        <v>283.17</v>
      </c>
      <c r="D5" s="10">
        <v>4545.45</v>
      </c>
      <c r="E5" s="10">
        <v>8569.41</v>
      </c>
      <c r="F5" s="10">
        <v>4496.05</v>
      </c>
      <c r="G5" s="10">
        <v>3772.83</v>
      </c>
      <c r="H5" s="10">
        <f t="shared" si="11"/>
        <v>3.3044281928394141E-2</v>
      </c>
      <c r="I5" s="10">
        <f t="shared" si="12"/>
        <v>0.53042741565638707</v>
      </c>
      <c r="J5" s="10">
        <f t="shared" si="13"/>
        <v>1.1916916479141653</v>
      </c>
      <c r="K5" s="4">
        <f t="shared" si="0"/>
        <v>-1.4300297660280241</v>
      </c>
      <c r="L5" s="10">
        <f t="shared" si="1"/>
        <v>0.53042741565638707</v>
      </c>
      <c r="M5" s="10">
        <v>612.54</v>
      </c>
      <c r="N5" s="10">
        <v>34.700000000000003</v>
      </c>
      <c r="O5" s="10">
        <v>25.59</v>
      </c>
      <c r="P5" s="11">
        <v>3.1600000000000003E-2</v>
      </c>
      <c r="Q5" s="11">
        <v>0</v>
      </c>
      <c r="R5" s="12">
        <f t="shared" si="2"/>
        <v>7.147983350078943E-2</v>
      </c>
      <c r="S5" s="12">
        <f t="shared" si="3"/>
        <v>4.0492869404077994E-3</v>
      </c>
      <c r="T5" s="12">
        <f t="shared" si="4"/>
        <v>2.986203250865579E-3</v>
      </c>
      <c r="U5" s="12">
        <f t="shared" si="5"/>
        <v>2.258762738624946E-3</v>
      </c>
      <c r="V5" s="12">
        <f t="shared" si="6"/>
        <v>1.2795746731688646E-4</v>
      </c>
      <c r="W5" s="12">
        <f t="shared" si="7"/>
        <v>9.4364022727352301E-5</v>
      </c>
      <c r="X5" s="12">
        <f t="shared" si="8"/>
        <v>0</v>
      </c>
      <c r="Y5" s="12">
        <f t="shared" si="9"/>
        <v>0</v>
      </c>
      <c r="Z5" s="12">
        <f t="shared" si="10"/>
        <v>0</v>
      </c>
      <c r="AA5" s="39"/>
    </row>
    <row r="6" spans="1:27" ht="15.5">
      <c r="A6" s="8" t="s">
        <v>18</v>
      </c>
      <c r="B6" s="9">
        <v>2021</v>
      </c>
      <c r="C6" s="10">
        <v>324.14</v>
      </c>
      <c r="D6" s="10">
        <v>4555.1400000000003</v>
      </c>
      <c r="E6" s="10">
        <v>10009.530000000001</v>
      </c>
      <c r="F6" s="10">
        <v>5354.61</v>
      </c>
      <c r="G6" s="10">
        <v>3282.34</v>
      </c>
      <c r="H6" s="10">
        <f t="shared" si="11"/>
        <v>3.2383138868658165E-2</v>
      </c>
      <c r="I6" s="10">
        <f t="shared" si="12"/>
        <v>0.45508030846603187</v>
      </c>
      <c r="J6" s="10">
        <f t="shared" si="13"/>
        <v>1.6313392275023304</v>
      </c>
      <c r="K6" s="4">
        <f t="shared" si="0"/>
        <v>-1.8582917235625891</v>
      </c>
      <c r="L6" s="10">
        <f t="shared" si="1"/>
        <v>0.45508030846603187</v>
      </c>
      <c r="M6" s="10">
        <v>443.62</v>
      </c>
      <c r="N6" s="10">
        <v>-150.38999999999999</v>
      </c>
      <c r="O6" s="10">
        <v>739.24</v>
      </c>
      <c r="P6" s="11">
        <v>2.2100000000000002E-2</v>
      </c>
      <c r="Q6" s="11">
        <v>0</v>
      </c>
      <c r="R6" s="12">
        <f t="shared" si="2"/>
        <v>4.4319763265607874E-2</v>
      </c>
      <c r="S6" s="12">
        <f t="shared" si="3"/>
        <v>-1.5024681478550938E-2</v>
      </c>
      <c r="T6" s="12">
        <f t="shared" si="4"/>
        <v>7.3853617502520091E-2</v>
      </c>
      <c r="U6" s="12">
        <f t="shared" si="5"/>
        <v>9.7946676816993415E-4</v>
      </c>
      <c r="V6" s="12">
        <f t="shared" si="6"/>
        <v>-3.3204546067597577E-4</v>
      </c>
      <c r="W6" s="12">
        <f t="shared" si="7"/>
        <v>1.6321649468056941E-3</v>
      </c>
      <c r="X6" s="12">
        <f t="shared" si="8"/>
        <v>0</v>
      </c>
      <c r="Y6" s="12">
        <f t="shared" si="9"/>
        <v>0</v>
      </c>
      <c r="Z6" s="12">
        <f t="shared" si="10"/>
        <v>0</v>
      </c>
      <c r="AA6" s="39"/>
    </row>
    <row r="7" spans="1:27" ht="15.5">
      <c r="A7" s="8" t="s">
        <v>19</v>
      </c>
      <c r="B7" s="9">
        <v>2017</v>
      </c>
      <c r="C7" s="10">
        <v>26.4</v>
      </c>
      <c r="D7" s="10">
        <v>109.31</v>
      </c>
      <c r="E7" s="10">
        <v>332.88</v>
      </c>
      <c r="F7" s="10">
        <v>265.95999999999998</v>
      </c>
      <c r="G7" s="10">
        <v>105.24</v>
      </c>
      <c r="H7" s="10">
        <f t="shared" si="11"/>
        <v>7.9307858687815425E-2</v>
      </c>
      <c r="I7" s="10">
        <f t="shared" si="12"/>
        <v>0.32837659216534487</v>
      </c>
      <c r="J7" s="10">
        <f t="shared" si="13"/>
        <v>2.5271759787153174</v>
      </c>
      <c r="K7" s="4">
        <f t="shared" si="0"/>
        <v>-2.7952474926675643</v>
      </c>
      <c r="L7" s="10">
        <f t="shared" si="1"/>
        <v>0.32837659216534487</v>
      </c>
      <c r="M7" s="10">
        <v>38.86</v>
      </c>
      <c r="N7" s="10">
        <v>-13.19</v>
      </c>
      <c r="O7" s="10">
        <v>-14.3</v>
      </c>
      <c r="P7" s="11">
        <v>0.18462999999999999</v>
      </c>
      <c r="Q7" s="11">
        <f>0.001%+0.11%+0.0024%+0.19%</f>
        <v>3.0340000000000002E-3</v>
      </c>
      <c r="R7" s="12">
        <f t="shared" si="2"/>
        <v>0.11673876472001922</v>
      </c>
      <c r="S7" s="12">
        <f t="shared" si="3"/>
        <v>-3.9623888488344146E-2</v>
      </c>
      <c r="T7" s="12">
        <f t="shared" si="4"/>
        <v>-4.2958423455900029E-2</v>
      </c>
      <c r="U7" s="12">
        <f t="shared" si="5"/>
        <v>2.1553478130257146E-2</v>
      </c>
      <c r="V7" s="12">
        <f t="shared" si="6"/>
        <v>-7.315758531602979E-3</v>
      </c>
      <c r="W7" s="12">
        <f t="shared" si="7"/>
        <v>-7.9314137226628219E-3</v>
      </c>
      <c r="X7" s="12">
        <f t="shared" si="8"/>
        <v>3.5418541216053836E-4</v>
      </c>
      <c r="Y7" s="12">
        <f t="shared" si="9"/>
        <v>-1.2021887767363615E-4</v>
      </c>
      <c r="Z7" s="12">
        <f t="shared" si="10"/>
        <v>-1.303358567652007E-4</v>
      </c>
      <c r="AA7" s="39"/>
    </row>
    <row r="8" spans="1:27" ht="15.5">
      <c r="A8" s="8" t="s">
        <v>19</v>
      </c>
      <c r="B8" s="9">
        <v>2018</v>
      </c>
      <c r="C8" s="10">
        <v>33.270000000000003</v>
      </c>
      <c r="D8" s="10">
        <v>135.07</v>
      </c>
      <c r="E8" s="10">
        <v>367.05</v>
      </c>
      <c r="F8" s="10">
        <v>292.42</v>
      </c>
      <c r="G8" s="10">
        <v>125.52</v>
      </c>
      <c r="H8" s="10">
        <f t="shared" si="11"/>
        <v>9.0641601961585619E-2</v>
      </c>
      <c r="I8" s="10">
        <f t="shared" si="12"/>
        <v>0.36798801253235253</v>
      </c>
      <c r="J8" s="10">
        <f t="shared" si="13"/>
        <v>2.3296685787125559</v>
      </c>
      <c r="K8" s="4">
        <f t="shared" si="0"/>
        <v>-2.6196742117075762</v>
      </c>
      <c r="L8" s="10">
        <f t="shared" si="1"/>
        <v>0.36798801253235253</v>
      </c>
      <c r="M8" s="10">
        <v>63.86</v>
      </c>
      <c r="N8" s="10">
        <v>-6.04</v>
      </c>
      <c r="O8" s="10">
        <v>-33.08</v>
      </c>
      <c r="P8" s="11">
        <v>0.1961</v>
      </c>
      <c r="Q8" s="11">
        <f t="shared" ref="Q8:Q9" si="14">0.001%+0.11%+0.00024%+0.19%</f>
        <v>3.0124000000000001E-3</v>
      </c>
      <c r="R8" s="12">
        <f t="shared" si="2"/>
        <v>0.17398174635608227</v>
      </c>
      <c r="S8" s="12">
        <f t="shared" si="3"/>
        <v>-1.6455523770603459E-2</v>
      </c>
      <c r="T8" s="12">
        <f t="shared" si="4"/>
        <v>-9.0123961313172588E-2</v>
      </c>
      <c r="U8" s="12">
        <f t="shared" si="5"/>
        <v>3.4117820460427731E-2</v>
      </c>
      <c r="V8" s="12">
        <f t="shared" si="6"/>
        <v>-3.2269282114153384E-3</v>
      </c>
      <c r="W8" s="12">
        <f t="shared" si="7"/>
        <v>-1.7673308813513144E-2</v>
      </c>
      <c r="X8" s="12">
        <f t="shared" si="8"/>
        <v>5.2410261272306221E-4</v>
      </c>
      <c r="Y8" s="12">
        <f t="shared" si="9"/>
        <v>-4.9570619806565861E-5</v>
      </c>
      <c r="Z8" s="12">
        <f t="shared" si="10"/>
        <v>-2.714894210598011E-4</v>
      </c>
      <c r="AA8" s="39"/>
    </row>
    <row r="9" spans="1:27" ht="15.5">
      <c r="A9" s="8" t="s">
        <v>19</v>
      </c>
      <c r="B9" s="9">
        <v>2019</v>
      </c>
      <c r="C9" s="10">
        <v>45.86</v>
      </c>
      <c r="D9" s="10">
        <v>248.44</v>
      </c>
      <c r="E9" s="10">
        <v>497.02</v>
      </c>
      <c r="F9" s="10">
        <v>382.21</v>
      </c>
      <c r="G9" s="10">
        <v>202.76</v>
      </c>
      <c r="H9" s="10">
        <f t="shared" si="11"/>
        <v>9.2269928775501997E-2</v>
      </c>
      <c r="I9" s="10">
        <f t="shared" si="12"/>
        <v>0.49985916059715907</v>
      </c>
      <c r="J9" s="10">
        <f t="shared" si="13"/>
        <v>1.885036496350365</v>
      </c>
      <c r="K9" s="4">
        <f t="shared" si="0"/>
        <v>-1.8735576100713536</v>
      </c>
      <c r="L9" s="10">
        <f t="shared" si="1"/>
        <v>0.49985916059715907</v>
      </c>
      <c r="M9" s="10">
        <v>23.6</v>
      </c>
      <c r="N9" s="10">
        <v>-1.95</v>
      </c>
      <c r="O9" s="10">
        <v>55.28</v>
      </c>
      <c r="P9" s="11">
        <v>0.2155</v>
      </c>
      <c r="Q9" s="11">
        <f t="shared" si="14"/>
        <v>3.0124000000000001E-3</v>
      </c>
      <c r="R9" s="12">
        <f t="shared" si="2"/>
        <v>4.7482998672085636E-2</v>
      </c>
      <c r="S9" s="12">
        <f t="shared" si="3"/>
        <v>-3.9233833648545328E-3</v>
      </c>
      <c r="T9" s="12">
        <f t="shared" si="4"/>
        <v>0.11122288841495313</v>
      </c>
      <c r="U9" s="12">
        <f t="shared" si="5"/>
        <v>1.0232586213834454E-2</v>
      </c>
      <c r="V9" s="12">
        <f t="shared" si="6"/>
        <v>-8.4548911512615183E-4</v>
      </c>
      <c r="W9" s="12">
        <f t="shared" si="7"/>
        <v>2.3968532453422401E-2</v>
      </c>
      <c r="X9" s="12">
        <f t="shared" si="8"/>
        <v>1.4303778519979079E-4</v>
      </c>
      <c r="Y9" s="12">
        <f t="shared" si="9"/>
        <v>-1.1818800048287796E-5</v>
      </c>
      <c r="Z9" s="12">
        <f t="shared" si="10"/>
        <v>3.3504782906120483E-4</v>
      </c>
      <c r="AA9" s="39"/>
    </row>
    <row r="10" spans="1:27" ht="15.5">
      <c r="A10" s="8" t="s">
        <v>19</v>
      </c>
      <c r="B10" s="9">
        <v>2020</v>
      </c>
      <c r="C10" s="10">
        <v>65.03</v>
      </c>
      <c r="D10" s="10">
        <v>406.28</v>
      </c>
      <c r="E10" s="10">
        <v>913</v>
      </c>
      <c r="F10" s="10">
        <v>775.86</v>
      </c>
      <c r="G10" s="10">
        <v>364.9</v>
      </c>
      <c r="H10" s="10">
        <f t="shared" si="11"/>
        <v>7.1226725082146766E-2</v>
      </c>
      <c r="I10" s="10">
        <f t="shared" si="12"/>
        <v>0.44499452354874036</v>
      </c>
      <c r="J10" s="10">
        <f t="shared" si="13"/>
        <v>2.1262263633872296</v>
      </c>
      <c r="K10" s="4">
        <f t="shared" si="0"/>
        <v>-2.0925563840953889</v>
      </c>
      <c r="L10" s="10">
        <f t="shared" si="1"/>
        <v>0.44499452354874036</v>
      </c>
      <c r="M10" s="10">
        <v>-271.57</v>
      </c>
      <c r="N10" s="10">
        <v>-9.17</v>
      </c>
      <c r="O10" s="10">
        <v>353.42</v>
      </c>
      <c r="P10" s="11">
        <v>0.1226</v>
      </c>
      <c r="Q10" s="11">
        <v>9.9999999999999995E-7</v>
      </c>
      <c r="R10" s="12">
        <f t="shared" si="2"/>
        <v>-0.29744797371303394</v>
      </c>
      <c r="S10" s="12">
        <f t="shared" si="3"/>
        <v>-1.0043811610076669E-2</v>
      </c>
      <c r="T10" s="12">
        <f t="shared" si="4"/>
        <v>0.38709748083242063</v>
      </c>
      <c r="U10" s="12">
        <f t="shared" ref="U10:U259" si="15">R10*P10</f>
        <v>-3.6467121577217959E-2</v>
      </c>
      <c r="V10" s="12">
        <f t="shared" si="6"/>
        <v>-1.2313713033953997E-3</v>
      </c>
      <c r="W10" s="12">
        <f t="shared" si="7"/>
        <v>4.7458151150054771E-2</v>
      </c>
      <c r="X10" s="12">
        <f t="shared" si="8"/>
        <v>-2.9744797371303394E-7</v>
      </c>
      <c r="Y10" s="12">
        <f t="shared" si="9"/>
        <v>-1.004381161007667E-8</v>
      </c>
      <c r="Z10" s="12">
        <f t="shared" si="10"/>
        <v>3.8709748083242061E-7</v>
      </c>
      <c r="AA10" s="39"/>
    </row>
    <row r="11" spans="1:27" ht="15.5">
      <c r="A11" s="8" t="s">
        <v>19</v>
      </c>
      <c r="B11" s="9">
        <v>2021</v>
      </c>
      <c r="C11" s="10">
        <v>38.5</v>
      </c>
      <c r="D11" s="10">
        <v>700.48</v>
      </c>
      <c r="E11" s="10">
        <v>1175.56</v>
      </c>
      <c r="F11" s="10">
        <v>809.25</v>
      </c>
      <c r="G11" s="10">
        <v>447.67</v>
      </c>
      <c r="H11" s="10">
        <f t="shared" si="11"/>
        <v>3.2750348769947944E-2</v>
      </c>
      <c r="I11" s="10">
        <f t="shared" si="12"/>
        <v>0.59586920276293853</v>
      </c>
      <c r="J11" s="10">
        <f t="shared" si="13"/>
        <v>1.8076931668416467</v>
      </c>
      <c r="K11" s="4">
        <f t="shared" si="0"/>
        <v>-1.0581528863833822</v>
      </c>
      <c r="L11" s="10">
        <f t="shared" si="1"/>
        <v>0.59586920276293853</v>
      </c>
      <c r="M11" s="10">
        <v>-457.49</v>
      </c>
      <c r="N11" s="10">
        <v>25.34</v>
      </c>
      <c r="O11" s="10">
        <v>319.54000000000002</v>
      </c>
      <c r="P11" s="11">
        <v>8.2900000000000001E-2</v>
      </c>
      <c r="Q11" s="11">
        <f>0.0023%+0.0001%</f>
        <v>2.4000000000000001E-5</v>
      </c>
      <c r="R11" s="12">
        <f t="shared" si="2"/>
        <v>-0.38916771581203852</v>
      </c>
      <c r="S11" s="12">
        <f t="shared" si="3"/>
        <v>2.155568409949301E-2</v>
      </c>
      <c r="T11" s="12">
        <f t="shared" si="4"/>
        <v>0.27181938820647183</v>
      </c>
      <c r="U11" s="12">
        <f t="shared" si="15"/>
        <v>-3.2262003640817993E-2</v>
      </c>
      <c r="V11" s="12">
        <f t="shared" si="6"/>
        <v>1.7869662118479704E-3</v>
      </c>
      <c r="W11" s="12">
        <f t="shared" si="7"/>
        <v>2.2533827282316517E-2</v>
      </c>
      <c r="X11" s="12">
        <f t="shared" si="8"/>
        <v>-9.3400251794889247E-6</v>
      </c>
      <c r="Y11" s="12">
        <f t="shared" si="9"/>
        <v>5.1733641838783222E-7</v>
      </c>
      <c r="Z11" s="12">
        <f t="shared" si="10"/>
        <v>6.5236653169553243E-6</v>
      </c>
      <c r="AA11" s="39"/>
    </row>
    <row r="12" spans="1:27" ht="15.5">
      <c r="A12" s="8" t="s">
        <v>20</v>
      </c>
      <c r="B12" s="9">
        <v>2017</v>
      </c>
      <c r="C12" s="10">
        <v>1.1299999999999999</v>
      </c>
      <c r="D12" s="10">
        <v>10.6</v>
      </c>
      <c r="E12" s="10">
        <v>251.56</v>
      </c>
      <c r="F12" s="10">
        <v>196.3</v>
      </c>
      <c r="G12" s="10">
        <v>7.54</v>
      </c>
      <c r="H12" s="10">
        <f t="shared" si="11"/>
        <v>4.4919701065352195E-3</v>
      </c>
      <c r="I12" s="10">
        <f t="shared" si="12"/>
        <v>4.213706471617109E-2</v>
      </c>
      <c r="J12" s="10">
        <f t="shared" si="13"/>
        <v>26.03448275862069</v>
      </c>
      <c r="K12" s="4">
        <f t="shared" si="0"/>
        <v>-4.184170527631716</v>
      </c>
      <c r="L12" s="10">
        <f t="shared" si="1"/>
        <v>4.213706471617109E-2</v>
      </c>
      <c r="M12" s="10">
        <v>57.14</v>
      </c>
      <c r="N12" s="10">
        <v>-52.12</v>
      </c>
      <c r="O12" s="10">
        <v>-4.97</v>
      </c>
      <c r="P12" s="11">
        <v>9.7999999999999997E-3</v>
      </c>
      <c r="Q12" s="11">
        <v>0.21790000000000001</v>
      </c>
      <c r="R12" s="12">
        <f t="shared" si="2"/>
        <v>0.22714262998886944</v>
      </c>
      <c r="S12" s="12">
        <f t="shared" si="3"/>
        <v>-0.20718715217045633</v>
      </c>
      <c r="T12" s="12">
        <f t="shared" si="4"/>
        <v>-1.975671807918588E-2</v>
      </c>
      <c r="U12" s="12">
        <f t="shared" si="15"/>
        <v>2.2259977738909205E-3</v>
      </c>
      <c r="V12" s="12">
        <f t="shared" si="6"/>
        <v>-2.0304340912704719E-3</v>
      </c>
      <c r="W12" s="12">
        <f t="shared" si="7"/>
        <v>-1.936158371760216E-4</v>
      </c>
      <c r="X12" s="12">
        <f t="shared" si="8"/>
        <v>4.9494379074574657E-2</v>
      </c>
      <c r="Y12" s="12">
        <f t="shared" si="9"/>
        <v>-4.5146080457942439E-2</v>
      </c>
      <c r="Z12" s="12">
        <f t="shared" si="10"/>
        <v>-4.304988869454603E-3</v>
      </c>
      <c r="AA12" s="39"/>
    </row>
    <row r="13" spans="1:27" ht="15.5">
      <c r="A13" s="8" t="s">
        <v>20</v>
      </c>
      <c r="B13" s="9">
        <v>2018</v>
      </c>
      <c r="C13" s="13">
        <v>9.59</v>
      </c>
      <c r="D13" s="10">
        <v>18.28</v>
      </c>
      <c r="E13" s="13">
        <v>229.96</v>
      </c>
      <c r="F13" s="10">
        <v>185.33</v>
      </c>
      <c r="G13" s="10">
        <v>15.24</v>
      </c>
      <c r="H13" s="10">
        <f t="shared" si="11"/>
        <v>4.1702904853017912E-2</v>
      </c>
      <c r="I13" s="10">
        <f t="shared" si="12"/>
        <v>7.9492085580100888E-2</v>
      </c>
      <c r="J13" s="10">
        <f t="shared" si="13"/>
        <v>12.160761154855644</v>
      </c>
      <c r="K13" s="4">
        <f t="shared" si="0"/>
        <v>-4.0832012286514283</v>
      </c>
      <c r="L13" s="10">
        <f t="shared" si="1"/>
        <v>7.9492085580100888E-2</v>
      </c>
      <c r="M13" s="13">
        <v>16.78</v>
      </c>
      <c r="N13" s="10">
        <v>18.28</v>
      </c>
      <c r="O13" s="13">
        <v>-37.79</v>
      </c>
      <c r="P13" s="11">
        <v>1.2E-2</v>
      </c>
      <c r="Q13" s="11">
        <f>23.39% + 0.73% + 2.64%</f>
        <v>0.2676</v>
      </c>
      <c r="R13" s="12">
        <f t="shared" si="2"/>
        <v>7.296921203687598E-2</v>
      </c>
      <c r="S13" s="12">
        <f t="shared" si="3"/>
        <v>7.9492085580100888E-2</v>
      </c>
      <c r="T13" s="12">
        <f t="shared" si="4"/>
        <v>-0.16433292746564618</v>
      </c>
      <c r="U13" s="12">
        <f t="shared" si="15"/>
        <v>8.7563054444251176E-4</v>
      </c>
      <c r="V13" s="12">
        <f t="shared" si="6"/>
        <v>9.5390502696121073E-4</v>
      </c>
      <c r="W13" s="12">
        <f t="shared" si="7"/>
        <v>-1.971995129587754E-3</v>
      </c>
      <c r="X13" s="12">
        <f t="shared" si="8"/>
        <v>1.9526561141068013E-2</v>
      </c>
      <c r="Y13" s="12">
        <f t="shared" si="9"/>
        <v>2.1272082101234997E-2</v>
      </c>
      <c r="Z13" s="12">
        <f t="shared" si="10"/>
        <v>-4.3975491389806921E-2</v>
      </c>
      <c r="AA13" s="39"/>
    </row>
    <row r="14" spans="1:27" ht="15.5">
      <c r="A14" s="8" t="s">
        <v>20</v>
      </c>
      <c r="B14" s="9">
        <v>2019</v>
      </c>
      <c r="C14" s="13">
        <v>8.31</v>
      </c>
      <c r="D14" s="10">
        <v>16.09</v>
      </c>
      <c r="E14" s="13">
        <v>227.51</v>
      </c>
      <c r="F14" s="10">
        <v>185.71</v>
      </c>
      <c r="G14" s="10">
        <v>15.02</v>
      </c>
      <c r="H14" s="10">
        <f t="shared" si="11"/>
        <v>3.6525866994857374E-2</v>
      </c>
      <c r="I14" s="10">
        <f t="shared" si="12"/>
        <v>7.0722166058634781E-2</v>
      </c>
      <c r="J14" s="10">
        <f t="shared" si="13"/>
        <v>12.364181091877498</v>
      </c>
      <c r="K14" s="4">
        <f t="shared" si="0"/>
        <v>-4.1107067793101502</v>
      </c>
      <c r="L14" s="10">
        <f t="shared" si="1"/>
        <v>7.0722166058634781E-2</v>
      </c>
      <c r="M14" s="13">
        <v>-26.82</v>
      </c>
      <c r="N14" s="10">
        <v>36.9</v>
      </c>
      <c r="O14" s="13">
        <v>-7.58</v>
      </c>
      <c r="P14" s="11">
        <v>1.2699999999999999E-2</v>
      </c>
      <c r="Q14" s="11">
        <f>39.52%  + 1.18%
+3.58%</f>
        <v>0.44280000000000003</v>
      </c>
      <c r="R14" s="12">
        <f t="shared" si="2"/>
        <v>-0.11788492813502703</v>
      </c>
      <c r="S14" s="12">
        <f t="shared" si="3"/>
        <v>0.16219067293745329</v>
      </c>
      <c r="T14" s="12">
        <f t="shared" si="4"/>
        <v>-3.3317216825634037E-2</v>
      </c>
      <c r="U14" s="12">
        <f t="shared" si="15"/>
        <v>-1.4971385873148433E-3</v>
      </c>
      <c r="V14" s="12">
        <f t="shared" si="6"/>
        <v>2.0598215463056568E-3</v>
      </c>
      <c r="W14" s="12">
        <f t="shared" si="7"/>
        <v>-4.2312865368555224E-4</v>
      </c>
      <c r="X14" s="12">
        <f t="shared" si="8"/>
        <v>-5.2199446178189973E-2</v>
      </c>
      <c r="Y14" s="12">
        <f t="shared" si="9"/>
        <v>7.181802997670432E-2</v>
      </c>
      <c r="Z14" s="12">
        <f t="shared" si="10"/>
        <v>-1.4752863610390753E-2</v>
      </c>
      <c r="AA14" s="39"/>
    </row>
    <row r="15" spans="1:27" ht="15.5">
      <c r="A15" s="8" t="s">
        <v>20</v>
      </c>
      <c r="B15" s="9">
        <v>2020</v>
      </c>
      <c r="C15" s="13">
        <v>-11.97</v>
      </c>
      <c r="D15" s="10">
        <v>16.72</v>
      </c>
      <c r="E15" s="13">
        <v>210.82</v>
      </c>
      <c r="F15" s="10">
        <v>171.28</v>
      </c>
      <c r="G15" s="10">
        <v>15.5</v>
      </c>
      <c r="H15" s="10">
        <f t="shared" si="11"/>
        <v>-5.6778294279480133E-2</v>
      </c>
      <c r="I15" s="10">
        <f t="shared" si="12"/>
        <v>7.9309363438003988E-2</v>
      </c>
      <c r="J15" s="10">
        <f t="shared" si="13"/>
        <v>11.050322580645162</v>
      </c>
      <c r="K15" s="4">
        <f t="shared" si="0"/>
        <v>-3.6366355944682973</v>
      </c>
      <c r="L15" s="10">
        <f t="shared" si="1"/>
        <v>7.9309363438003988E-2</v>
      </c>
      <c r="M15" s="13">
        <v>-24.31</v>
      </c>
      <c r="N15" s="10">
        <v>34.35</v>
      </c>
      <c r="O15" s="13">
        <v>2.36</v>
      </c>
      <c r="P15" s="11">
        <v>1.17E-2</v>
      </c>
      <c r="Q15" s="11">
        <f t="shared" ref="Q15:Q16" si="16">1.18% +1.22% +3.58%</f>
        <v>5.9799999999999999E-2</v>
      </c>
      <c r="R15" s="12">
        <f t="shared" si="2"/>
        <v>-0.11531164026183474</v>
      </c>
      <c r="S15" s="12">
        <f t="shared" si="3"/>
        <v>0.16293520538848308</v>
      </c>
      <c r="T15" s="12">
        <f t="shared" si="4"/>
        <v>1.1194383834550802E-2</v>
      </c>
      <c r="U15" s="12">
        <f t="shared" si="15"/>
        <v>-1.3491461910634665E-3</v>
      </c>
      <c r="V15" s="12">
        <f t="shared" si="6"/>
        <v>1.9063419030452521E-3</v>
      </c>
      <c r="W15" s="12">
        <f t="shared" si="7"/>
        <v>1.309742908642444E-4</v>
      </c>
      <c r="X15" s="12">
        <f t="shared" si="8"/>
        <v>-6.8956360876577171E-3</v>
      </c>
      <c r="Y15" s="12">
        <f t="shared" si="9"/>
        <v>9.7435252822312881E-3</v>
      </c>
      <c r="Z15" s="12">
        <f t="shared" si="10"/>
        <v>6.6942415330613792E-4</v>
      </c>
      <c r="AA15" s="39"/>
    </row>
    <row r="16" spans="1:27" ht="15.5">
      <c r="A16" s="8" t="s">
        <v>20</v>
      </c>
      <c r="B16" s="9">
        <v>2021</v>
      </c>
      <c r="C16" s="13">
        <v>0.23</v>
      </c>
      <c r="D16" s="10">
        <v>6.76</v>
      </c>
      <c r="E16" s="13">
        <v>201.09</v>
      </c>
      <c r="F16" s="10">
        <v>163.04</v>
      </c>
      <c r="G16" s="10">
        <v>5.54</v>
      </c>
      <c r="H16" s="10">
        <f t="shared" si="11"/>
        <v>1.1437664727236561E-3</v>
      </c>
      <c r="I16" s="10">
        <f t="shared" si="12"/>
        <v>3.3616788502660498E-2</v>
      </c>
      <c r="J16" s="10">
        <f t="shared" si="13"/>
        <v>29.429602888086642</v>
      </c>
      <c r="K16" s="4">
        <f t="shared" si="0"/>
        <v>-4.2312496662144383</v>
      </c>
      <c r="L16" s="10">
        <f t="shared" si="1"/>
        <v>3.3616788502660498E-2</v>
      </c>
      <c r="M16" s="13">
        <v>45.31</v>
      </c>
      <c r="N16" s="10">
        <v>-2.29</v>
      </c>
      <c r="O16" s="13">
        <v>-7.58</v>
      </c>
      <c r="P16" s="11">
        <v>1.6E-2</v>
      </c>
      <c r="Q16" s="11">
        <f t="shared" si="16"/>
        <v>5.9799999999999999E-2</v>
      </c>
      <c r="R16" s="12">
        <f t="shared" si="2"/>
        <v>0.22532199512656026</v>
      </c>
      <c r="S16" s="12">
        <f t="shared" si="3"/>
        <v>-1.1387935750161619E-2</v>
      </c>
      <c r="T16" s="12">
        <f t="shared" si="4"/>
        <v>-3.769456462280571E-2</v>
      </c>
      <c r="U16" s="12">
        <f t="shared" si="15"/>
        <v>3.6051519220249642E-3</v>
      </c>
      <c r="V16" s="12">
        <f t="shared" si="6"/>
        <v>-1.8220697200258589E-4</v>
      </c>
      <c r="W16" s="12">
        <f t="shared" si="7"/>
        <v>-6.031130339648914E-4</v>
      </c>
      <c r="X16" s="12">
        <f t="shared" si="8"/>
        <v>1.3474255308568304E-2</v>
      </c>
      <c r="Y16" s="12">
        <f t="shared" si="9"/>
        <v>-6.8099855785966475E-4</v>
      </c>
      <c r="Z16" s="12">
        <f t="shared" si="10"/>
        <v>-2.2541349644437814E-3</v>
      </c>
      <c r="AA16" s="39"/>
    </row>
    <row r="17" spans="1:27" ht="15.5">
      <c r="A17" s="8" t="s">
        <v>21</v>
      </c>
      <c r="B17" s="9">
        <v>2017</v>
      </c>
      <c r="C17" s="10">
        <v>0.77</v>
      </c>
      <c r="D17" s="10">
        <v>4.7300000000000004</v>
      </c>
      <c r="E17" s="10">
        <v>38.630000000000003</v>
      </c>
      <c r="F17" s="10">
        <v>26.96</v>
      </c>
      <c r="G17" s="10">
        <v>4.7300000000000004</v>
      </c>
      <c r="H17" s="10">
        <f t="shared" si="11"/>
        <v>1.9932694796790058E-2</v>
      </c>
      <c r="I17" s="10">
        <f t="shared" si="12"/>
        <v>0.12244369660885322</v>
      </c>
      <c r="J17" s="10">
        <f t="shared" si="13"/>
        <v>5.6997885835095135</v>
      </c>
      <c r="K17" s="4">
        <f t="shared" si="0"/>
        <v>-3.7145672102491298</v>
      </c>
      <c r="L17" s="10">
        <f t="shared" si="1"/>
        <v>0.12244369660885322</v>
      </c>
      <c r="M17" s="10">
        <v>3.94</v>
      </c>
      <c r="N17" s="10">
        <v>-2.6</v>
      </c>
      <c r="O17" s="10">
        <v>1.6</v>
      </c>
      <c r="P17" s="11">
        <v>0</v>
      </c>
      <c r="Q17" s="11">
        <f t="shared" ref="Q17:Q18" si="17">5%+12.73%+1.4%</f>
        <v>0.19130000000000003</v>
      </c>
      <c r="R17" s="12">
        <f t="shared" si="2"/>
        <v>0.101993269479679</v>
      </c>
      <c r="S17" s="12">
        <f t="shared" si="3"/>
        <v>-6.7305203209940462E-2</v>
      </c>
      <c r="T17" s="12">
        <f t="shared" si="4"/>
        <v>4.1418586590732588E-2</v>
      </c>
      <c r="U17" s="12">
        <f t="shared" si="15"/>
        <v>0</v>
      </c>
      <c r="V17" s="12">
        <f t="shared" si="6"/>
        <v>0</v>
      </c>
      <c r="W17" s="12">
        <f t="shared" si="7"/>
        <v>0</v>
      </c>
      <c r="X17" s="12">
        <f t="shared" si="8"/>
        <v>1.9511312451462596E-2</v>
      </c>
      <c r="Y17" s="12">
        <f t="shared" si="9"/>
        <v>-1.2875485374061612E-2</v>
      </c>
      <c r="Z17" s="12">
        <f t="shared" si="10"/>
        <v>7.923375614807146E-3</v>
      </c>
      <c r="AA17" s="39"/>
    </row>
    <row r="18" spans="1:27" ht="15.5">
      <c r="A18" s="8" t="s">
        <v>21</v>
      </c>
      <c r="B18" s="9">
        <v>2018</v>
      </c>
      <c r="C18" s="10">
        <v>1.73</v>
      </c>
      <c r="D18" s="10">
        <v>2.68</v>
      </c>
      <c r="E18" s="10">
        <v>35.99</v>
      </c>
      <c r="F18" s="10">
        <v>23.12</v>
      </c>
      <c r="G18" s="10">
        <v>2.68</v>
      </c>
      <c r="H18" s="10">
        <f t="shared" si="11"/>
        <v>4.806890803000833E-2</v>
      </c>
      <c r="I18" s="10">
        <f t="shared" si="12"/>
        <v>7.4465129202556268E-2</v>
      </c>
      <c r="J18" s="10">
        <f t="shared" si="13"/>
        <v>8.6268656716417915</v>
      </c>
      <c r="K18" s="4">
        <f t="shared" si="0"/>
        <v>-4.1263663123670336</v>
      </c>
      <c r="L18" s="10">
        <f t="shared" si="1"/>
        <v>7.4465129202556268E-2</v>
      </c>
      <c r="M18" s="10">
        <v>2.31</v>
      </c>
      <c r="N18" s="10">
        <v>-1.99</v>
      </c>
      <c r="O18" s="10">
        <v>0.38</v>
      </c>
      <c r="P18" s="11">
        <v>0</v>
      </c>
      <c r="Q18" s="11">
        <f t="shared" si="17"/>
        <v>0.19130000000000003</v>
      </c>
      <c r="R18" s="12">
        <f t="shared" si="2"/>
        <v>6.418449569324812E-2</v>
      </c>
      <c r="S18" s="12">
        <f t="shared" si="3"/>
        <v>-5.5293136982495134E-2</v>
      </c>
      <c r="T18" s="12">
        <f t="shared" si="4"/>
        <v>1.0558488469019172E-2</v>
      </c>
      <c r="U18" s="12">
        <f t="shared" si="15"/>
        <v>0</v>
      </c>
      <c r="V18" s="12">
        <f t="shared" si="6"/>
        <v>0</v>
      </c>
      <c r="W18" s="12">
        <f t="shared" si="7"/>
        <v>0</v>
      </c>
      <c r="X18" s="12">
        <f t="shared" si="8"/>
        <v>1.2278494026118367E-2</v>
      </c>
      <c r="Y18" s="12">
        <f t="shared" si="9"/>
        <v>-1.057757710475132E-2</v>
      </c>
      <c r="Z18" s="12">
        <f t="shared" si="10"/>
        <v>2.0198388441233679E-3</v>
      </c>
      <c r="AA18" s="39"/>
    </row>
    <row r="19" spans="1:27" ht="15.5">
      <c r="A19" s="8" t="s">
        <v>21</v>
      </c>
      <c r="B19" s="9">
        <v>2019</v>
      </c>
      <c r="C19" s="10">
        <v>8.4</v>
      </c>
      <c r="D19" s="10">
        <v>46.72</v>
      </c>
      <c r="E19" s="10">
        <v>258.43</v>
      </c>
      <c r="F19" s="10">
        <v>171.09</v>
      </c>
      <c r="G19" s="10">
        <v>44.5</v>
      </c>
      <c r="H19" s="10">
        <f t="shared" si="11"/>
        <v>3.2503966257787412E-2</v>
      </c>
      <c r="I19" s="10">
        <f t="shared" si="12"/>
        <v>0.18078396470997948</v>
      </c>
      <c r="J19" s="10">
        <f t="shared" si="13"/>
        <v>3.8447191011235957</v>
      </c>
      <c r="K19" s="4">
        <f t="shared" si="0"/>
        <v>-3.4311781257176546</v>
      </c>
      <c r="L19" s="10">
        <f t="shared" si="1"/>
        <v>0.18078396470997948</v>
      </c>
      <c r="M19" s="10">
        <v>-77.86</v>
      </c>
      <c r="N19" s="10">
        <v>11.54</v>
      </c>
      <c r="O19" s="10">
        <v>168.02</v>
      </c>
      <c r="P19" s="11">
        <v>9.7900000000000001E-2</v>
      </c>
      <c r="Q19" s="11">
        <f>4.89%+3.65%+78.95%</f>
        <v>0.87490000000000001</v>
      </c>
      <c r="R19" s="12">
        <f t="shared" si="2"/>
        <v>-0.30128081105134852</v>
      </c>
      <c r="S19" s="12">
        <f t="shared" si="3"/>
        <v>4.4654258406531748E-2</v>
      </c>
      <c r="T19" s="12">
        <f t="shared" si="4"/>
        <v>0.65015671555160004</v>
      </c>
      <c r="U19" s="12">
        <f t="shared" si="15"/>
        <v>-2.9495391401927019E-2</v>
      </c>
      <c r="V19" s="12">
        <f t="shared" si="6"/>
        <v>4.3716518979994585E-3</v>
      </c>
      <c r="W19" s="12">
        <f t="shared" si="7"/>
        <v>6.3650342452501646E-2</v>
      </c>
      <c r="X19" s="12">
        <f t="shared" si="8"/>
        <v>-0.26359058158882481</v>
      </c>
      <c r="Y19" s="12">
        <f t="shared" si="9"/>
        <v>3.9068010679874629E-2</v>
      </c>
      <c r="Z19" s="12">
        <f t="shared" si="10"/>
        <v>0.56882211043609487</v>
      </c>
      <c r="AA19" s="39"/>
    </row>
    <row r="20" spans="1:27" ht="15.5">
      <c r="A20" s="8" t="s">
        <v>21</v>
      </c>
      <c r="B20" s="9">
        <v>2020</v>
      </c>
      <c r="C20" s="10">
        <v>24.73</v>
      </c>
      <c r="D20" s="10">
        <v>46</v>
      </c>
      <c r="E20" s="10">
        <v>282.44</v>
      </c>
      <c r="F20" s="10">
        <v>199.05</v>
      </c>
      <c r="G20" s="10">
        <v>43.08</v>
      </c>
      <c r="H20" s="10">
        <f t="shared" si="11"/>
        <v>8.7558419487324748E-2</v>
      </c>
      <c r="I20" s="10">
        <f t="shared" si="12"/>
        <v>0.16286644951140064</v>
      </c>
      <c r="J20" s="10">
        <f t="shared" si="13"/>
        <v>4.6204735376044574</v>
      </c>
      <c r="K20" s="4">
        <f t="shared" si="0"/>
        <v>-3.7841560196283957</v>
      </c>
      <c r="L20" s="10">
        <f t="shared" si="1"/>
        <v>0.16286644951140064</v>
      </c>
      <c r="M20" s="10">
        <v>23.16</v>
      </c>
      <c r="N20" s="10">
        <v>-29.26</v>
      </c>
      <c r="O20" s="10">
        <v>0</v>
      </c>
      <c r="P20" s="11">
        <f>9.65%</f>
        <v>9.6500000000000002E-2</v>
      </c>
      <c r="Q20" s="11">
        <f t="shared" ref="Q20:Q21" si="18">4.89%</f>
        <v>4.8899999999999999E-2</v>
      </c>
      <c r="R20" s="12">
        <f t="shared" si="2"/>
        <v>8.1999716754000848E-2</v>
      </c>
      <c r="S20" s="12">
        <f t="shared" si="3"/>
        <v>-0.10359722418920833</v>
      </c>
      <c r="T20" s="12">
        <f t="shared" si="4"/>
        <v>0</v>
      </c>
      <c r="U20" s="12">
        <f t="shared" si="15"/>
        <v>7.9129726667610829E-3</v>
      </c>
      <c r="V20" s="12">
        <f t="shared" si="6"/>
        <v>-9.9971321342586048E-3</v>
      </c>
      <c r="W20" s="12">
        <f t="shared" si="7"/>
        <v>0</v>
      </c>
      <c r="X20" s="12">
        <f t="shared" si="8"/>
        <v>4.0097861492706414E-3</v>
      </c>
      <c r="Y20" s="12">
        <f t="shared" si="9"/>
        <v>-5.0659042628522872E-3</v>
      </c>
      <c r="Z20" s="12">
        <f t="shared" si="10"/>
        <v>0</v>
      </c>
      <c r="AA20" s="39"/>
    </row>
    <row r="21" spans="1:27" ht="15.5">
      <c r="A21" s="8" t="s">
        <v>21</v>
      </c>
      <c r="B21" s="9">
        <v>2021</v>
      </c>
      <c r="C21" s="10">
        <v>19.32</v>
      </c>
      <c r="D21" s="10">
        <v>56.75</v>
      </c>
      <c r="E21" s="10">
        <v>312.51</v>
      </c>
      <c r="F21" s="10">
        <v>236.54</v>
      </c>
      <c r="G21" s="10">
        <v>52.75</v>
      </c>
      <c r="H21" s="10">
        <f t="shared" si="11"/>
        <v>6.1822021695305755E-2</v>
      </c>
      <c r="I21" s="10">
        <f t="shared" si="12"/>
        <v>0.18159418898595245</v>
      </c>
      <c r="J21" s="10">
        <f t="shared" si="13"/>
        <v>4.4841706161137438</v>
      </c>
      <c r="K21" s="4">
        <f t="shared" si="0"/>
        <v>-3.5610489028734009</v>
      </c>
      <c r="L21" s="10">
        <f t="shared" si="1"/>
        <v>0.18159418898595245</v>
      </c>
      <c r="M21" s="10">
        <v>13.125999999999999</v>
      </c>
      <c r="N21" s="10">
        <v>-60.67</v>
      </c>
      <c r="O21" s="10">
        <v>0</v>
      </c>
      <c r="P21" s="11">
        <v>0.48899999999999999</v>
      </c>
      <c r="Q21" s="11">
        <f t="shared" si="18"/>
        <v>4.8899999999999999E-2</v>
      </c>
      <c r="R21" s="12">
        <f t="shared" si="2"/>
        <v>4.20018559406099E-2</v>
      </c>
      <c r="S21" s="12">
        <f t="shared" si="3"/>
        <v>-0.19413778759079711</v>
      </c>
      <c r="T21" s="12">
        <f t="shared" si="4"/>
        <v>0</v>
      </c>
      <c r="U21" s="12">
        <f t="shared" si="15"/>
        <v>2.0538907554958241E-2</v>
      </c>
      <c r="V21" s="12">
        <f t="shared" si="6"/>
        <v>-9.4933378131899782E-2</v>
      </c>
      <c r="W21" s="12">
        <f t="shared" si="7"/>
        <v>0</v>
      </c>
      <c r="X21" s="12">
        <f t="shared" si="8"/>
        <v>2.0538907554958239E-3</v>
      </c>
      <c r="Y21" s="12">
        <f t="shared" si="9"/>
        <v>-9.4933378131899782E-3</v>
      </c>
      <c r="Z21" s="12">
        <f t="shared" si="10"/>
        <v>0</v>
      </c>
      <c r="AA21" s="39"/>
    </row>
    <row r="22" spans="1:27" ht="15.5">
      <c r="A22" s="8" t="s">
        <v>22</v>
      </c>
      <c r="B22" s="9">
        <v>2017</v>
      </c>
      <c r="C22" s="10">
        <v>28.22</v>
      </c>
      <c r="D22" s="10">
        <v>230.22</v>
      </c>
      <c r="E22" s="10">
        <v>634.35</v>
      </c>
      <c r="F22" s="10">
        <v>371.42</v>
      </c>
      <c r="G22" s="10">
        <v>226.55</v>
      </c>
      <c r="H22" s="10">
        <f t="shared" si="11"/>
        <v>4.4486482225900521E-2</v>
      </c>
      <c r="I22" s="10">
        <f t="shared" si="12"/>
        <v>0.3629226767557342</v>
      </c>
      <c r="J22" s="10">
        <f t="shared" si="13"/>
        <v>1.6394614875303466</v>
      </c>
      <c r="K22" s="4">
        <f t="shared" si="0"/>
        <v>-2.4380877584589888</v>
      </c>
      <c r="L22" s="10">
        <f t="shared" si="1"/>
        <v>0.3629226767557342</v>
      </c>
      <c r="M22" s="10">
        <v>15.8</v>
      </c>
      <c r="N22" s="10">
        <v>0.54</v>
      </c>
      <c r="O22" s="10">
        <v>-36.340000000000003</v>
      </c>
      <c r="P22" s="11">
        <v>5.7799999999999997E-2</v>
      </c>
      <c r="Q22" s="11">
        <v>3.7000000000000002E-3</v>
      </c>
      <c r="R22" s="12">
        <f t="shared" si="2"/>
        <v>2.4907385512729564E-2</v>
      </c>
      <c r="S22" s="12">
        <f t="shared" si="3"/>
        <v>8.5126507448569401E-4</v>
      </c>
      <c r="T22" s="12">
        <f t="shared" si="4"/>
        <v>-5.7286986679278007E-2</v>
      </c>
      <c r="U22" s="12">
        <f t="shared" si="15"/>
        <v>1.4396468826357687E-3</v>
      </c>
      <c r="V22" s="12">
        <f t="shared" si="6"/>
        <v>4.9203121305273114E-5</v>
      </c>
      <c r="W22" s="12">
        <f t="shared" si="7"/>
        <v>-3.3111878300622686E-3</v>
      </c>
      <c r="X22" s="12">
        <f t="shared" si="8"/>
        <v>9.215732639709939E-5</v>
      </c>
      <c r="Y22" s="12">
        <f t="shared" si="9"/>
        <v>3.1496807755970679E-6</v>
      </c>
      <c r="Z22" s="12">
        <f t="shared" si="10"/>
        <v>-2.1196185071332862E-4</v>
      </c>
      <c r="AA22" s="39"/>
    </row>
    <row r="23" spans="1:27" ht="15.5">
      <c r="A23" s="8" t="s">
        <v>22</v>
      </c>
      <c r="B23" s="9">
        <v>2018</v>
      </c>
      <c r="C23" s="10">
        <v>66.73</v>
      </c>
      <c r="D23" s="10">
        <v>115.87</v>
      </c>
      <c r="E23" s="10">
        <v>535.54999999999995</v>
      </c>
      <c r="F23" s="10">
        <v>266.83999999999997</v>
      </c>
      <c r="G23" s="10">
        <v>110.71</v>
      </c>
      <c r="H23" s="10">
        <f t="shared" si="11"/>
        <v>0.12460087760246477</v>
      </c>
      <c r="I23" s="10">
        <f t="shared" si="12"/>
        <v>0.21635701615161987</v>
      </c>
      <c r="J23" s="10">
        <f t="shared" si="13"/>
        <v>2.4102610423629303</v>
      </c>
      <c r="K23" s="4">
        <f t="shared" si="0"/>
        <v>-3.6371100013163096</v>
      </c>
      <c r="L23" s="10">
        <f t="shared" si="1"/>
        <v>0.21635701615161987</v>
      </c>
      <c r="M23" s="14">
        <v>59.37</v>
      </c>
      <c r="N23" s="10">
        <v>131.24</v>
      </c>
      <c r="O23" s="10">
        <v>-173.9</v>
      </c>
      <c r="P23" s="11">
        <v>3.4099999999999998E-2</v>
      </c>
      <c r="Q23" s="11">
        <v>3.8999999999999998E-3</v>
      </c>
      <c r="R23" s="12">
        <f t="shared" si="2"/>
        <v>0.11085799645224537</v>
      </c>
      <c r="S23" s="12">
        <f t="shared" si="3"/>
        <v>0.24505648398842314</v>
      </c>
      <c r="T23" s="12">
        <f t="shared" si="4"/>
        <v>-0.32471291195966767</v>
      </c>
      <c r="U23" s="12">
        <f t="shared" si="15"/>
        <v>3.7802576790215668E-3</v>
      </c>
      <c r="V23" s="12">
        <f t="shared" si="6"/>
        <v>8.3564261040052282E-3</v>
      </c>
      <c r="W23" s="12">
        <f t="shared" si="7"/>
        <v>-1.1072710297824667E-2</v>
      </c>
      <c r="X23" s="12">
        <f t="shared" si="8"/>
        <v>4.3234618616375689E-4</v>
      </c>
      <c r="Y23" s="12">
        <f t="shared" si="9"/>
        <v>9.5572028755485023E-4</v>
      </c>
      <c r="Z23" s="12">
        <f t="shared" si="10"/>
        <v>-1.2663803566427038E-3</v>
      </c>
      <c r="AA23" s="39"/>
    </row>
    <row r="24" spans="1:27" ht="15.5">
      <c r="A24" s="8" t="s">
        <v>22</v>
      </c>
      <c r="B24" s="9">
        <v>2019</v>
      </c>
      <c r="C24" s="10">
        <v>48.7</v>
      </c>
      <c r="D24" s="10">
        <v>125.32</v>
      </c>
      <c r="E24" s="10">
        <v>538.46</v>
      </c>
      <c r="F24" s="10">
        <v>258.52999999999997</v>
      </c>
      <c r="G24" s="10">
        <v>120.18</v>
      </c>
      <c r="H24" s="10">
        <f t="shared" si="11"/>
        <v>9.0443115551758713E-2</v>
      </c>
      <c r="I24" s="10">
        <f t="shared" si="12"/>
        <v>0.23273780782230805</v>
      </c>
      <c r="J24" s="10">
        <f t="shared" si="13"/>
        <v>2.1511898818439006</v>
      </c>
      <c r="K24" s="4">
        <f t="shared" si="0"/>
        <v>-3.3889932749231337</v>
      </c>
      <c r="L24" s="10">
        <f t="shared" si="1"/>
        <v>0.23273780782230805</v>
      </c>
      <c r="M24" s="10">
        <v>-19.13</v>
      </c>
      <c r="N24" s="10">
        <v>56.99</v>
      </c>
      <c r="O24" s="10">
        <v>-43.37</v>
      </c>
      <c r="P24" s="11">
        <v>2.63E-2</v>
      </c>
      <c r="Q24" s="11">
        <v>2E-3</v>
      </c>
      <c r="R24" s="12">
        <f t="shared" si="2"/>
        <v>-3.5527244363555317E-2</v>
      </c>
      <c r="S24" s="12">
        <f t="shared" si="3"/>
        <v>0.10583887382535379</v>
      </c>
      <c r="T24" s="12">
        <f t="shared" si="4"/>
        <v>-8.0544515841473818E-2</v>
      </c>
      <c r="U24" s="12">
        <f t="shared" si="15"/>
        <v>-9.3436652676150481E-4</v>
      </c>
      <c r="V24" s="12">
        <f t="shared" si="6"/>
        <v>2.7835623816068046E-3</v>
      </c>
      <c r="W24" s="12">
        <f t="shared" si="7"/>
        <v>-2.1183207666307614E-3</v>
      </c>
      <c r="X24" s="12">
        <f t="shared" si="8"/>
        <v>-7.1054488727110635E-5</v>
      </c>
      <c r="Y24" s="12">
        <f t="shared" si="9"/>
        <v>2.1167774765070758E-4</v>
      </c>
      <c r="Z24" s="12">
        <f t="shared" si="10"/>
        <v>-1.6108903168294764E-4</v>
      </c>
      <c r="AA24" s="39"/>
    </row>
    <row r="25" spans="1:27" ht="15.5">
      <c r="A25" s="8" t="s">
        <v>22</v>
      </c>
      <c r="B25" s="9">
        <v>2020</v>
      </c>
      <c r="C25" s="10">
        <v>14.29</v>
      </c>
      <c r="D25" s="10">
        <v>132.99</v>
      </c>
      <c r="E25" s="10">
        <v>543.67999999999995</v>
      </c>
      <c r="F25" s="10">
        <v>258.32</v>
      </c>
      <c r="G25" s="15">
        <v>128.44</v>
      </c>
      <c r="H25" s="10">
        <f t="shared" si="11"/>
        <v>2.628384343731607E-2</v>
      </c>
      <c r="I25" s="10">
        <f t="shared" si="12"/>
        <v>0.24461080047086525</v>
      </c>
      <c r="J25" s="10">
        <f t="shared" si="13"/>
        <v>2.0112114606041733</v>
      </c>
      <c r="K25" s="4">
        <f t="shared" si="0"/>
        <v>-3.0320405786264066</v>
      </c>
      <c r="L25" s="10">
        <f t="shared" si="1"/>
        <v>0.24461080047086525</v>
      </c>
      <c r="M25" s="10">
        <v>9.61</v>
      </c>
      <c r="N25" s="10">
        <v>22.28</v>
      </c>
      <c r="O25" s="10">
        <v>-0.09</v>
      </c>
      <c r="P25" s="11">
        <v>2.63E-2</v>
      </c>
      <c r="Q25" s="11">
        <v>2E-3</v>
      </c>
      <c r="R25" s="12">
        <f t="shared" si="2"/>
        <v>1.767583872866392E-2</v>
      </c>
      <c r="S25" s="12">
        <f t="shared" si="3"/>
        <v>4.0979988228369638E-2</v>
      </c>
      <c r="T25" s="12">
        <f t="shared" si="4"/>
        <v>-1.6553855208946441E-4</v>
      </c>
      <c r="U25" s="12">
        <f t="shared" si="15"/>
        <v>4.6487455856386112E-4</v>
      </c>
      <c r="V25" s="12">
        <f t="shared" si="6"/>
        <v>1.0777736904061216E-3</v>
      </c>
      <c r="W25" s="12">
        <f t="shared" si="7"/>
        <v>-4.3536639199529142E-6</v>
      </c>
      <c r="X25" s="12">
        <f t="shared" si="8"/>
        <v>3.535167745732784E-5</v>
      </c>
      <c r="Y25" s="12">
        <f t="shared" si="9"/>
        <v>8.1959976456739283E-5</v>
      </c>
      <c r="Z25" s="12">
        <f t="shared" si="10"/>
        <v>-3.3107710417892883E-7</v>
      </c>
      <c r="AA25" s="39"/>
    </row>
    <row r="26" spans="1:27" ht="15.5">
      <c r="A26" s="8" t="s">
        <v>22</v>
      </c>
      <c r="B26" s="9">
        <v>2021</v>
      </c>
      <c r="C26" s="10">
        <v>33.79</v>
      </c>
      <c r="D26" s="10">
        <v>175.68</v>
      </c>
      <c r="E26" s="10">
        <v>594.27</v>
      </c>
      <c r="F26" s="10">
        <v>295.33999999999997</v>
      </c>
      <c r="G26" s="10">
        <v>171.51</v>
      </c>
      <c r="H26" s="10">
        <f t="shared" si="11"/>
        <v>5.6859676577986434E-2</v>
      </c>
      <c r="I26" s="10">
        <f t="shared" si="12"/>
        <v>0.29562320157504168</v>
      </c>
      <c r="J26" s="10">
        <f t="shared" si="13"/>
        <v>1.7219987172759605</v>
      </c>
      <c r="K26" s="4">
        <f>-4.3 -4.5*(C26/E26)+5.7*(D26/E26)-0.004*(F26/G25)</f>
        <v>-2.8800140533310801</v>
      </c>
      <c r="L26" s="10">
        <f t="shared" si="1"/>
        <v>0.29562320157504168</v>
      </c>
      <c r="M26" s="10">
        <v>-1.91</v>
      </c>
      <c r="N26" s="10">
        <v>-4.9400000000000004</v>
      </c>
      <c r="O26" s="10">
        <v>18.45</v>
      </c>
      <c r="P26" s="11">
        <v>1.7600000000000001E-2</v>
      </c>
      <c r="Q26" s="11">
        <v>1.6000000000000001E-3</v>
      </c>
      <c r="R26" s="12">
        <f t="shared" si="2"/>
        <v>-3.214027293990947E-3</v>
      </c>
      <c r="S26" s="12">
        <f t="shared" si="3"/>
        <v>-8.3127198074949109E-3</v>
      </c>
      <c r="T26" s="12">
        <f t="shared" si="4"/>
        <v>3.1046494017870664E-2</v>
      </c>
      <c r="U26" s="12">
        <f t="shared" si="15"/>
        <v>-5.6566880374240671E-5</v>
      </c>
      <c r="V26" s="12">
        <f t="shared" si="6"/>
        <v>-1.4630386861191045E-4</v>
      </c>
      <c r="W26" s="12">
        <f t="shared" si="7"/>
        <v>5.4641829471452374E-4</v>
      </c>
      <c r="X26" s="12">
        <f t="shared" si="8"/>
        <v>-5.1424436703855155E-6</v>
      </c>
      <c r="Y26" s="12">
        <f t="shared" si="9"/>
        <v>-1.3300351691991859E-5</v>
      </c>
      <c r="Z26" s="12">
        <f t="shared" si="10"/>
        <v>4.9674390428593067E-5</v>
      </c>
      <c r="AA26" s="39"/>
    </row>
    <row r="27" spans="1:27" ht="15.5">
      <c r="A27" s="8" t="s">
        <v>23</v>
      </c>
      <c r="B27" s="9">
        <v>2017</v>
      </c>
      <c r="C27" s="10">
        <v>230.4</v>
      </c>
      <c r="D27" s="10">
        <v>725.67</v>
      </c>
      <c r="E27" s="10">
        <v>1099.6300000000001</v>
      </c>
      <c r="F27" s="10">
        <v>719.72</v>
      </c>
      <c r="G27" s="10">
        <v>689.29</v>
      </c>
      <c r="H27" s="10">
        <f t="shared" si="11"/>
        <v>0.20952502205287232</v>
      </c>
      <c r="I27" s="10">
        <f t="shared" si="12"/>
        <v>0.65992197375480832</v>
      </c>
      <c r="J27" s="10">
        <f t="shared" si="13"/>
        <v>1.0441468757707206</v>
      </c>
      <c r="K27" s="4">
        <f t="shared" ref="K27:K90" si="19">-4.3 -4.5*(C27/E27)+5.7*(D27/E27)-0.004*(F27/G27)</f>
        <v>-1.4854839363386008</v>
      </c>
      <c r="L27" s="10">
        <f t="shared" si="1"/>
        <v>0.65992197375480832</v>
      </c>
      <c r="M27" s="10">
        <v>149.99</v>
      </c>
      <c r="N27" s="10">
        <v>-26.48</v>
      </c>
      <c r="O27" s="10">
        <v>-113.09</v>
      </c>
      <c r="P27" s="11">
        <v>0.03</v>
      </c>
      <c r="Q27" s="11">
        <v>0.57050000000000001</v>
      </c>
      <c r="R27" s="12">
        <f t="shared" si="2"/>
        <v>0.13640042559770105</v>
      </c>
      <c r="S27" s="12">
        <f t="shared" si="3"/>
        <v>-2.4080827187326643E-2</v>
      </c>
      <c r="T27" s="12">
        <f t="shared" si="4"/>
        <v>-0.1028436837845457</v>
      </c>
      <c r="U27" s="12">
        <f t="shared" si="15"/>
        <v>4.0920127679310312E-3</v>
      </c>
      <c r="V27" s="12">
        <f t="shared" si="6"/>
        <v>-7.2242481561979929E-4</v>
      </c>
      <c r="W27" s="12">
        <f t="shared" si="7"/>
        <v>-3.0853105135363709E-3</v>
      </c>
      <c r="X27" s="12">
        <f t="shared" si="8"/>
        <v>7.7816442803488442E-2</v>
      </c>
      <c r="Y27" s="12">
        <f t="shared" si="9"/>
        <v>-1.373811191036985E-2</v>
      </c>
      <c r="Z27" s="12">
        <f t="shared" si="10"/>
        <v>-5.8672321599083324E-2</v>
      </c>
      <c r="AA27" s="39"/>
    </row>
    <row r="28" spans="1:27" ht="15.5">
      <c r="A28" s="8" t="s">
        <v>23</v>
      </c>
      <c r="B28" s="9">
        <v>2018</v>
      </c>
      <c r="C28" s="10">
        <v>141.71</v>
      </c>
      <c r="D28" s="10">
        <v>784.61</v>
      </c>
      <c r="E28" s="10">
        <v>1343.38</v>
      </c>
      <c r="F28" s="10">
        <v>972.98</v>
      </c>
      <c r="G28" s="10">
        <v>784.61</v>
      </c>
      <c r="H28" s="10">
        <f t="shared" si="11"/>
        <v>0.10548765055308253</v>
      </c>
      <c r="I28" s="10">
        <f t="shared" si="12"/>
        <v>0.58405663326832313</v>
      </c>
      <c r="J28" s="10">
        <f t="shared" si="13"/>
        <v>1.2400810593798193</v>
      </c>
      <c r="K28" s="4">
        <f t="shared" si="19"/>
        <v>-1.4505319420969485</v>
      </c>
      <c r="L28" s="10">
        <f t="shared" si="1"/>
        <v>0.58405663326832313</v>
      </c>
      <c r="M28" s="10">
        <v>158.02000000000001</v>
      </c>
      <c r="N28" s="10">
        <v>-38.28</v>
      </c>
      <c r="O28" s="10">
        <v>-88.64</v>
      </c>
      <c r="P28" s="11">
        <v>0.03</v>
      </c>
      <c r="Q28" s="11">
        <v>0.57050000000000001</v>
      </c>
      <c r="R28" s="12">
        <f t="shared" si="2"/>
        <v>0.11762866798672006</v>
      </c>
      <c r="S28" s="12">
        <f t="shared" si="3"/>
        <v>-2.8495288004883202E-2</v>
      </c>
      <c r="T28" s="12">
        <f t="shared" si="4"/>
        <v>-6.5982819455403532E-2</v>
      </c>
      <c r="U28" s="12">
        <f t="shared" si="15"/>
        <v>3.5288600396016015E-3</v>
      </c>
      <c r="V28" s="12">
        <f t="shared" si="6"/>
        <v>-8.5485864014649604E-4</v>
      </c>
      <c r="W28" s="12">
        <f t="shared" si="7"/>
        <v>-1.9794845836621057E-3</v>
      </c>
      <c r="X28" s="12">
        <f t="shared" si="8"/>
        <v>6.71071550864238E-2</v>
      </c>
      <c r="Y28" s="12">
        <f t="shared" si="9"/>
        <v>-1.6256561806785867E-2</v>
      </c>
      <c r="Z28" s="12">
        <f t="shared" si="10"/>
        <v>-3.7643198499307716E-2</v>
      </c>
      <c r="AA28" s="39"/>
    </row>
    <row r="29" spans="1:27" ht="15.5">
      <c r="A29" s="8" t="s">
        <v>23</v>
      </c>
      <c r="B29" s="9">
        <v>2019</v>
      </c>
      <c r="C29" s="10">
        <v>28.18</v>
      </c>
      <c r="D29" s="10">
        <v>794.91</v>
      </c>
      <c r="E29" s="10">
        <v>1461.19</v>
      </c>
      <c r="F29" s="10">
        <v>1100.6400000000001</v>
      </c>
      <c r="G29" s="10">
        <v>794.91</v>
      </c>
      <c r="H29" s="10">
        <f t="shared" si="11"/>
        <v>1.928565073672828E-2</v>
      </c>
      <c r="I29" s="10">
        <f t="shared" si="12"/>
        <v>0.54401549422046414</v>
      </c>
      <c r="J29" s="10">
        <f t="shared" si="13"/>
        <v>1.3846095784428427</v>
      </c>
      <c r="K29" s="4">
        <f t="shared" si="19"/>
        <v>-1.2914355495724028</v>
      </c>
      <c r="L29" s="10">
        <f t="shared" si="1"/>
        <v>0.54401549422046414</v>
      </c>
      <c r="M29" s="10">
        <v>5.27</v>
      </c>
      <c r="N29" s="10">
        <v>-31.4</v>
      </c>
      <c r="O29" s="10">
        <v>7.78</v>
      </c>
      <c r="P29" s="11">
        <v>2.9100000000000001E-2</v>
      </c>
      <c r="Q29" s="11">
        <v>0.59240000000000004</v>
      </c>
      <c r="R29" s="12">
        <f t="shared" si="2"/>
        <v>3.6066493748246288E-3</v>
      </c>
      <c r="S29" s="12">
        <f t="shared" si="3"/>
        <v>-2.1489334035956993E-2</v>
      </c>
      <c r="T29" s="12">
        <f t="shared" si="4"/>
        <v>5.3244273503103637E-3</v>
      </c>
      <c r="U29" s="12">
        <f t="shared" si="15"/>
        <v>1.049534968073967E-4</v>
      </c>
      <c r="V29" s="12">
        <f t="shared" si="6"/>
        <v>-6.2533962044634852E-4</v>
      </c>
      <c r="W29" s="12">
        <f t="shared" si="7"/>
        <v>1.5494083589403159E-4</v>
      </c>
      <c r="X29" s="12">
        <f t="shared" si="8"/>
        <v>2.1365790896461104E-3</v>
      </c>
      <c r="Y29" s="12">
        <f t="shared" si="9"/>
        <v>-1.2730281482900924E-2</v>
      </c>
      <c r="Z29" s="12">
        <f t="shared" si="10"/>
        <v>3.1541907623238597E-3</v>
      </c>
      <c r="AA29" s="39"/>
    </row>
    <row r="30" spans="1:27" ht="15.5">
      <c r="A30" s="8" t="s">
        <v>23</v>
      </c>
      <c r="B30" s="9">
        <v>2020</v>
      </c>
      <c r="C30" s="10">
        <v>42.09</v>
      </c>
      <c r="D30" s="10">
        <v>965.08</v>
      </c>
      <c r="E30" s="10">
        <v>1659.54</v>
      </c>
      <c r="F30" s="10">
        <v>1320.45</v>
      </c>
      <c r="G30" s="10">
        <v>965.08</v>
      </c>
      <c r="H30" s="10">
        <f t="shared" si="11"/>
        <v>2.5362449835496587E-2</v>
      </c>
      <c r="I30" s="10">
        <f t="shared" si="12"/>
        <v>0.58153464212974681</v>
      </c>
      <c r="J30" s="10">
        <f t="shared" si="13"/>
        <v>1.3682285406391179</v>
      </c>
      <c r="K30" s="4">
        <f t="shared" si="19"/>
        <v>-1.1048564782827346</v>
      </c>
      <c r="L30" s="10">
        <f t="shared" si="1"/>
        <v>0.58153464212974681</v>
      </c>
      <c r="M30" s="10">
        <v>-217.55</v>
      </c>
      <c r="N30" s="10">
        <v>-23.45</v>
      </c>
      <c r="O30" s="10">
        <v>218.45</v>
      </c>
      <c r="P30" s="11">
        <v>2.9399999999999999E-2</v>
      </c>
      <c r="Q30" s="11">
        <v>0.59240000000000004</v>
      </c>
      <c r="R30" s="12">
        <f t="shared" si="2"/>
        <v>-0.13109054316256313</v>
      </c>
      <c r="S30" s="12">
        <f t="shared" si="3"/>
        <v>-1.4130421683117008E-2</v>
      </c>
      <c r="T30" s="12">
        <f t="shared" si="4"/>
        <v>0.13163286211841835</v>
      </c>
      <c r="U30" s="12">
        <f t="shared" si="15"/>
        <v>-3.8540619689793562E-3</v>
      </c>
      <c r="V30" s="12">
        <f t="shared" si="6"/>
        <v>-4.1543439748364003E-4</v>
      </c>
      <c r="W30" s="12">
        <f t="shared" si="7"/>
        <v>3.8700061462814991E-3</v>
      </c>
      <c r="X30" s="12">
        <f t="shared" si="8"/>
        <v>-7.7658037769502405E-2</v>
      </c>
      <c r="Y30" s="12">
        <f t="shared" si="9"/>
        <v>-8.3708618050785163E-3</v>
      </c>
      <c r="Z30" s="12">
        <f t="shared" si="10"/>
        <v>7.7979307518951033E-2</v>
      </c>
      <c r="AA30" s="39"/>
    </row>
    <row r="31" spans="1:27" ht="15.5">
      <c r="A31" s="8" t="s">
        <v>23</v>
      </c>
      <c r="B31" s="9">
        <v>2021</v>
      </c>
      <c r="C31" s="10">
        <v>118.58199999999999</v>
      </c>
      <c r="D31" s="10">
        <v>751.73</v>
      </c>
      <c r="E31" s="10">
        <v>1458.18</v>
      </c>
      <c r="F31" s="10">
        <v>1158.3599999999999</v>
      </c>
      <c r="G31" s="10">
        <v>751.73</v>
      </c>
      <c r="H31" s="10">
        <f t="shared" si="11"/>
        <v>8.1321921847782849E-2</v>
      </c>
      <c r="I31" s="10">
        <f t="shared" si="12"/>
        <v>0.51552620389800985</v>
      </c>
      <c r="J31" s="10">
        <f t="shared" si="13"/>
        <v>1.5409255982866188</v>
      </c>
      <c r="K31" s="4">
        <f t="shared" si="19"/>
        <v>-1.7336129884895126</v>
      </c>
      <c r="L31" s="10">
        <f t="shared" si="1"/>
        <v>0.51552620389800985</v>
      </c>
      <c r="M31" s="10">
        <v>361.84</v>
      </c>
      <c r="N31" s="10">
        <v>-2.62</v>
      </c>
      <c r="O31" s="10">
        <v>-295.48</v>
      </c>
      <c r="P31" s="11">
        <v>2.9600000000000001E-2</v>
      </c>
      <c r="Q31" s="11">
        <v>0.59640000000000004</v>
      </c>
      <c r="R31" s="12">
        <f t="shared" si="2"/>
        <v>0.24814494781165561</v>
      </c>
      <c r="S31" s="12">
        <f t="shared" si="3"/>
        <v>-1.796760345087712E-3</v>
      </c>
      <c r="T31" s="12">
        <f t="shared" si="4"/>
        <v>-0.20263616288798367</v>
      </c>
      <c r="U31" s="12">
        <f t="shared" si="15"/>
        <v>7.3450904552250064E-3</v>
      </c>
      <c r="V31" s="12">
        <f t="shared" si="6"/>
        <v>-5.3184106214596279E-5</v>
      </c>
      <c r="W31" s="12">
        <f t="shared" si="7"/>
        <v>-5.9980304214843167E-3</v>
      </c>
      <c r="X31" s="12">
        <f t="shared" si="8"/>
        <v>0.1479936468748714</v>
      </c>
      <c r="Y31" s="12">
        <f t="shared" si="9"/>
        <v>-1.0715878698103116E-3</v>
      </c>
      <c r="Z31" s="12">
        <f t="shared" si="10"/>
        <v>-0.12085220754639346</v>
      </c>
      <c r="AA31" s="39"/>
    </row>
    <row r="32" spans="1:27" ht="15.5">
      <c r="A32" s="8" t="s">
        <v>24</v>
      </c>
      <c r="B32" s="9">
        <v>2017</v>
      </c>
      <c r="C32" s="10">
        <v>11.26</v>
      </c>
      <c r="D32" s="10">
        <v>358.97</v>
      </c>
      <c r="E32" s="10">
        <v>719.05</v>
      </c>
      <c r="F32" s="10">
        <v>550.61</v>
      </c>
      <c r="G32" s="10">
        <v>352.93</v>
      </c>
      <c r="H32" s="10">
        <f t="shared" si="11"/>
        <v>1.5659550796189418E-2</v>
      </c>
      <c r="I32" s="10">
        <f t="shared" si="12"/>
        <v>0.49922814825116479</v>
      </c>
      <c r="J32" s="10">
        <f t="shared" si="13"/>
        <v>1.5601110701838892</v>
      </c>
      <c r="K32" s="4">
        <f t="shared" si="19"/>
        <v>-1.531107977831949</v>
      </c>
      <c r="L32" s="10">
        <f t="shared" si="1"/>
        <v>0.49922814825116479</v>
      </c>
      <c r="M32" s="10">
        <v>44.85</v>
      </c>
      <c r="N32" s="10">
        <v>-28.41</v>
      </c>
      <c r="O32" s="10">
        <v>-36.1</v>
      </c>
      <c r="P32" s="11">
        <v>6.3100000000000003E-2</v>
      </c>
      <c r="Q32" s="11">
        <v>3.7000000000000002E-3</v>
      </c>
      <c r="R32" s="12">
        <f t="shared" si="2"/>
        <v>6.2373965649120372E-2</v>
      </c>
      <c r="S32" s="12">
        <f t="shared" si="3"/>
        <v>-3.9510465197135108E-2</v>
      </c>
      <c r="T32" s="12">
        <f t="shared" si="4"/>
        <v>-5.0205131771086854E-2</v>
      </c>
      <c r="U32" s="12">
        <f t="shared" si="15"/>
        <v>3.9357972324594957E-3</v>
      </c>
      <c r="V32" s="12">
        <f t="shared" si="6"/>
        <v>-2.4931103539392254E-3</v>
      </c>
      <c r="W32" s="12">
        <f t="shared" si="7"/>
        <v>-3.1679438147555806E-3</v>
      </c>
      <c r="X32" s="12">
        <f t="shared" si="8"/>
        <v>2.3078367290174539E-4</v>
      </c>
      <c r="Y32" s="12">
        <f t="shared" si="9"/>
        <v>-1.4618872122939991E-4</v>
      </c>
      <c r="Z32" s="12">
        <f t="shared" si="10"/>
        <v>-1.8575898755302138E-4</v>
      </c>
      <c r="AA32" s="39"/>
    </row>
    <row r="33" spans="1:27" ht="15.5">
      <c r="A33" s="8" t="s">
        <v>24</v>
      </c>
      <c r="B33" s="9">
        <v>2018</v>
      </c>
      <c r="C33" s="10">
        <v>27.4</v>
      </c>
      <c r="D33" s="10">
        <v>174.6</v>
      </c>
      <c r="E33" s="10">
        <v>551.85</v>
      </c>
      <c r="F33" s="10">
        <v>404.31</v>
      </c>
      <c r="G33" s="10">
        <v>169.16</v>
      </c>
      <c r="H33" s="10">
        <f t="shared" si="11"/>
        <v>4.9651173326084985E-2</v>
      </c>
      <c r="I33" s="10">
        <f t="shared" si="12"/>
        <v>0.31639032345746126</v>
      </c>
      <c r="J33" s="10">
        <f t="shared" si="13"/>
        <v>2.3901040435091039</v>
      </c>
      <c r="K33" s="4">
        <f t="shared" si="19"/>
        <v>-2.7295658524338893</v>
      </c>
      <c r="L33" s="10">
        <f t="shared" si="1"/>
        <v>0.31639032345746126</v>
      </c>
      <c r="M33" s="10">
        <v>106.23</v>
      </c>
      <c r="N33" s="10">
        <v>8.67</v>
      </c>
      <c r="O33" s="10">
        <v>-211.13</v>
      </c>
      <c r="P33" s="11">
        <f t="shared" ref="P33:P34" si="20">8.18%</f>
        <v>8.1799999999999998E-2</v>
      </c>
      <c r="Q33" s="11">
        <v>3.5000000000000001E-3</v>
      </c>
      <c r="R33" s="12">
        <f t="shared" si="2"/>
        <v>0.19249796140255504</v>
      </c>
      <c r="S33" s="12">
        <f t="shared" si="3"/>
        <v>1.5710790975808644E-2</v>
      </c>
      <c r="T33" s="12">
        <f t="shared" si="4"/>
        <v>-0.38258584760351544</v>
      </c>
      <c r="U33" s="12">
        <f t="shared" si="15"/>
        <v>1.5746333242729001E-2</v>
      </c>
      <c r="V33" s="12">
        <f t="shared" si="6"/>
        <v>1.2851427018211472E-3</v>
      </c>
      <c r="W33" s="12">
        <f t="shared" si="7"/>
        <v>-3.1295522333967561E-2</v>
      </c>
      <c r="X33" s="12">
        <f t="shared" si="8"/>
        <v>6.737428649089426E-4</v>
      </c>
      <c r="Y33" s="12">
        <f t="shared" si="9"/>
        <v>5.4987768415330254E-5</v>
      </c>
      <c r="Z33" s="12">
        <f t="shared" si="10"/>
        <v>-1.339050466612304E-3</v>
      </c>
      <c r="AA33" s="39"/>
    </row>
    <row r="34" spans="1:27" ht="15.5">
      <c r="A34" s="8" t="s">
        <v>24</v>
      </c>
      <c r="B34" s="9">
        <v>2019</v>
      </c>
      <c r="C34" s="10">
        <v>40.32</v>
      </c>
      <c r="D34" s="10">
        <v>330.7</v>
      </c>
      <c r="E34" s="10">
        <v>772.06</v>
      </c>
      <c r="F34" s="10">
        <v>591.01</v>
      </c>
      <c r="G34" s="10">
        <v>325.51</v>
      </c>
      <c r="H34" s="10">
        <f t="shared" si="11"/>
        <v>5.2223920420692696E-2</v>
      </c>
      <c r="I34" s="10">
        <f t="shared" si="12"/>
        <v>0.42833458539491753</v>
      </c>
      <c r="J34" s="10">
        <f t="shared" si="13"/>
        <v>1.8156431446038523</v>
      </c>
      <c r="K34" s="4">
        <f t="shared" si="19"/>
        <v>-2.1007630777205017</v>
      </c>
      <c r="L34" s="10">
        <f t="shared" ref="L34:L54" si="21">D34/E34</f>
        <v>0.42833458539491753</v>
      </c>
      <c r="M34" s="10">
        <v>5.84</v>
      </c>
      <c r="N34" s="10">
        <v>-177.98</v>
      </c>
      <c r="O34" s="10">
        <v>168.01</v>
      </c>
      <c r="P34" s="11">
        <f t="shared" si="20"/>
        <v>8.1799999999999998E-2</v>
      </c>
      <c r="Q34" s="11">
        <v>3.0400000000000002E-3</v>
      </c>
      <c r="R34" s="12">
        <f t="shared" si="2"/>
        <v>7.5641789498225526E-3</v>
      </c>
      <c r="S34" s="12">
        <f t="shared" si="3"/>
        <v>-0.23052612491257157</v>
      </c>
      <c r="T34" s="12">
        <f t="shared" si="4"/>
        <v>0.21761262078076835</v>
      </c>
      <c r="U34" s="12">
        <f t="shared" si="15"/>
        <v>6.1874983809548476E-4</v>
      </c>
      <c r="V34" s="12">
        <f t="shared" si="6"/>
        <v>-1.8857037017848355E-2</v>
      </c>
      <c r="W34" s="12">
        <f t="shared" si="7"/>
        <v>1.780071237986685E-2</v>
      </c>
      <c r="X34" s="12">
        <f t="shared" si="8"/>
        <v>2.2995104007460562E-5</v>
      </c>
      <c r="Y34" s="12">
        <f t="shared" si="9"/>
        <v>-7.0079941973421765E-4</v>
      </c>
      <c r="Z34" s="12">
        <f t="shared" si="10"/>
        <v>6.6154236717353581E-4</v>
      </c>
      <c r="AA34" s="39"/>
    </row>
    <row r="35" spans="1:27" ht="15.5">
      <c r="A35" s="8" t="s">
        <v>24</v>
      </c>
      <c r="B35" s="9">
        <v>2020</v>
      </c>
      <c r="C35" s="10">
        <v>24.75</v>
      </c>
      <c r="D35" s="10">
        <v>319.66000000000003</v>
      </c>
      <c r="E35" s="10">
        <v>758.61</v>
      </c>
      <c r="F35" s="10">
        <v>580.88</v>
      </c>
      <c r="G35" s="10">
        <v>315.63</v>
      </c>
      <c r="H35" s="10">
        <f t="shared" si="11"/>
        <v>3.2625459722387E-2</v>
      </c>
      <c r="I35" s="10">
        <f t="shared" si="12"/>
        <v>0.42137593757002945</v>
      </c>
      <c r="J35" s="10">
        <f t="shared" si="13"/>
        <v>1.8403827266102715</v>
      </c>
      <c r="K35" s="4">
        <f t="shared" si="19"/>
        <v>-2.0523332555080147</v>
      </c>
      <c r="L35" s="10">
        <f t="shared" si="21"/>
        <v>0.42137593757002945</v>
      </c>
      <c r="M35" s="10">
        <v>64.260000000000005</v>
      </c>
      <c r="N35" s="10">
        <v>27.91</v>
      </c>
      <c r="O35" s="10">
        <v>-21.32</v>
      </c>
      <c r="P35" s="11">
        <v>6.5000000000000002E-2</v>
      </c>
      <c r="Q35" s="11">
        <v>1.2999999999999999E-3</v>
      </c>
      <c r="R35" s="12">
        <f t="shared" si="2"/>
        <v>8.4707557242852061E-2</v>
      </c>
      <c r="S35" s="12">
        <f t="shared" si="3"/>
        <v>3.6790972963709943E-2</v>
      </c>
      <c r="T35" s="12">
        <f t="shared" si="4"/>
        <v>-2.8104032375001649E-2</v>
      </c>
      <c r="U35" s="12">
        <f t="shared" si="15"/>
        <v>5.5059912207853839E-3</v>
      </c>
      <c r="V35" s="12">
        <f t="shared" si="6"/>
        <v>2.3914132426411465E-3</v>
      </c>
      <c r="W35" s="12">
        <f t="shared" si="7"/>
        <v>-1.8267621043751073E-3</v>
      </c>
      <c r="X35" s="12">
        <f t="shared" si="8"/>
        <v>1.1011982441570768E-4</v>
      </c>
      <c r="Y35" s="12">
        <f t="shared" si="9"/>
        <v>4.7828264852822925E-5</v>
      </c>
      <c r="Z35" s="12">
        <f t="shared" si="10"/>
        <v>-3.6535242087502139E-5</v>
      </c>
      <c r="AA35" s="39"/>
    </row>
    <row r="36" spans="1:27" ht="15.5">
      <c r="A36" s="8" t="s">
        <v>24</v>
      </c>
      <c r="B36" s="9">
        <v>2021</v>
      </c>
      <c r="C36" s="10">
        <v>44.71</v>
      </c>
      <c r="D36" s="10">
        <v>1373.76</v>
      </c>
      <c r="E36" s="10">
        <v>1856.42</v>
      </c>
      <c r="F36" s="10">
        <v>1301.46</v>
      </c>
      <c r="G36" s="10">
        <v>1029.55</v>
      </c>
      <c r="H36" s="10">
        <f t="shared" si="11"/>
        <v>2.4083989614419151E-2</v>
      </c>
      <c r="I36" s="10">
        <f t="shared" si="12"/>
        <v>0.74000495577509395</v>
      </c>
      <c r="J36" s="10">
        <f t="shared" si="13"/>
        <v>1.2641056772376282</v>
      </c>
      <c r="K36" s="4">
        <f t="shared" si="19"/>
        <v>-0.1954061280558011</v>
      </c>
      <c r="L36" s="10">
        <f t="shared" si="21"/>
        <v>0.74000495577509395</v>
      </c>
      <c r="M36" s="10">
        <v>-656.35</v>
      </c>
      <c r="N36" s="10">
        <v>-144.96</v>
      </c>
      <c r="O36" s="10">
        <v>924.93</v>
      </c>
      <c r="P36" s="11">
        <v>6.3200000000000006E-2</v>
      </c>
      <c r="Q36" s="11">
        <v>8.9999999999999998E-4</v>
      </c>
      <c r="R36" s="12">
        <f t="shared" si="2"/>
        <v>-0.35355684597235537</v>
      </c>
      <c r="S36" s="12">
        <f t="shared" si="3"/>
        <v>-7.8085778002822639E-2</v>
      </c>
      <c r="T36" s="12">
        <f t="shared" si="4"/>
        <v>0.49823315844474847</v>
      </c>
      <c r="U36" s="12">
        <f t="shared" si="15"/>
        <v>-2.2344792665452862E-2</v>
      </c>
      <c r="V36" s="12">
        <f t="shared" si="6"/>
        <v>-4.9350211697783914E-3</v>
      </c>
      <c r="W36" s="12">
        <f t="shared" si="7"/>
        <v>3.1488335613708104E-2</v>
      </c>
      <c r="X36" s="12">
        <f t="shared" si="8"/>
        <v>-3.1820116137511981E-4</v>
      </c>
      <c r="Y36" s="12">
        <f t="shared" si="9"/>
        <v>-7.0277200202540369E-5</v>
      </c>
      <c r="Z36" s="12">
        <f t="shared" si="10"/>
        <v>4.4840984260027361E-4</v>
      </c>
      <c r="AA36" s="39"/>
    </row>
    <row r="37" spans="1:27" ht="15.5">
      <c r="A37" s="8" t="s">
        <v>25</v>
      </c>
      <c r="B37" s="9">
        <v>2017</v>
      </c>
      <c r="C37" s="10">
        <v>41.15</v>
      </c>
      <c r="D37" s="10">
        <v>463.2</v>
      </c>
      <c r="E37" s="10">
        <v>1195.56</v>
      </c>
      <c r="F37" s="10">
        <v>583.35</v>
      </c>
      <c r="G37" s="10">
        <v>351.04</v>
      </c>
      <c r="H37" s="10">
        <f t="shared" si="11"/>
        <v>3.4419017029676473E-2</v>
      </c>
      <c r="I37" s="10">
        <f t="shared" si="12"/>
        <v>0.3874335039646693</v>
      </c>
      <c r="J37" s="10">
        <f t="shared" si="13"/>
        <v>1.6617764357338194</v>
      </c>
      <c r="K37" s="4">
        <f t="shared" si="19"/>
        <v>-2.253161709777864</v>
      </c>
      <c r="L37" s="10">
        <f t="shared" si="21"/>
        <v>0.3874335039646693</v>
      </c>
      <c r="M37" s="10">
        <v>9.5399999999999991</v>
      </c>
      <c r="N37" s="10">
        <v>-128.29</v>
      </c>
      <c r="O37" s="10">
        <v>91.1</v>
      </c>
      <c r="P37" s="11">
        <v>3.3999999999999998E-3</v>
      </c>
      <c r="Q37" s="11">
        <v>0</v>
      </c>
      <c r="R37" s="12">
        <f t="shared" si="2"/>
        <v>7.9795242396868415E-3</v>
      </c>
      <c r="S37" s="12">
        <f t="shared" si="3"/>
        <v>-0.10730536317708855</v>
      </c>
      <c r="T37" s="12">
        <f t="shared" si="4"/>
        <v>7.6198601492187754E-2</v>
      </c>
      <c r="U37" s="12">
        <f t="shared" si="15"/>
        <v>2.7130382414935258E-5</v>
      </c>
      <c r="V37" s="12">
        <f t="shared" si="6"/>
        <v>-3.6483823480210108E-4</v>
      </c>
      <c r="W37" s="12">
        <f t="shared" si="7"/>
        <v>2.5907524507343837E-4</v>
      </c>
      <c r="X37" s="12">
        <f t="shared" si="8"/>
        <v>0</v>
      </c>
      <c r="Y37" s="12">
        <f t="shared" si="9"/>
        <v>0</v>
      </c>
      <c r="Z37" s="12">
        <f t="shared" si="10"/>
        <v>0</v>
      </c>
      <c r="AA37" s="39"/>
    </row>
    <row r="38" spans="1:27" ht="15.5">
      <c r="A38" s="8" t="s">
        <v>25</v>
      </c>
      <c r="B38" s="9">
        <v>2018</v>
      </c>
      <c r="C38" s="10">
        <v>47.94</v>
      </c>
      <c r="D38" s="10">
        <v>745.82</v>
      </c>
      <c r="E38" s="10">
        <v>2559.9</v>
      </c>
      <c r="F38" s="10">
        <v>2053.06</v>
      </c>
      <c r="G38" s="10">
        <v>666.14</v>
      </c>
      <c r="H38" s="10">
        <f t="shared" si="11"/>
        <v>1.8727294034923236E-2</v>
      </c>
      <c r="I38" s="10">
        <f t="shared" si="12"/>
        <v>0.29134731825461935</v>
      </c>
      <c r="J38" s="10">
        <f t="shared" si="13"/>
        <v>3.0820247995916774</v>
      </c>
      <c r="K38" s="4">
        <f t="shared" si="19"/>
        <v>-2.7359212083041906</v>
      </c>
      <c r="L38" s="10">
        <f t="shared" si="21"/>
        <v>0.29134731825461935</v>
      </c>
      <c r="M38" s="10">
        <v>-265.98</v>
      </c>
      <c r="N38" s="10">
        <v>-820.3</v>
      </c>
      <c r="O38" s="10">
        <v>1082.6600000000001</v>
      </c>
      <c r="P38" s="11">
        <v>6.6E-3</v>
      </c>
      <c r="Q38" s="11">
        <v>1.1999999999999999E-3</v>
      </c>
      <c r="R38" s="12">
        <f t="shared" si="2"/>
        <v>-0.10390249619125748</v>
      </c>
      <c r="S38" s="12">
        <f t="shared" si="3"/>
        <v>-0.32044220477362395</v>
      </c>
      <c r="T38" s="12">
        <f t="shared" si="4"/>
        <v>0.42293058322590726</v>
      </c>
      <c r="U38" s="12">
        <f t="shared" si="15"/>
        <v>-6.8575647486229937E-4</v>
      </c>
      <c r="V38" s="12">
        <f t="shared" si="6"/>
        <v>-2.1149185515059181E-3</v>
      </c>
      <c r="W38" s="12">
        <f t="shared" si="7"/>
        <v>2.7913418492909879E-3</v>
      </c>
      <c r="X38" s="12">
        <f t="shared" si="8"/>
        <v>-1.2468299542950896E-4</v>
      </c>
      <c r="Y38" s="12">
        <f t="shared" si="9"/>
        <v>-3.8453064572834873E-4</v>
      </c>
      <c r="Z38" s="12">
        <f t="shared" si="10"/>
        <v>5.0751669987108867E-4</v>
      </c>
      <c r="AA38" s="39"/>
    </row>
    <row r="39" spans="1:27" ht="15.5">
      <c r="A39" s="8" t="s">
        <v>25</v>
      </c>
      <c r="B39" s="9">
        <v>2019</v>
      </c>
      <c r="C39" s="10">
        <v>34.130000000000003</v>
      </c>
      <c r="D39" s="10">
        <v>774.68</v>
      </c>
      <c r="E39" s="10">
        <v>2719.46</v>
      </c>
      <c r="F39" s="10">
        <v>1966.1</v>
      </c>
      <c r="G39" s="10">
        <v>703.78</v>
      </c>
      <c r="H39" s="10">
        <f t="shared" si="11"/>
        <v>1.255028571848823E-2</v>
      </c>
      <c r="I39" s="10">
        <f t="shared" si="12"/>
        <v>0.28486537768527576</v>
      </c>
      <c r="J39" s="10">
        <f t="shared" si="13"/>
        <v>2.7936286907840517</v>
      </c>
      <c r="K39" s="4">
        <f t="shared" si="19"/>
        <v>-2.7439181476902612</v>
      </c>
      <c r="L39" s="10">
        <f t="shared" si="21"/>
        <v>0.28486537768527576</v>
      </c>
      <c r="M39" s="10">
        <v>-374.9</v>
      </c>
      <c r="N39" s="10">
        <v>166.56</v>
      </c>
      <c r="O39" s="10">
        <v>183.06</v>
      </c>
      <c r="P39" s="11">
        <v>8.3000000000000001E-3</v>
      </c>
      <c r="Q39" s="11">
        <v>0</v>
      </c>
      <c r="R39" s="12">
        <f t="shared" si="2"/>
        <v>-0.1378582512704728</v>
      </c>
      <c r="S39" s="12">
        <f t="shared" si="3"/>
        <v>6.1247453538570154E-2</v>
      </c>
      <c r="T39" s="12">
        <f t="shared" si="4"/>
        <v>6.7314834562744078E-2</v>
      </c>
      <c r="U39" s="12">
        <f t="shared" si="15"/>
        <v>-1.1442234855449241E-3</v>
      </c>
      <c r="V39" s="12">
        <f t="shared" si="6"/>
        <v>5.0835386437013224E-4</v>
      </c>
      <c r="W39" s="12">
        <f t="shared" si="7"/>
        <v>5.5871312687077589E-4</v>
      </c>
      <c r="X39" s="12">
        <f t="shared" si="8"/>
        <v>0</v>
      </c>
      <c r="Y39" s="12">
        <f t="shared" si="9"/>
        <v>0</v>
      </c>
      <c r="Z39" s="12">
        <f t="shared" si="10"/>
        <v>0</v>
      </c>
      <c r="AA39" s="39"/>
    </row>
    <row r="40" spans="1:27" ht="15.5">
      <c r="A40" s="8" t="s">
        <v>25</v>
      </c>
      <c r="B40" s="9">
        <v>2020</v>
      </c>
      <c r="C40" s="10">
        <v>24.08</v>
      </c>
      <c r="D40" s="10">
        <v>745.62</v>
      </c>
      <c r="E40" s="10">
        <v>2711.45</v>
      </c>
      <c r="F40" s="10">
        <v>2118.48</v>
      </c>
      <c r="G40" s="10">
        <v>714.79</v>
      </c>
      <c r="H40" s="10">
        <f t="shared" si="11"/>
        <v>8.8808571059765078E-3</v>
      </c>
      <c r="I40" s="10">
        <f t="shared" si="12"/>
        <v>0.27498939681720114</v>
      </c>
      <c r="J40" s="10">
        <f t="shared" si="13"/>
        <v>2.9637795716224349</v>
      </c>
      <c r="K40" s="4">
        <f t="shared" si="19"/>
        <v>-2.784379413405337</v>
      </c>
      <c r="L40" s="10">
        <f t="shared" si="21"/>
        <v>0.27498939681720114</v>
      </c>
      <c r="M40" s="10">
        <v>-134.13</v>
      </c>
      <c r="N40" s="10">
        <v>154.38</v>
      </c>
      <c r="O40" s="10">
        <v>-9.81</v>
      </c>
      <c r="P40" s="11">
        <v>8.3000000000000001E-3</v>
      </c>
      <c r="Q40" s="11">
        <v>0</v>
      </c>
      <c r="R40" s="12">
        <f t="shared" si="2"/>
        <v>-4.9467996828265318E-2</v>
      </c>
      <c r="S40" s="12">
        <f t="shared" si="3"/>
        <v>5.693632558225304E-2</v>
      </c>
      <c r="T40" s="12">
        <f t="shared" si="4"/>
        <v>-3.6179903741540508E-3</v>
      </c>
      <c r="U40" s="12">
        <f t="shared" si="15"/>
        <v>-4.1058437367460214E-4</v>
      </c>
      <c r="V40" s="12">
        <f t="shared" si="6"/>
        <v>4.7257150233270026E-4</v>
      </c>
      <c r="W40" s="12">
        <f t="shared" si="7"/>
        <v>-3.0029320105478623E-5</v>
      </c>
      <c r="X40" s="12">
        <f t="shared" si="8"/>
        <v>0</v>
      </c>
      <c r="Y40" s="12">
        <f t="shared" si="9"/>
        <v>0</v>
      </c>
      <c r="Z40" s="12">
        <f t="shared" si="10"/>
        <v>0</v>
      </c>
      <c r="AA40" s="39"/>
    </row>
    <row r="41" spans="1:27" ht="15.5">
      <c r="A41" s="8" t="s">
        <v>25</v>
      </c>
      <c r="B41" s="9">
        <v>2021</v>
      </c>
      <c r="C41" s="10">
        <v>11.11</v>
      </c>
      <c r="D41" s="10">
        <v>620.19000000000005</v>
      </c>
      <c r="E41" s="10">
        <v>2597.14</v>
      </c>
      <c r="F41" s="10">
        <v>2026.59</v>
      </c>
      <c r="G41" s="10">
        <v>603.27</v>
      </c>
      <c r="H41" s="10">
        <f t="shared" si="11"/>
        <v>4.2777824838091134E-3</v>
      </c>
      <c r="I41" s="10">
        <f t="shared" si="12"/>
        <v>0.2387972924062623</v>
      </c>
      <c r="J41" s="10">
        <f t="shared" si="13"/>
        <v>3.3593415883435278</v>
      </c>
      <c r="K41" s="4">
        <f t="shared" si="19"/>
        <v>-2.97154282081482</v>
      </c>
      <c r="L41" s="10">
        <f t="shared" si="21"/>
        <v>0.2387972924062623</v>
      </c>
      <c r="M41" s="10">
        <v>-29.32</v>
      </c>
      <c r="N41" s="10">
        <v>31.1</v>
      </c>
      <c r="O41" s="10">
        <v>-6.85</v>
      </c>
      <c r="P41" s="11">
        <v>4.7000000000000002E-3</v>
      </c>
      <c r="Q41" s="11">
        <v>0</v>
      </c>
      <c r="R41" s="12">
        <f t="shared" si="2"/>
        <v>-1.1289341352410729E-2</v>
      </c>
      <c r="S41" s="12">
        <f t="shared" si="3"/>
        <v>1.1974710643246034E-2</v>
      </c>
      <c r="T41" s="12">
        <f t="shared" si="4"/>
        <v>-2.6375166529336116E-3</v>
      </c>
      <c r="U41" s="12">
        <f t="shared" si="15"/>
        <v>-5.3059904356330424E-5</v>
      </c>
      <c r="V41" s="12">
        <f t="shared" si="6"/>
        <v>5.6281140023256362E-5</v>
      </c>
      <c r="W41" s="12">
        <f t="shared" si="7"/>
        <v>-1.2396328268787974E-5</v>
      </c>
      <c r="X41" s="12">
        <f t="shared" si="8"/>
        <v>0</v>
      </c>
      <c r="Y41" s="12">
        <f t="shared" si="9"/>
        <v>0</v>
      </c>
      <c r="Z41" s="12">
        <f t="shared" si="10"/>
        <v>0</v>
      </c>
      <c r="AA41" s="39"/>
    </row>
    <row r="42" spans="1:27" ht="15.5">
      <c r="A42" s="8" t="s">
        <v>26</v>
      </c>
      <c r="B42" s="9">
        <v>2017</v>
      </c>
      <c r="C42" s="10">
        <v>144</v>
      </c>
      <c r="D42" s="10">
        <v>1308.3499999999999</v>
      </c>
      <c r="E42" s="10">
        <v>2702.31</v>
      </c>
      <c r="F42" s="10">
        <v>1317.06</v>
      </c>
      <c r="G42" s="10">
        <v>1232.27</v>
      </c>
      <c r="H42" s="10">
        <f t="shared" si="11"/>
        <v>5.3287742709015623E-2</v>
      </c>
      <c r="I42" s="10">
        <f t="shared" si="12"/>
        <v>0.48415984842597626</v>
      </c>
      <c r="J42" s="10">
        <f t="shared" si="13"/>
        <v>1.0688079722788024</v>
      </c>
      <c r="K42" s="4">
        <f t="shared" si="19"/>
        <v>-1.7843589380516209</v>
      </c>
      <c r="L42" s="10">
        <f t="shared" si="21"/>
        <v>0.48415984842597626</v>
      </c>
      <c r="M42" s="10">
        <v>745.73</v>
      </c>
      <c r="N42" s="10">
        <v>-375.46</v>
      </c>
      <c r="O42" s="10">
        <v>-366.15</v>
      </c>
      <c r="P42" s="11">
        <v>1.41E-2</v>
      </c>
      <c r="Q42" s="11">
        <v>0.72889999999999999</v>
      </c>
      <c r="R42" s="12">
        <f t="shared" si="2"/>
        <v>0.27596019701662655</v>
      </c>
      <c r="S42" s="12">
        <f t="shared" si="3"/>
        <v>-0.13894038803838196</v>
      </c>
      <c r="T42" s="12">
        <f t="shared" si="4"/>
        <v>-0.13549518745073658</v>
      </c>
      <c r="U42" s="12">
        <f t="shared" si="15"/>
        <v>3.8910387779344342E-3</v>
      </c>
      <c r="V42" s="12">
        <f t="shared" si="6"/>
        <v>-1.9590594713411857E-3</v>
      </c>
      <c r="W42" s="12">
        <f t="shared" si="7"/>
        <v>-1.9104821430553857E-3</v>
      </c>
      <c r="X42" s="12">
        <f t="shared" si="8"/>
        <v>0.20114738760541909</v>
      </c>
      <c r="Y42" s="12">
        <f t="shared" si="9"/>
        <v>-0.10127364884117661</v>
      </c>
      <c r="Z42" s="12">
        <f t="shared" si="10"/>
        <v>-9.8762442132841896E-2</v>
      </c>
      <c r="AA42" s="39"/>
    </row>
    <row r="43" spans="1:27" ht="15.5">
      <c r="A43" s="8" t="s">
        <v>26</v>
      </c>
      <c r="B43" s="9">
        <v>2018</v>
      </c>
      <c r="C43" s="10">
        <v>604.07000000000005</v>
      </c>
      <c r="D43" s="10">
        <v>1577.09</v>
      </c>
      <c r="E43" s="10">
        <v>3425.07</v>
      </c>
      <c r="F43" s="10">
        <v>2090.12</v>
      </c>
      <c r="G43" s="10">
        <v>1567.56</v>
      </c>
      <c r="H43" s="10">
        <f t="shared" si="11"/>
        <v>0.17636719833463257</v>
      </c>
      <c r="I43" s="10">
        <f t="shared" si="12"/>
        <v>0.46045482282113936</v>
      </c>
      <c r="J43" s="10">
        <f t="shared" si="13"/>
        <v>1.3333588506978999</v>
      </c>
      <c r="K43" s="4">
        <f t="shared" si="19"/>
        <v>-2.4743933378281429</v>
      </c>
      <c r="L43" s="10">
        <f t="shared" si="21"/>
        <v>0.46045482282113936</v>
      </c>
      <c r="M43" s="10">
        <v>721.03</v>
      </c>
      <c r="N43" s="10">
        <v>-684.86</v>
      </c>
      <c r="O43" s="10">
        <v>7.12</v>
      </c>
      <c r="P43" s="11">
        <v>2.7099999999999999E-2</v>
      </c>
      <c r="Q43" s="11">
        <v>0.77</v>
      </c>
      <c r="R43" s="12">
        <f t="shared" si="2"/>
        <v>0.21051540552455861</v>
      </c>
      <c r="S43" s="12">
        <f t="shared" si="3"/>
        <v>-0.19995503741529369</v>
      </c>
      <c r="T43" s="12">
        <f t="shared" si="4"/>
        <v>2.0787896305768934E-3</v>
      </c>
      <c r="U43" s="12">
        <f t="shared" si="15"/>
        <v>5.7049674897155381E-3</v>
      </c>
      <c r="V43" s="12">
        <f t="shared" si="6"/>
        <v>-5.418781513954459E-3</v>
      </c>
      <c r="W43" s="12">
        <f t="shared" si="7"/>
        <v>5.6335198988633807E-5</v>
      </c>
      <c r="X43" s="12">
        <f t="shared" si="8"/>
        <v>0.16209686225391012</v>
      </c>
      <c r="Y43" s="12">
        <f t="shared" si="9"/>
        <v>-0.15396537880977615</v>
      </c>
      <c r="Z43" s="12">
        <f t="shared" si="10"/>
        <v>1.600668015544208E-3</v>
      </c>
      <c r="AA43" s="39"/>
    </row>
    <row r="44" spans="1:27" ht="15.5">
      <c r="A44" s="8" t="s">
        <v>26</v>
      </c>
      <c r="B44" s="9">
        <v>2019</v>
      </c>
      <c r="C44" s="10">
        <v>704.04</v>
      </c>
      <c r="D44" s="14">
        <v>1748.54</v>
      </c>
      <c r="E44" s="10">
        <v>4134.6000000000004</v>
      </c>
      <c r="F44" s="10">
        <v>2690.49</v>
      </c>
      <c r="G44" s="10">
        <v>1728.26</v>
      </c>
      <c r="H44" s="10">
        <f t="shared" si="11"/>
        <v>0.17028007546074589</v>
      </c>
      <c r="I44" s="10">
        <f t="shared" si="12"/>
        <v>0.42290427127170699</v>
      </c>
      <c r="J44" s="10">
        <f t="shared" si="13"/>
        <v>1.5567622927105873</v>
      </c>
      <c r="K44" s="4">
        <f t="shared" si="19"/>
        <v>-2.6619330424954684</v>
      </c>
      <c r="L44" s="10">
        <f t="shared" si="21"/>
        <v>0.42290427127170699</v>
      </c>
      <c r="M44" s="10">
        <v>327.79</v>
      </c>
      <c r="N44" s="10">
        <v>-252.09</v>
      </c>
      <c r="O44" s="10">
        <v>-120.14</v>
      </c>
      <c r="P44" s="11">
        <v>1.26E-2</v>
      </c>
      <c r="Q44" s="11">
        <v>0.7833</v>
      </c>
      <c r="R44" s="12">
        <f t="shared" si="2"/>
        <v>7.9279736854834804E-2</v>
      </c>
      <c r="S44" s="12">
        <f t="shared" si="3"/>
        <v>-6.0970831519373089E-2</v>
      </c>
      <c r="T44" s="12">
        <f t="shared" si="4"/>
        <v>-2.9057224398974506E-2</v>
      </c>
      <c r="U44" s="12">
        <f t="shared" si="15"/>
        <v>9.9892468437091844E-4</v>
      </c>
      <c r="V44" s="12">
        <f t="shared" si="6"/>
        <v>-7.6823247714410091E-4</v>
      </c>
      <c r="W44" s="12">
        <f t="shared" si="7"/>
        <v>-3.661210274270788E-4</v>
      </c>
      <c r="X44" s="12">
        <f t="shared" si="8"/>
        <v>6.2099817878392104E-2</v>
      </c>
      <c r="Y44" s="12">
        <f t="shared" si="9"/>
        <v>-4.7758452329124942E-2</v>
      </c>
      <c r="Z44" s="12">
        <f t="shared" si="10"/>
        <v>-2.2760523871716731E-2</v>
      </c>
      <c r="AA44" s="39"/>
    </row>
    <row r="45" spans="1:27" ht="15.5">
      <c r="A45" s="8" t="s">
        <v>26</v>
      </c>
      <c r="B45" s="9">
        <v>2020</v>
      </c>
      <c r="C45" s="10">
        <v>202.17</v>
      </c>
      <c r="D45" s="10">
        <v>2500.11</v>
      </c>
      <c r="E45" s="10">
        <v>4834.08</v>
      </c>
      <c r="F45" s="10">
        <v>2783.81</v>
      </c>
      <c r="G45" s="10">
        <v>2338.9899999999998</v>
      </c>
      <c r="H45" s="10">
        <f t="shared" si="11"/>
        <v>4.1821815112699827E-2</v>
      </c>
      <c r="I45" s="10">
        <f t="shared" si="12"/>
        <v>0.51718424188263334</v>
      </c>
      <c r="J45" s="10">
        <f t="shared" si="13"/>
        <v>1.1901761016507126</v>
      </c>
      <c r="K45" s="4">
        <f t="shared" si="19"/>
        <v>-1.5450086936827421</v>
      </c>
      <c r="L45" s="10">
        <f t="shared" si="21"/>
        <v>0.51718424188263334</v>
      </c>
      <c r="M45" s="10">
        <v>-29.53</v>
      </c>
      <c r="N45" s="10">
        <v>-205.38</v>
      </c>
      <c r="O45" s="10">
        <v>254.26</v>
      </c>
      <c r="P45" s="11">
        <v>1.32E-2</v>
      </c>
      <c r="Q45" s="11">
        <v>0.83640000000000003</v>
      </c>
      <c r="R45" s="12">
        <f t="shared" si="2"/>
        <v>-6.1087114818124651E-3</v>
      </c>
      <c r="S45" s="12">
        <f t="shared" si="3"/>
        <v>-4.2485850461721777E-2</v>
      </c>
      <c r="T45" s="12">
        <f t="shared" si="4"/>
        <v>5.2597391851189883E-2</v>
      </c>
      <c r="U45" s="12">
        <f t="shared" si="15"/>
        <v>-8.0634991559924542E-5</v>
      </c>
      <c r="V45" s="12">
        <f t="shared" si="6"/>
        <v>-5.6081322609472743E-4</v>
      </c>
      <c r="W45" s="12">
        <f t="shared" si="7"/>
        <v>6.9428557243570647E-4</v>
      </c>
      <c r="X45" s="12">
        <f t="shared" si="8"/>
        <v>-5.1093262833879459E-3</v>
      </c>
      <c r="Y45" s="12">
        <f t="shared" si="9"/>
        <v>-3.5535165326184094E-2</v>
      </c>
      <c r="Z45" s="12">
        <f t="shared" si="10"/>
        <v>4.3992458544335221E-2</v>
      </c>
      <c r="AA45" s="39"/>
    </row>
    <row r="46" spans="1:27" ht="15.5">
      <c r="A46" s="8" t="s">
        <v>26</v>
      </c>
      <c r="B46" s="9">
        <v>2021</v>
      </c>
      <c r="C46" s="10">
        <v>128.74</v>
      </c>
      <c r="D46" s="10">
        <v>2551.59</v>
      </c>
      <c r="E46" s="10">
        <v>4877.18</v>
      </c>
      <c r="F46" s="10">
        <v>4887.18</v>
      </c>
      <c r="G46" s="10">
        <v>2336.52</v>
      </c>
      <c r="H46" s="10">
        <f t="shared" si="11"/>
        <v>2.6396401199053551E-2</v>
      </c>
      <c r="I46" s="10">
        <f t="shared" si="12"/>
        <v>0.52316912642141566</v>
      </c>
      <c r="J46" s="10">
        <f t="shared" si="13"/>
        <v>2.0916491192029172</v>
      </c>
      <c r="K46" s="4">
        <f t="shared" si="19"/>
        <v>-1.4450863812704831</v>
      </c>
      <c r="L46" s="10">
        <f t="shared" si="21"/>
        <v>0.52316912642141566</v>
      </c>
      <c r="M46" s="10">
        <v>250.47</v>
      </c>
      <c r="N46" s="10">
        <v>-300.33</v>
      </c>
      <c r="O46" s="10">
        <v>48.83</v>
      </c>
      <c r="P46" s="11">
        <v>1.52E-2</v>
      </c>
      <c r="Q46" s="11">
        <v>0.56740000000000002</v>
      </c>
      <c r="R46" s="12">
        <f t="shared" si="2"/>
        <v>5.1355496413911315E-2</v>
      </c>
      <c r="S46" s="12">
        <f t="shared" si="3"/>
        <v>-6.1578617151714712E-2</v>
      </c>
      <c r="T46" s="12">
        <f t="shared" si="4"/>
        <v>1.0011933125289613E-2</v>
      </c>
      <c r="U46" s="12">
        <f t="shared" si="15"/>
        <v>7.8060354549145197E-4</v>
      </c>
      <c r="V46" s="12">
        <f t="shared" si="6"/>
        <v>-9.3599498070606366E-4</v>
      </c>
      <c r="W46" s="12">
        <f t="shared" si="7"/>
        <v>1.521813835044021E-4</v>
      </c>
      <c r="X46" s="12">
        <f t="shared" si="8"/>
        <v>2.913910866525328E-2</v>
      </c>
      <c r="Y46" s="12">
        <f t="shared" si="9"/>
        <v>-3.4939707371882928E-2</v>
      </c>
      <c r="Z46" s="12">
        <f t="shared" si="10"/>
        <v>5.6807708552893263E-3</v>
      </c>
      <c r="AA46" s="39"/>
    </row>
    <row r="47" spans="1:27" ht="15.5">
      <c r="A47" s="8" t="s">
        <v>27</v>
      </c>
      <c r="B47" s="9">
        <v>2017</v>
      </c>
      <c r="C47" s="10">
        <v>66.3</v>
      </c>
      <c r="D47" s="10">
        <v>30.01</v>
      </c>
      <c r="E47" s="10">
        <v>300.79000000000002</v>
      </c>
      <c r="F47" s="10">
        <v>113.99</v>
      </c>
      <c r="G47" s="10">
        <v>27.62</v>
      </c>
      <c r="H47" s="10">
        <f t="shared" si="11"/>
        <v>0.22041956182053923</v>
      </c>
      <c r="I47" s="10">
        <f t="shared" si="12"/>
        <v>9.977060407593337E-2</v>
      </c>
      <c r="J47" s="10">
        <f t="shared" si="13"/>
        <v>4.1270818247646632</v>
      </c>
      <c r="K47" s="4">
        <f t="shared" si="19"/>
        <v>-4.7397039122586655</v>
      </c>
      <c r="L47" s="10">
        <f t="shared" si="21"/>
        <v>9.977060407593337E-2</v>
      </c>
      <c r="M47" s="10">
        <v>9.52</v>
      </c>
      <c r="N47" s="10">
        <v>-1.74</v>
      </c>
      <c r="O47" s="10">
        <v>-9.9</v>
      </c>
      <c r="P47" s="11">
        <v>5.9400000000000001E-2</v>
      </c>
      <c r="Q47" s="11">
        <v>0.30980000000000002</v>
      </c>
      <c r="R47" s="12">
        <f t="shared" si="2"/>
        <v>3.1649988363974861E-2</v>
      </c>
      <c r="S47" s="12">
        <f t="shared" si="3"/>
        <v>-5.7847667808105319E-3</v>
      </c>
      <c r="T47" s="12">
        <f t="shared" si="4"/>
        <v>-3.2913328235646133E-2</v>
      </c>
      <c r="U47" s="12">
        <f t="shared" si="15"/>
        <v>1.8800093088201068E-3</v>
      </c>
      <c r="V47" s="12">
        <f t="shared" si="6"/>
        <v>-3.4361514678014562E-4</v>
      </c>
      <c r="W47" s="12">
        <f t="shared" si="7"/>
        <v>-1.9550516971973803E-3</v>
      </c>
      <c r="X47" s="12">
        <f t="shared" si="8"/>
        <v>9.8051663951594127E-3</v>
      </c>
      <c r="Y47" s="12">
        <f t="shared" si="9"/>
        <v>-1.792120748695103E-3</v>
      </c>
      <c r="Z47" s="12">
        <f t="shared" si="10"/>
        <v>-1.0196549087403172E-2</v>
      </c>
      <c r="AA47" s="39"/>
    </row>
    <row r="48" spans="1:27" ht="15.5">
      <c r="A48" s="8" t="s">
        <v>27</v>
      </c>
      <c r="B48" s="9">
        <v>2018</v>
      </c>
      <c r="C48" s="10">
        <v>74.400000000000006</v>
      </c>
      <c r="D48" s="10">
        <v>31.26</v>
      </c>
      <c r="E48" s="10">
        <v>371.23</v>
      </c>
      <c r="F48" s="10">
        <v>168.52</v>
      </c>
      <c r="G48" s="10">
        <v>31.26</v>
      </c>
      <c r="H48" s="10">
        <f t="shared" si="11"/>
        <v>0.20041483716294481</v>
      </c>
      <c r="I48" s="10">
        <f t="shared" si="12"/>
        <v>8.420655658217277E-2</v>
      </c>
      <c r="J48" s="10">
        <f t="shared" si="13"/>
        <v>5.3909149072296865</v>
      </c>
      <c r="K48" s="4">
        <f t="shared" si="19"/>
        <v>-4.7434530543437861</v>
      </c>
      <c r="L48" s="10">
        <f t="shared" si="21"/>
        <v>8.420655658217277E-2</v>
      </c>
      <c r="M48" s="10">
        <v>90</v>
      </c>
      <c r="N48" s="10">
        <v>-68.099999999999994</v>
      </c>
      <c r="O48" s="10">
        <v>-3.59</v>
      </c>
      <c r="P48" s="11">
        <v>0.10050000000000001</v>
      </c>
      <c r="Q48" s="11">
        <v>0.375</v>
      </c>
      <c r="R48" s="12">
        <f t="shared" si="2"/>
        <v>0.2424373030196913</v>
      </c>
      <c r="S48" s="12">
        <f t="shared" si="3"/>
        <v>-0.1834442259515664</v>
      </c>
      <c r="T48" s="12">
        <f t="shared" si="4"/>
        <v>-9.6705546426743526E-3</v>
      </c>
      <c r="U48" s="12">
        <f t="shared" si="15"/>
        <v>2.4364948953478977E-2</v>
      </c>
      <c r="V48" s="12">
        <f t="shared" si="6"/>
        <v>-1.8436144708132426E-2</v>
      </c>
      <c r="W48" s="12">
        <f t="shared" si="7"/>
        <v>-9.7189074158877248E-4</v>
      </c>
      <c r="X48" s="12">
        <f t="shared" si="8"/>
        <v>9.0913988632384229E-2</v>
      </c>
      <c r="Y48" s="12">
        <f t="shared" si="9"/>
        <v>-6.8791584731837399E-2</v>
      </c>
      <c r="Z48" s="12">
        <f t="shared" si="10"/>
        <v>-3.6264579910028822E-3</v>
      </c>
      <c r="AA48" s="39"/>
    </row>
    <row r="49" spans="1:27" ht="15.5">
      <c r="A49" s="8" t="s">
        <v>27</v>
      </c>
      <c r="B49" s="9">
        <v>2019</v>
      </c>
      <c r="C49" s="10">
        <v>55.97</v>
      </c>
      <c r="D49" s="10">
        <v>95.47</v>
      </c>
      <c r="E49" s="10">
        <v>1023.64</v>
      </c>
      <c r="F49" s="10">
        <v>266.52</v>
      </c>
      <c r="G49" s="10">
        <v>95.47</v>
      </c>
      <c r="H49" s="10">
        <f t="shared" si="11"/>
        <v>5.4677425657457701E-2</v>
      </c>
      <c r="I49" s="10">
        <f t="shared" si="12"/>
        <v>9.3265210425540229E-2</v>
      </c>
      <c r="J49" s="10">
        <f t="shared" si="13"/>
        <v>2.791662302293914</v>
      </c>
      <c r="K49" s="4">
        <f t="shared" si="19"/>
        <v>-4.0256033652421559</v>
      </c>
      <c r="L49" s="10">
        <f t="shared" si="21"/>
        <v>9.3265210425540229E-2</v>
      </c>
      <c r="M49" s="10">
        <v>42.34</v>
      </c>
      <c r="N49" s="10">
        <v>-443.62</v>
      </c>
      <c r="O49" s="10">
        <v>574.94000000000005</v>
      </c>
      <c r="P49" s="11">
        <v>0.16550000000000001</v>
      </c>
      <c r="Q49" s="11">
        <v>0.43990000000000001</v>
      </c>
      <c r="R49" s="12">
        <f t="shared" si="2"/>
        <v>4.1362197647610489E-2</v>
      </c>
      <c r="S49" s="12">
        <f t="shared" si="3"/>
        <v>-0.43337501465358919</v>
      </c>
      <c r="T49" s="12">
        <f t="shared" si="4"/>
        <v>0.56166230315345245</v>
      </c>
      <c r="U49" s="12">
        <f t="shared" si="15"/>
        <v>6.8454437106795366E-3</v>
      </c>
      <c r="V49" s="12">
        <f t="shared" si="6"/>
        <v>-7.1723564925169014E-2</v>
      </c>
      <c r="W49" s="12">
        <f t="shared" si="7"/>
        <v>9.2955111171896379E-2</v>
      </c>
      <c r="X49" s="12">
        <f t="shared" si="8"/>
        <v>1.8195230745183855E-2</v>
      </c>
      <c r="Y49" s="12">
        <f t="shared" si="9"/>
        <v>-0.1906416689461139</v>
      </c>
      <c r="Z49" s="12">
        <f t="shared" si="10"/>
        <v>0.24707524715720375</v>
      </c>
      <c r="AA49" s="39"/>
    </row>
    <row r="50" spans="1:27" ht="15.5">
      <c r="A50" s="8" t="s">
        <v>27</v>
      </c>
      <c r="B50" s="9">
        <v>2020</v>
      </c>
      <c r="C50" s="10">
        <v>45.58</v>
      </c>
      <c r="D50" s="10">
        <v>35.479999999999997</v>
      </c>
      <c r="E50" s="10">
        <v>1012.1</v>
      </c>
      <c r="F50" s="10">
        <v>203.42</v>
      </c>
      <c r="G50" s="10">
        <v>35.479999999999997</v>
      </c>
      <c r="H50" s="10">
        <f t="shared" si="11"/>
        <v>4.5035075585416459E-2</v>
      </c>
      <c r="I50" s="10">
        <f t="shared" si="12"/>
        <v>3.5055824523268449E-2</v>
      </c>
      <c r="J50" s="10">
        <f t="shared" si="13"/>
        <v>5.7333709131905302</v>
      </c>
      <c r="K50" s="4">
        <f t="shared" si="19"/>
        <v>-4.3257731240045061</v>
      </c>
      <c r="L50" s="10">
        <f t="shared" si="21"/>
        <v>3.5055824523268449E-2</v>
      </c>
      <c r="M50" s="10">
        <v>23.8</v>
      </c>
      <c r="N50" s="10">
        <v>-116.6</v>
      </c>
      <c r="O50" s="10">
        <v>-35.92</v>
      </c>
      <c r="P50" s="11">
        <v>0.1419</v>
      </c>
      <c r="Q50" s="11">
        <v>0.44479999999999997</v>
      </c>
      <c r="R50" s="12">
        <f t="shared" si="2"/>
        <v>2.3515462898923031E-2</v>
      </c>
      <c r="S50" s="12">
        <f t="shared" si="3"/>
        <v>-0.11520600731153047</v>
      </c>
      <c r="T50" s="12">
        <f t="shared" si="4"/>
        <v>-3.549056417350064E-2</v>
      </c>
      <c r="U50" s="12">
        <f t="shared" si="15"/>
        <v>3.3368441853571778E-3</v>
      </c>
      <c r="V50" s="12">
        <f t="shared" si="6"/>
        <v>-1.6347732437506174E-2</v>
      </c>
      <c r="W50" s="12">
        <f t="shared" si="7"/>
        <v>-5.0361110562197409E-3</v>
      </c>
      <c r="X50" s="12">
        <f t="shared" si="8"/>
        <v>1.0459677897440964E-2</v>
      </c>
      <c r="Y50" s="12">
        <f t="shared" si="9"/>
        <v>-5.1243632052168746E-2</v>
      </c>
      <c r="Z50" s="12">
        <f t="shared" si="10"/>
        <v>-1.5786202944373082E-2</v>
      </c>
      <c r="AA50" s="39"/>
    </row>
    <row r="51" spans="1:27" ht="15.5">
      <c r="A51" s="8" t="s">
        <v>27</v>
      </c>
      <c r="B51" s="9">
        <v>2021</v>
      </c>
      <c r="C51" s="10">
        <v>-1.6</v>
      </c>
      <c r="D51" s="10">
        <v>43.22</v>
      </c>
      <c r="E51" s="10">
        <v>999.85</v>
      </c>
      <c r="F51" s="10">
        <v>219.81</v>
      </c>
      <c r="G51" s="10">
        <v>43.22</v>
      </c>
      <c r="H51" s="10">
        <f t="shared" si="11"/>
        <v>-1.6002400360054009E-3</v>
      </c>
      <c r="I51" s="10">
        <f t="shared" si="12"/>
        <v>4.3226483972595889E-2</v>
      </c>
      <c r="J51" s="10">
        <f t="shared" si="13"/>
        <v>5.0858398889403054</v>
      </c>
      <c r="K51" s="4">
        <f t="shared" si="19"/>
        <v>-4.0667513207499413</v>
      </c>
      <c r="L51" s="10">
        <f t="shared" si="21"/>
        <v>4.3226483972595889E-2</v>
      </c>
      <c r="M51" s="10">
        <v>-31.61</v>
      </c>
      <c r="N51" s="10">
        <v>-27.65</v>
      </c>
      <c r="O51" s="16">
        <v>0</v>
      </c>
      <c r="P51" s="11">
        <v>0.15659999999999999</v>
      </c>
      <c r="Q51" s="11">
        <v>0.44479999999999997</v>
      </c>
      <c r="R51" s="12">
        <f t="shared" si="2"/>
        <v>-3.1614742211331696E-2</v>
      </c>
      <c r="S51" s="12">
        <f t="shared" si="3"/>
        <v>-2.7654148122218329E-2</v>
      </c>
      <c r="T51" s="12">
        <f t="shared" si="4"/>
        <v>0</v>
      </c>
      <c r="U51" s="12">
        <f t="shared" si="15"/>
        <v>-4.9508686302945437E-3</v>
      </c>
      <c r="V51" s="12">
        <f t="shared" si="6"/>
        <v>-4.3306395959393897E-3</v>
      </c>
      <c r="W51" s="12">
        <f t="shared" si="7"/>
        <v>0</v>
      </c>
      <c r="X51" s="12">
        <f t="shared" si="8"/>
        <v>-1.4062237335600337E-2</v>
      </c>
      <c r="Y51" s="12">
        <f t="shared" si="9"/>
        <v>-1.2300565084762712E-2</v>
      </c>
      <c r="Z51" s="12">
        <f t="shared" si="10"/>
        <v>0</v>
      </c>
      <c r="AA51" s="39"/>
    </row>
    <row r="52" spans="1:27" ht="15.5">
      <c r="A52" s="8" t="s">
        <v>28</v>
      </c>
      <c r="B52" s="9">
        <v>2017</v>
      </c>
      <c r="C52" s="10">
        <v>167.74</v>
      </c>
      <c r="D52" s="10">
        <v>2769.29</v>
      </c>
      <c r="E52" s="10">
        <v>5610.79</v>
      </c>
      <c r="F52" s="10">
        <v>3741.96</v>
      </c>
      <c r="G52" s="10">
        <v>2138.67</v>
      </c>
      <c r="H52" s="10">
        <f t="shared" si="11"/>
        <v>2.9895968303928683E-2</v>
      </c>
      <c r="I52" s="10">
        <f t="shared" si="12"/>
        <v>0.49356507728858146</v>
      </c>
      <c r="J52" s="10">
        <f t="shared" si="13"/>
        <v>1.749666849022991</v>
      </c>
      <c r="K52" s="4">
        <f t="shared" si="19"/>
        <v>-1.6282095842188564</v>
      </c>
      <c r="L52" s="10">
        <f t="shared" si="21"/>
        <v>0.49356507728858146</v>
      </c>
      <c r="M52" s="10">
        <v>-329.81</v>
      </c>
      <c r="N52" s="10">
        <v>160.34</v>
      </c>
      <c r="O52" s="10">
        <v>211.17</v>
      </c>
      <c r="P52" s="11">
        <v>1.54E-2</v>
      </c>
      <c r="Q52" s="11">
        <v>0.26519999999999999</v>
      </c>
      <c r="R52" s="12">
        <f t="shared" si="2"/>
        <v>-5.878138372671228E-2</v>
      </c>
      <c r="S52" s="12">
        <f t="shared" si="3"/>
        <v>2.8577080945820465E-2</v>
      </c>
      <c r="T52" s="12">
        <f t="shared" si="4"/>
        <v>3.7636411271852979E-2</v>
      </c>
      <c r="U52" s="12">
        <f t="shared" si="15"/>
        <v>-9.0523330939136916E-4</v>
      </c>
      <c r="V52" s="12">
        <f t="shared" si="6"/>
        <v>4.4008704656563517E-4</v>
      </c>
      <c r="W52" s="12">
        <f t="shared" si="7"/>
        <v>5.7960073358653591E-4</v>
      </c>
      <c r="X52" s="12">
        <f t="shared" si="8"/>
        <v>-1.5588822964324097E-2</v>
      </c>
      <c r="Y52" s="12">
        <f t="shared" si="9"/>
        <v>7.5786418668315871E-3</v>
      </c>
      <c r="Z52" s="12">
        <f t="shared" si="10"/>
        <v>9.9811762692954102E-3</v>
      </c>
      <c r="AA52" s="39"/>
    </row>
    <row r="53" spans="1:27" ht="15.5">
      <c r="A53" s="8" t="s">
        <v>28</v>
      </c>
      <c r="B53" s="9">
        <v>2018</v>
      </c>
      <c r="C53" s="10">
        <v>1197.8800000000001</v>
      </c>
      <c r="D53" s="10">
        <v>6238.07</v>
      </c>
      <c r="E53" s="10">
        <v>11975.46</v>
      </c>
      <c r="F53" s="10">
        <v>6967.03</v>
      </c>
      <c r="G53" s="10">
        <v>5114.07</v>
      </c>
      <c r="H53" s="10">
        <f t="shared" si="11"/>
        <v>0.10002789036913824</v>
      </c>
      <c r="I53" s="10">
        <f t="shared" si="12"/>
        <v>0.52090441619779115</v>
      </c>
      <c r="J53" s="10">
        <f t="shared" si="13"/>
        <v>1.3623258969861578</v>
      </c>
      <c r="K53" s="4">
        <f t="shared" si="19"/>
        <v>-1.7864196379216564</v>
      </c>
      <c r="L53" s="10">
        <f t="shared" si="21"/>
        <v>0.52090441619779115</v>
      </c>
      <c r="M53" s="10">
        <v>415.12</v>
      </c>
      <c r="N53" s="10">
        <v>-187.41</v>
      </c>
      <c r="O53" s="10">
        <v>7.51</v>
      </c>
      <c r="P53" s="11">
        <v>1.0999999999999999E-2</v>
      </c>
      <c r="Q53" s="11">
        <v>0.2697</v>
      </c>
      <c r="R53" s="12">
        <f t="shared" si="2"/>
        <v>3.4664221666641619E-2</v>
      </c>
      <c r="S53" s="12">
        <f t="shared" si="3"/>
        <v>-1.5649503234113765E-2</v>
      </c>
      <c r="T53" s="12">
        <f t="shared" si="4"/>
        <v>6.2711578511389125E-4</v>
      </c>
      <c r="U53" s="12">
        <f t="shared" si="15"/>
        <v>3.8130643833305777E-4</v>
      </c>
      <c r="V53" s="12">
        <f t="shared" si="6"/>
        <v>-1.7214453557525141E-4</v>
      </c>
      <c r="W53" s="12">
        <f t="shared" si="7"/>
        <v>6.8982736362528031E-6</v>
      </c>
      <c r="X53" s="12">
        <f t="shared" si="8"/>
        <v>9.3489405834932451E-3</v>
      </c>
      <c r="Y53" s="12">
        <f t="shared" si="9"/>
        <v>-4.2206710222404825E-3</v>
      </c>
      <c r="Z53" s="12">
        <f t="shared" si="10"/>
        <v>1.6913312724521647E-4</v>
      </c>
      <c r="AA53" s="39"/>
    </row>
    <row r="54" spans="1:27" ht="15.5">
      <c r="A54" s="8" t="s">
        <v>28</v>
      </c>
      <c r="B54" s="9">
        <v>2019</v>
      </c>
      <c r="C54" s="10">
        <v>823.35</v>
      </c>
      <c r="D54" s="10">
        <v>9294.44</v>
      </c>
      <c r="E54" s="10">
        <v>15596.31</v>
      </c>
      <c r="F54" s="17">
        <v>7520.28</v>
      </c>
      <c r="G54" s="10">
        <v>6553.95</v>
      </c>
      <c r="H54" s="10">
        <f t="shared" si="11"/>
        <v>5.2791333334615692E-2</v>
      </c>
      <c r="I54" s="10">
        <f t="shared" si="12"/>
        <v>0.59593839824932959</v>
      </c>
      <c r="J54" s="10">
        <f t="shared" si="13"/>
        <v>1.147442382074932</v>
      </c>
      <c r="K54" s="4">
        <f t="shared" si="19"/>
        <v>-1.1453018995128914</v>
      </c>
      <c r="L54" s="10">
        <f t="shared" si="21"/>
        <v>0.59593839824932959</v>
      </c>
      <c r="M54" s="10">
        <v>762.76</v>
      </c>
      <c r="N54" s="10">
        <v>-2794.2</v>
      </c>
      <c r="O54" s="10">
        <v>2352.61</v>
      </c>
      <c r="P54" s="11">
        <v>1.66E-2</v>
      </c>
      <c r="Q54" s="11">
        <v>0.2114</v>
      </c>
      <c r="R54" s="12">
        <f t="shared" si="2"/>
        <v>4.8906440048960297E-2</v>
      </c>
      <c r="S54" s="12">
        <f t="shared" si="3"/>
        <v>-0.17915776231685571</v>
      </c>
      <c r="T54" s="12">
        <f t="shared" si="4"/>
        <v>0.15084401374427669</v>
      </c>
      <c r="U54" s="12">
        <f t="shared" si="15"/>
        <v>8.1184690481274097E-4</v>
      </c>
      <c r="V54" s="12">
        <f t="shared" si="6"/>
        <v>-2.9740188544598047E-3</v>
      </c>
      <c r="W54" s="12">
        <f t="shared" si="7"/>
        <v>2.504010628154993E-3</v>
      </c>
      <c r="X54" s="12">
        <f t="shared" si="8"/>
        <v>1.0338821426350207E-2</v>
      </c>
      <c r="Y54" s="12">
        <f t="shared" si="9"/>
        <v>-3.7873950953783299E-2</v>
      </c>
      <c r="Z54" s="12">
        <f t="shared" si="10"/>
        <v>3.1888424505540094E-2</v>
      </c>
      <c r="AA54" s="39"/>
    </row>
    <row r="55" spans="1:27" ht="15.5">
      <c r="A55" s="8" t="s">
        <v>28</v>
      </c>
      <c r="B55" s="9">
        <v>2020</v>
      </c>
      <c r="C55" s="10">
        <v>572.36</v>
      </c>
      <c r="D55" s="10">
        <v>10732.49</v>
      </c>
      <c r="E55" s="10">
        <v>17604.599999999999</v>
      </c>
      <c r="F55" s="10">
        <v>8321.82</v>
      </c>
      <c r="G55" s="10">
        <v>6533.71</v>
      </c>
      <c r="H55" s="10">
        <f t="shared" si="11"/>
        <v>3.2511957102121042E-2</v>
      </c>
      <c r="I55" s="10">
        <f t="shared" si="12"/>
        <v>0.6096412301330334</v>
      </c>
      <c r="J55" s="10">
        <f t="shared" si="13"/>
        <v>1.2736745279481336</v>
      </c>
      <c r="K55" s="4">
        <f t="shared" si="19"/>
        <v>-0.97644349331304703</v>
      </c>
      <c r="L55" s="10">
        <f>D54/E55</f>
        <v>0.52795519352896414</v>
      </c>
      <c r="M55" s="10">
        <v>144.04</v>
      </c>
      <c r="N55" s="17">
        <v>-1502.5</v>
      </c>
      <c r="O55" s="10">
        <v>1318.21</v>
      </c>
      <c r="P55" s="11">
        <v>1.3100000000000001E-2</v>
      </c>
      <c r="Q55" s="11">
        <v>0.21060000000000001</v>
      </c>
      <c r="R55" s="12">
        <f t="shared" si="2"/>
        <v>8.1819524442475269E-3</v>
      </c>
      <c r="S55" s="12">
        <f t="shared" si="3"/>
        <v>-8.5347011576519777E-2</v>
      </c>
      <c r="T55" s="12">
        <f t="shared" si="4"/>
        <v>7.4878724878724892E-2</v>
      </c>
      <c r="U55" s="12">
        <f t="shared" si="15"/>
        <v>1.071835770196426E-4</v>
      </c>
      <c r="V55" s="12">
        <f t="shared" si="6"/>
        <v>-1.1180458516524092E-3</v>
      </c>
      <c r="W55" s="12">
        <f t="shared" si="7"/>
        <v>9.8091129591129623E-4</v>
      </c>
      <c r="X55" s="12">
        <f t="shared" si="8"/>
        <v>1.7231191847585292E-3</v>
      </c>
      <c r="Y55" s="12">
        <f t="shared" si="9"/>
        <v>-1.7974080638015064E-2</v>
      </c>
      <c r="Z55" s="12">
        <f t="shared" si="10"/>
        <v>1.5769459459459463E-2</v>
      </c>
      <c r="AA55" s="39"/>
    </row>
    <row r="56" spans="1:27" ht="15.5">
      <c r="A56" s="8" t="s">
        <v>28</v>
      </c>
      <c r="B56" s="9">
        <v>2021</v>
      </c>
      <c r="C56" s="10">
        <v>703.89</v>
      </c>
      <c r="D56" s="10">
        <v>10592.77</v>
      </c>
      <c r="E56" s="10">
        <v>18169.11</v>
      </c>
      <c r="F56" s="10">
        <v>9278.48</v>
      </c>
      <c r="G56" s="10">
        <v>6531.47</v>
      </c>
      <c r="H56" s="10">
        <f t="shared" si="11"/>
        <v>3.8741028041549642E-2</v>
      </c>
      <c r="I56" s="10">
        <f t="shared" si="12"/>
        <v>0.58300984473097472</v>
      </c>
      <c r="J56" s="10">
        <f t="shared" si="13"/>
        <v>1.4205806656082014</v>
      </c>
      <c r="K56" s="4">
        <f t="shared" si="19"/>
        <v>-1.1568608338828501</v>
      </c>
      <c r="L56" s="10">
        <f t="shared" ref="L56:L119" si="22">D56/E56</f>
        <v>0.58300984473097472</v>
      </c>
      <c r="M56" s="10">
        <v>1087.58</v>
      </c>
      <c r="N56" s="10">
        <v>-794.31</v>
      </c>
      <c r="O56" s="10">
        <v>-487.17</v>
      </c>
      <c r="P56" s="11">
        <v>2.3099999999999999E-2</v>
      </c>
      <c r="Q56" s="11">
        <v>0.32319999999999999</v>
      </c>
      <c r="R56" s="12">
        <f t="shared" si="2"/>
        <v>5.9858738265110394E-2</v>
      </c>
      <c r="S56" s="12">
        <f t="shared" si="3"/>
        <v>-4.3717606421007957E-2</v>
      </c>
      <c r="T56" s="12">
        <f t="shared" si="4"/>
        <v>-2.6813091009961411E-2</v>
      </c>
      <c r="U56" s="12">
        <f t="shared" si="15"/>
        <v>1.38273685392405E-3</v>
      </c>
      <c r="V56" s="12">
        <f t="shared" si="6"/>
        <v>-1.0098767083252837E-3</v>
      </c>
      <c r="W56" s="12">
        <f t="shared" si="7"/>
        <v>-6.193824023301086E-4</v>
      </c>
      <c r="X56" s="12">
        <f t="shared" si="8"/>
        <v>1.9346344207283678E-2</v>
      </c>
      <c r="Y56" s="12">
        <f t="shared" si="9"/>
        <v>-1.4129530395269771E-2</v>
      </c>
      <c r="Z56" s="12">
        <f t="shared" si="10"/>
        <v>-8.6659910144195277E-3</v>
      </c>
      <c r="AA56" s="39"/>
    </row>
    <row r="57" spans="1:27" ht="15.5">
      <c r="A57" s="8" t="s">
        <v>29</v>
      </c>
      <c r="B57" s="9">
        <v>2017</v>
      </c>
      <c r="C57" s="10">
        <v>44.15</v>
      </c>
      <c r="D57" s="10">
        <v>922.12</v>
      </c>
      <c r="E57" s="10">
        <v>1346.23</v>
      </c>
      <c r="F57" s="10">
        <v>537.34</v>
      </c>
      <c r="G57" s="10">
        <v>747.55</v>
      </c>
      <c r="H57" s="10">
        <f t="shared" si="11"/>
        <v>3.2795287580873994E-2</v>
      </c>
      <c r="I57" s="10">
        <f t="shared" si="12"/>
        <v>0.68496467914100856</v>
      </c>
      <c r="J57" s="10">
        <f t="shared" si="13"/>
        <v>0.71880141796535357</v>
      </c>
      <c r="K57" s="4">
        <f t="shared" si="19"/>
        <v>-0.54615532868204542</v>
      </c>
      <c r="L57" s="10">
        <f t="shared" si="22"/>
        <v>0.68496467914100856</v>
      </c>
      <c r="M57" s="10">
        <v>-115.02</v>
      </c>
      <c r="N57" s="10">
        <v>-235.5</v>
      </c>
      <c r="O57" s="10">
        <v>355.73</v>
      </c>
      <c r="P57" s="11">
        <v>0.49</v>
      </c>
      <c r="Q57" s="11">
        <v>5.8599999999999999E-2</v>
      </c>
      <c r="R57" s="12">
        <f t="shared" si="2"/>
        <v>-8.5438595188043642E-2</v>
      </c>
      <c r="S57" s="12">
        <f t="shared" si="3"/>
        <v>-0.17493296093535279</v>
      </c>
      <c r="T57" s="12">
        <f t="shared" si="4"/>
        <v>0.26424162290247583</v>
      </c>
      <c r="U57" s="12">
        <f t="shared" si="15"/>
        <v>-4.1864911642141386E-2</v>
      </c>
      <c r="V57" s="12">
        <f t="shared" si="6"/>
        <v>-8.5717150858322863E-2</v>
      </c>
      <c r="W57" s="12">
        <f t="shared" si="7"/>
        <v>0.12947839522221316</v>
      </c>
      <c r="X57" s="12">
        <f t="shared" si="8"/>
        <v>-5.0067016780193574E-3</v>
      </c>
      <c r="Y57" s="12">
        <f t="shared" si="9"/>
        <v>-1.0251071510811673E-2</v>
      </c>
      <c r="Z57" s="12">
        <f t="shared" si="10"/>
        <v>1.5484559102085084E-2</v>
      </c>
      <c r="AA57" s="39"/>
    </row>
    <row r="58" spans="1:27" ht="15.5">
      <c r="A58" s="8" t="s">
        <v>29</v>
      </c>
      <c r="B58" s="9">
        <v>2018</v>
      </c>
      <c r="C58" s="10">
        <v>55.03</v>
      </c>
      <c r="D58" s="10">
        <v>1089.76</v>
      </c>
      <c r="E58" s="10">
        <v>1571.18</v>
      </c>
      <c r="F58" s="10">
        <v>510.27</v>
      </c>
      <c r="G58" s="10">
        <v>768.31</v>
      </c>
      <c r="H58" s="10">
        <f t="shared" si="11"/>
        <v>3.5024631168930356E-2</v>
      </c>
      <c r="I58" s="10">
        <f t="shared" si="12"/>
        <v>0.69359335022085311</v>
      </c>
      <c r="J58" s="10">
        <f t="shared" si="13"/>
        <v>0.6641459827413414</v>
      </c>
      <c r="K58" s="4">
        <f t="shared" si="19"/>
        <v>-0.50678532793228914</v>
      </c>
      <c r="L58" s="10">
        <f t="shared" si="22"/>
        <v>0.69359335022085311</v>
      </c>
      <c r="M58" s="10">
        <v>-52.4</v>
      </c>
      <c r="N58" s="10">
        <v>-25.13</v>
      </c>
      <c r="O58" s="10">
        <v>72.349999999999994</v>
      </c>
      <c r="P58" s="11">
        <v>0.49</v>
      </c>
      <c r="Q58" s="11">
        <v>5.8599999999999999E-2</v>
      </c>
      <c r="R58" s="12">
        <f t="shared" si="2"/>
        <v>-3.3350730024567524E-2</v>
      </c>
      <c r="S58" s="12">
        <f t="shared" si="3"/>
        <v>-1.5994348196896598E-2</v>
      </c>
      <c r="T58" s="12">
        <f t="shared" si="4"/>
        <v>4.6048193077814124E-2</v>
      </c>
      <c r="U58" s="12">
        <f t="shared" si="15"/>
        <v>-1.6341857712038086E-2</v>
      </c>
      <c r="V58" s="12">
        <f t="shared" si="6"/>
        <v>-7.8372306164793334E-3</v>
      </c>
      <c r="W58" s="12">
        <f t="shared" si="7"/>
        <v>2.2563614608128921E-2</v>
      </c>
      <c r="X58" s="12">
        <f t="shared" si="8"/>
        <v>-1.9543527794396568E-3</v>
      </c>
      <c r="Y58" s="12">
        <f t="shared" si="9"/>
        <v>-9.3726880433814069E-4</v>
      </c>
      <c r="Z58" s="12">
        <f t="shared" si="10"/>
        <v>2.6984241143599074E-3</v>
      </c>
      <c r="AA58" s="39"/>
    </row>
    <row r="59" spans="1:27" ht="15.5">
      <c r="A59" s="8" t="s">
        <v>29</v>
      </c>
      <c r="B59" s="9">
        <v>2019</v>
      </c>
      <c r="C59" s="10">
        <v>40.049999999999997</v>
      </c>
      <c r="D59" s="10">
        <v>1131.73</v>
      </c>
      <c r="E59" s="10">
        <v>1627.01</v>
      </c>
      <c r="F59" s="10">
        <v>559.15</v>
      </c>
      <c r="G59" s="10">
        <v>871.65</v>
      </c>
      <c r="H59" s="10">
        <f t="shared" si="11"/>
        <v>2.4615706111210132E-2</v>
      </c>
      <c r="I59" s="10">
        <f t="shared" si="12"/>
        <v>0.69558884087989625</v>
      </c>
      <c r="J59" s="10">
        <f t="shared" si="13"/>
        <v>0.64148454081339989</v>
      </c>
      <c r="K59" s="4">
        <f t="shared" si="19"/>
        <v>-0.44848022264829018</v>
      </c>
      <c r="L59" s="10">
        <f t="shared" si="22"/>
        <v>0.69558884087989625</v>
      </c>
      <c r="M59" s="10">
        <v>268.3</v>
      </c>
      <c r="N59" s="10">
        <v>194.8</v>
      </c>
      <c r="O59" s="10">
        <v>-485.73</v>
      </c>
      <c r="P59" s="11">
        <v>0.49</v>
      </c>
      <c r="Q59" s="18">
        <f t="shared" ref="Q59:Q60" si="23">5.86%+4.99%</f>
        <v>0.10850000000000001</v>
      </c>
      <c r="R59" s="12">
        <f t="shared" si="2"/>
        <v>0.16490371909207688</v>
      </c>
      <c r="S59" s="12">
        <f t="shared" si="3"/>
        <v>0.11972882772693469</v>
      </c>
      <c r="T59" s="12">
        <f t="shared" si="4"/>
        <v>-0.29854149636449684</v>
      </c>
      <c r="U59" s="12">
        <f t="shared" si="15"/>
        <v>8.0802822355117668E-2</v>
      </c>
      <c r="V59" s="12">
        <f t="shared" si="6"/>
        <v>5.8667125586197993E-2</v>
      </c>
      <c r="W59" s="12">
        <f t="shared" si="7"/>
        <v>-0.14628533321860346</v>
      </c>
      <c r="X59" s="12">
        <f t="shared" si="8"/>
        <v>1.7892053521490342E-2</v>
      </c>
      <c r="Y59" s="12">
        <f t="shared" si="9"/>
        <v>1.2990577808372416E-2</v>
      </c>
      <c r="Z59" s="12">
        <f t="shared" si="10"/>
        <v>-3.2391752355547913E-2</v>
      </c>
      <c r="AA59" s="39"/>
    </row>
    <row r="60" spans="1:27" ht="15.5">
      <c r="A60" s="8" t="s">
        <v>29</v>
      </c>
      <c r="B60" s="9">
        <v>2020</v>
      </c>
      <c r="C60" s="10">
        <v>32</v>
      </c>
      <c r="D60" s="10">
        <v>1288.6400000000001</v>
      </c>
      <c r="E60" s="10">
        <v>1796.06</v>
      </c>
      <c r="F60" s="10">
        <v>599.69000000000005</v>
      </c>
      <c r="G60" s="10">
        <v>1065.97</v>
      </c>
      <c r="H60" s="10">
        <f t="shared" si="11"/>
        <v>1.7816776722381213E-2</v>
      </c>
      <c r="I60" s="10">
        <f t="shared" si="12"/>
        <v>0.71748159861029148</v>
      </c>
      <c r="J60" s="10">
        <f t="shared" si="13"/>
        <v>0.56257680797771048</v>
      </c>
      <c r="K60" s="4">
        <f t="shared" si="19"/>
        <v>-0.29278069040396443</v>
      </c>
      <c r="L60" s="10">
        <f t="shared" si="22"/>
        <v>0.71748159861029148</v>
      </c>
      <c r="M60" s="10">
        <v>40.700000000000003</v>
      </c>
      <c r="N60" s="10">
        <v>-191.93</v>
      </c>
      <c r="O60" s="10">
        <v>164.43</v>
      </c>
      <c r="P60" s="11">
        <v>0.49</v>
      </c>
      <c r="Q60" s="18">
        <f t="shared" si="23"/>
        <v>0.10850000000000001</v>
      </c>
      <c r="R60" s="12">
        <f t="shared" si="2"/>
        <v>2.2660712893778606E-2</v>
      </c>
      <c r="S60" s="12">
        <f t="shared" si="3"/>
        <v>-0.10686168613520707</v>
      </c>
      <c r="T60" s="12">
        <f t="shared" si="4"/>
        <v>9.1550393639410713E-2</v>
      </c>
      <c r="U60" s="12">
        <f t="shared" si="15"/>
        <v>1.1103749317951517E-2</v>
      </c>
      <c r="V60" s="12">
        <f t="shared" si="6"/>
        <v>-5.2362226206251458E-2</v>
      </c>
      <c r="W60" s="12">
        <f t="shared" si="7"/>
        <v>4.485969288331125E-2</v>
      </c>
      <c r="X60" s="12">
        <f t="shared" si="8"/>
        <v>2.4586873489749789E-3</v>
      </c>
      <c r="Y60" s="12">
        <f t="shared" si="9"/>
        <v>-1.1594492945669967E-2</v>
      </c>
      <c r="Z60" s="12">
        <f t="shared" si="10"/>
        <v>9.9332177098760636E-3</v>
      </c>
      <c r="AA60" s="39"/>
    </row>
    <row r="61" spans="1:27" ht="15.5">
      <c r="A61" s="8" t="s">
        <v>29</v>
      </c>
      <c r="B61" s="9">
        <v>2021</v>
      </c>
      <c r="C61" s="10">
        <v>25.35</v>
      </c>
      <c r="D61" s="10">
        <v>1536.56</v>
      </c>
      <c r="E61" s="10">
        <v>2028.09</v>
      </c>
      <c r="F61" s="10">
        <v>983.14</v>
      </c>
      <c r="G61" s="10">
        <v>1305.6099999999999</v>
      </c>
      <c r="H61" s="10">
        <f t="shared" si="11"/>
        <v>1.2499445290889458E-2</v>
      </c>
      <c r="I61" s="10">
        <f t="shared" si="12"/>
        <v>0.75763896079562543</v>
      </c>
      <c r="J61" s="10">
        <f t="shared" si="13"/>
        <v>0.75301200205268037</v>
      </c>
      <c r="K61" s="4">
        <f t="shared" si="19"/>
        <v>-4.0717475282147718E-2</v>
      </c>
      <c r="L61" s="10">
        <f t="shared" si="22"/>
        <v>0.75763896079562543</v>
      </c>
      <c r="M61" s="10">
        <v>294.60000000000002</v>
      </c>
      <c r="N61" s="10">
        <v>-15.3</v>
      </c>
      <c r="O61" s="10">
        <v>-109.68</v>
      </c>
      <c r="P61" s="11">
        <v>0.49</v>
      </c>
      <c r="Q61" s="11">
        <v>5.8599999999999999E-2</v>
      </c>
      <c r="R61" s="12">
        <f t="shared" si="2"/>
        <v>0.14525982574737809</v>
      </c>
      <c r="S61" s="12">
        <f t="shared" si="3"/>
        <v>-7.5440439033770696E-3</v>
      </c>
      <c r="T61" s="12">
        <f t="shared" si="4"/>
        <v>-5.4080440217150132E-2</v>
      </c>
      <c r="U61" s="12">
        <f t="shared" si="15"/>
        <v>7.1177314616215265E-2</v>
      </c>
      <c r="V61" s="12">
        <f t="shared" si="6"/>
        <v>-3.6965815126547641E-3</v>
      </c>
      <c r="W61" s="12">
        <f t="shared" si="7"/>
        <v>-2.6499415706403563E-2</v>
      </c>
      <c r="X61" s="12">
        <f t="shared" si="8"/>
        <v>8.5122257887963564E-3</v>
      </c>
      <c r="Y61" s="12">
        <f t="shared" si="9"/>
        <v>-4.4208097273789628E-4</v>
      </c>
      <c r="Z61" s="12">
        <f t="shared" si="10"/>
        <v>-3.1691137967249975E-3</v>
      </c>
      <c r="AA61" s="39"/>
    </row>
    <row r="62" spans="1:27" ht="15.5">
      <c r="A62" s="8" t="s">
        <v>30</v>
      </c>
      <c r="B62" s="9">
        <v>2017</v>
      </c>
      <c r="C62" s="10">
        <v>59.67</v>
      </c>
      <c r="D62" s="13">
        <v>2190.6999999999998</v>
      </c>
      <c r="E62" s="10">
        <v>3548.05</v>
      </c>
      <c r="F62" s="10">
        <v>1303.99</v>
      </c>
      <c r="G62" s="10">
        <v>1007.42</v>
      </c>
      <c r="H62" s="10">
        <f t="shared" si="11"/>
        <v>1.6817688589506913E-2</v>
      </c>
      <c r="I62" s="10">
        <f t="shared" si="12"/>
        <v>0.61743774749510283</v>
      </c>
      <c r="J62" s="10">
        <f t="shared" si="13"/>
        <v>1.2943856584145641</v>
      </c>
      <c r="K62" s="4">
        <f t="shared" si="19"/>
        <v>-0.86146198056435264</v>
      </c>
      <c r="L62" s="10">
        <f t="shared" si="22"/>
        <v>0.61743774749510283</v>
      </c>
      <c r="M62" s="10">
        <v>-996.01</v>
      </c>
      <c r="N62" s="10">
        <v>992.3</v>
      </c>
      <c r="O62" s="10">
        <v>136.58000000000001</v>
      </c>
      <c r="P62" s="11">
        <v>0.14560000000000001</v>
      </c>
      <c r="Q62" s="11">
        <v>4.3799999999999999E-2</v>
      </c>
      <c r="R62" s="12">
        <f t="shared" si="2"/>
        <v>-0.28072039571031976</v>
      </c>
      <c r="S62" s="12">
        <f t="shared" si="3"/>
        <v>0.27967475091951916</v>
      </c>
      <c r="T62" s="12">
        <f t="shared" si="4"/>
        <v>3.8494384239230003E-2</v>
      </c>
      <c r="U62" s="12">
        <f t="shared" si="15"/>
        <v>-4.0872889615422556E-2</v>
      </c>
      <c r="V62" s="12">
        <f t="shared" si="6"/>
        <v>4.0720643733881991E-2</v>
      </c>
      <c r="W62" s="12">
        <f t="shared" si="7"/>
        <v>5.6047823452318891E-3</v>
      </c>
      <c r="X62" s="12">
        <f t="shared" si="8"/>
        <v>-1.2295553332112005E-2</v>
      </c>
      <c r="Y62" s="12">
        <f t="shared" si="9"/>
        <v>1.2249754090274938E-2</v>
      </c>
      <c r="Z62" s="12">
        <f t="shared" si="10"/>
        <v>1.6860540296782741E-3</v>
      </c>
      <c r="AA62" s="39"/>
    </row>
    <row r="63" spans="1:27" ht="15.5">
      <c r="A63" s="8" t="s">
        <v>30</v>
      </c>
      <c r="B63" s="9">
        <v>2018</v>
      </c>
      <c r="C63" s="10">
        <v>11.33</v>
      </c>
      <c r="D63" s="13">
        <v>3912.91</v>
      </c>
      <c r="E63" s="10">
        <v>5320.63</v>
      </c>
      <c r="F63" s="10">
        <v>1955.68</v>
      </c>
      <c r="G63" s="10">
        <v>2883.52</v>
      </c>
      <c r="H63" s="10">
        <f t="shared" si="11"/>
        <v>2.129447076755948E-3</v>
      </c>
      <c r="I63" s="10">
        <f t="shared" si="12"/>
        <v>0.73542230901227856</v>
      </c>
      <c r="J63" s="10">
        <f t="shared" si="13"/>
        <v>0.67822661191876599</v>
      </c>
      <c r="K63" s="4">
        <f t="shared" si="19"/>
        <v>-0.1203882569230884</v>
      </c>
      <c r="L63" s="10">
        <f t="shared" si="22"/>
        <v>0.73542230901227856</v>
      </c>
      <c r="M63" s="10">
        <v>-1081</v>
      </c>
      <c r="N63" s="10">
        <v>-138.37</v>
      </c>
      <c r="O63" s="10">
        <v>1104.99</v>
      </c>
      <c r="P63" s="11">
        <v>0.20530000000000001</v>
      </c>
      <c r="Q63" s="11">
        <v>4.2000000000000003E-2</v>
      </c>
      <c r="R63" s="12">
        <f t="shared" si="2"/>
        <v>-0.2031714289473239</v>
      </c>
      <c r="S63" s="12">
        <f t="shared" si="3"/>
        <v>-2.6006318800593162E-2</v>
      </c>
      <c r="T63" s="12">
        <f t="shared" si="4"/>
        <v>0.20768029349907813</v>
      </c>
      <c r="U63" s="12">
        <f t="shared" si="15"/>
        <v>-4.1711094362885601E-2</v>
      </c>
      <c r="V63" s="12">
        <f t="shared" si="6"/>
        <v>-5.3390972497617765E-3</v>
      </c>
      <c r="W63" s="12">
        <f t="shared" si="7"/>
        <v>4.263676425536074E-2</v>
      </c>
      <c r="X63" s="12">
        <f t="shared" si="8"/>
        <v>-8.5332000157876051E-3</v>
      </c>
      <c r="Y63" s="12">
        <f t="shared" si="9"/>
        <v>-1.0922653896249129E-3</v>
      </c>
      <c r="Z63" s="12">
        <f t="shared" si="10"/>
        <v>8.7225723269612823E-3</v>
      </c>
      <c r="AA63" s="39"/>
    </row>
    <row r="64" spans="1:27" ht="15.5">
      <c r="A64" s="8" t="s">
        <v>30</v>
      </c>
      <c r="B64" s="9">
        <v>2019</v>
      </c>
      <c r="C64" s="10">
        <v>140.52000000000001</v>
      </c>
      <c r="D64" s="13">
        <v>5630.12</v>
      </c>
      <c r="E64" s="10">
        <v>7254.64</v>
      </c>
      <c r="F64" s="10">
        <v>2287.19</v>
      </c>
      <c r="G64" s="10">
        <v>3118.31</v>
      </c>
      <c r="H64" s="10">
        <f t="shared" si="11"/>
        <v>1.9369672375197117E-2</v>
      </c>
      <c r="I64" s="10">
        <f t="shared" si="12"/>
        <v>0.77607159004444048</v>
      </c>
      <c r="J64" s="10">
        <f t="shared" si="13"/>
        <v>0.7334710147483734</v>
      </c>
      <c r="K64" s="4">
        <f t="shared" si="19"/>
        <v>3.3510653505930112E-2</v>
      </c>
      <c r="L64" s="10">
        <f t="shared" si="22"/>
        <v>0.77607159004444048</v>
      </c>
      <c r="M64" s="10">
        <v>-969.4</v>
      </c>
      <c r="N64" s="10">
        <v>182.26</v>
      </c>
      <c r="O64" s="10">
        <v>863.67</v>
      </c>
      <c r="P64" s="11">
        <v>0.20619999999999999</v>
      </c>
      <c r="Q64" s="11">
        <v>4.7500000000000001E-2</v>
      </c>
      <c r="R64" s="12">
        <f t="shared" si="2"/>
        <v>-0.13362482493962483</v>
      </c>
      <c r="S64" s="12">
        <f t="shared" si="3"/>
        <v>2.5123231476682505E-2</v>
      </c>
      <c r="T64" s="12">
        <f t="shared" si="4"/>
        <v>0.11905070410109943</v>
      </c>
      <c r="U64" s="12">
        <f t="shared" si="15"/>
        <v>-2.7553438902550638E-2</v>
      </c>
      <c r="V64" s="12">
        <f t="shared" si="6"/>
        <v>5.1804103304919323E-3</v>
      </c>
      <c r="W64" s="12">
        <f t="shared" si="7"/>
        <v>2.4548255185646701E-2</v>
      </c>
      <c r="X64" s="12">
        <f t="shared" si="8"/>
        <v>-6.347179184632179E-3</v>
      </c>
      <c r="Y64" s="12">
        <f t="shared" si="9"/>
        <v>1.1933534951424191E-3</v>
      </c>
      <c r="Z64" s="12">
        <f t="shared" si="10"/>
        <v>5.654908444802223E-3</v>
      </c>
      <c r="AA64" s="39"/>
    </row>
    <row r="65" spans="1:27" ht="15.5">
      <c r="A65" s="8" t="s">
        <v>30</v>
      </c>
      <c r="B65" s="9">
        <v>2020</v>
      </c>
      <c r="C65" s="10">
        <v>266.42</v>
      </c>
      <c r="D65" s="10">
        <v>21173.52</v>
      </c>
      <c r="E65" s="17">
        <v>24136.83</v>
      </c>
      <c r="F65" s="10">
        <v>11338.11</v>
      </c>
      <c r="G65" s="10">
        <v>10564.06</v>
      </c>
      <c r="H65" s="10">
        <f t="shared" si="11"/>
        <v>1.10379034860833E-2</v>
      </c>
      <c r="I65" s="10">
        <f t="shared" si="12"/>
        <v>0.87722869987483854</v>
      </c>
      <c r="J65" s="10">
        <f t="shared" si="13"/>
        <v>1.0732720185231814</v>
      </c>
      <c r="K65" s="4">
        <f t="shared" si="19"/>
        <v>0.64623993552511194</v>
      </c>
      <c r="L65" s="10">
        <f t="shared" si="22"/>
        <v>0.87722869987483854</v>
      </c>
      <c r="M65" s="10">
        <v>-2226</v>
      </c>
      <c r="N65" s="10">
        <v>-613.78</v>
      </c>
      <c r="O65" s="10">
        <v>3592.96</v>
      </c>
      <c r="P65" s="11">
        <v>0.14460000000000001</v>
      </c>
      <c r="Q65" s="11">
        <v>8.3299999999999999E-2</v>
      </c>
      <c r="R65" s="12">
        <f t="shared" si="2"/>
        <v>-9.2224206741316067E-2</v>
      </c>
      <c r="S65" s="12">
        <f t="shared" si="3"/>
        <v>-2.5429188505698551E-2</v>
      </c>
      <c r="T65" s="12">
        <f t="shared" si="4"/>
        <v>0.14885799005088904</v>
      </c>
      <c r="U65" s="12">
        <f t="shared" si="15"/>
        <v>-1.3335620294794305E-2</v>
      </c>
      <c r="V65" s="12">
        <f t="shared" si="6"/>
        <v>-3.6770606579240106E-3</v>
      </c>
      <c r="W65" s="12">
        <f t="shared" si="7"/>
        <v>2.1524865361358555E-2</v>
      </c>
      <c r="X65" s="12">
        <f t="shared" si="8"/>
        <v>-7.6822764215516287E-3</v>
      </c>
      <c r="Y65" s="12">
        <f t="shared" si="9"/>
        <v>-2.1182514025246892E-3</v>
      </c>
      <c r="Z65" s="12">
        <f t="shared" si="10"/>
        <v>1.2399870571239056E-2</v>
      </c>
      <c r="AA65" s="39"/>
    </row>
    <row r="66" spans="1:27" ht="15.5">
      <c r="A66" s="8" t="s">
        <v>30</v>
      </c>
      <c r="B66" s="9">
        <v>2021</v>
      </c>
      <c r="C66" s="10">
        <v>1000.34</v>
      </c>
      <c r="D66" s="10">
        <v>29339.759999999998</v>
      </c>
      <c r="E66" s="10">
        <v>37689.33</v>
      </c>
      <c r="F66" s="10">
        <v>16238.69</v>
      </c>
      <c r="G66" s="10">
        <v>19142.62</v>
      </c>
      <c r="H66" s="10">
        <f t="shared" si="11"/>
        <v>2.6541729449687749E-2</v>
      </c>
      <c r="I66" s="10">
        <f t="shared" si="12"/>
        <v>0.77846329451863427</v>
      </c>
      <c r="J66" s="10">
        <f t="shared" si="13"/>
        <v>0.84830028491397735</v>
      </c>
      <c r="K66" s="4">
        <f t="shared" si="19"/>
        <v>1.4409795092964583E-2</v>
      </c>
      <c r="L66" s="10">
        <f t="shared" si="22"/>
        <v>0.77846329451863427</v>
      </c>
      <c r="M66" s="10">
        <v>-9012.08</v>
      </c>
      <c r="N66" s="10">
        <v>-971.01</v>
      </c>
      <c r="O66" s="10">
        <v>10123.52</v>
      </c>
      <c r="P66" s="11">
        <v>2.3800000000000002E-2</v>
      </c>
      <c r="Q66" s="11">
        <v>0.1201</v>
      </c>
      <c r="R66" s="12">
        <f t="shared" ref="R66:R129" si="24">M66/E66</f>
        <v>-0.23911489007631601</v>
      </c>
      <c r="S66" s="12">
        <f t="shared" ref="S66:S129" si="25">N66/E66</f>
        <v>-2.5763525114402403E-2</v>
      </c>
      <c r="T66" s="12">
        <f t="shared" ref="T66:T129" si="26">O66/E66</f>
        <v>0.26860440342133968</v>
      </c>
      <c r="U66" s="12">
        <f t="shared" si="15"/>
        <v>-5.6909343838163215E-3</v>
      </c>
      <c r="V66" s="12">
        <f t="shared" si="6"/>
        <v>-6.1317189772277722E-4</v>
      </c>
      <c r="W66" s="12">
        <f t="shared" si="7"/>
        <v>6.3927848014278844E-3</v>
      </c>
      <c r="X66" s="12">
        <f t="shared" si="8"/>
        <v>-2.8717698298165551E-2</v>
      </c>
      <c r="Y66" s="12">
        <f t="shared" si="9"/>
        <v>-3.0941993662397284E-3</v>
      </c>
      <c r="Z66" s="12">
        <f t="shared" si="10"/>
        <v>3.2259388850902897E-2</v>
      </c>
      <c r="AA66" s="39"/>
    </row>
    <row r="67" spans="1:27" ht="15.5">
      <c r="A67" s="8" t="s">
        <v>31</v>
      </c>
      <c r="B67" s="9">
        <v>2017</v>
      </c>
      <c r="C67" s="10">
        <v>9.68</v>
      </c>
      <c r="D67" s="10">
        <v>33.575770945999999</v>
      </c>
      <c r="E67" s="10">
        <v>226.03489361199999</v>
      </c>
      <c r="F67" s="10">
        <v>130.388394097</v>
      </c>
      <c r="G67" s="19">
        <v>28.978000000000002</v>
      </c>
      <c r="H67" s="10">
        <f t="shared" ref="H67:H130" si="27">C67/E67</f>
        <v>4.2825246338364889E-2</v>
      </c>
      <c r="I67" s="10">
        <f t="shared" ref="I67:I130" si="28">D67/E67</f>
        <v>0.14854242373584345</v>
      </c>
      <c r="J67" s="10">
        <f t="shared" ref="J67:J130" si="29">F67/G67</f>
        <v>4.4995649836772724</v>
      </c>
      <c r="K67" s="4">
        <f t="shared" si="19"/>
        <v>-3.664020053163044</v>
      </c>
      <c r="L67" s="10">
        <f t="shared" si="22"/>
        <v>0.14854242373584345</v>
      </c>
      <c r="M67" s="19">
        <v>90.478999999999999</v>
      </c>
      <c r="N67" s="19">
        <v>-5.2309999999999999</v>
      </c>
      <c r="O67" s="19">
        <v>-12.223000000000001</v>
      </c>
      <c r="P67" s="11">
        <v>0.1077</v>
      </c>
      <c r="Q67" s="11">
        <v>1.01E-2</v>
      </c>
      <c r="R67" s="12">
        <f t="shared" si="24"/>
        <v>0.40028775448852444</v>
      </c>
      <c r="S67" s="12">
        <f t="shared" si="25"/>
        <v>-2.3142444586362266E-2</v>
      </c>
      <c r="T67" s="12">
        <f t="shared" si="26"/>
        <v>-5.4075721693577904E-2</v>
      </c>
      <c r="U67" s="12">
        <f t="shared" si="15"/>
        <v>4.3110991158414082E-2</v>
      </c>
      <c r="V67" s="12">
        <f t="shared" si="6"/>
        <v>-2.492441281951216E-3</v>
      </c>
      <c r="W67" s="12">
        <f t="shared" si="7"/>
        <v>-5.8239552263983406E-3</v>
      </c>
      <c r="X67" s="12">
        <f t="shared" si="8"/>
        <v>4.0429063203340967E-3</v>
      </c>
      <c r="Y67" s="12">
        <f t="shared" si="9"/>
        <v>-2.3373869032225887E-4</v>
      </c>
      <c r="Z67" s="12">
        <f t="shared" si="10"/>
        <v>-5.4616478910513684E-4</v>
      </c>
      <c r="AA67" s="39"/>
    </row>
    <row r="68" spans="1:27" ht="15.5">
      <c r="A68" s="8" t="s">
        <v>31</v>
      </c>
      <c r="B68" s="9">
        <v>2018</v>
      </c>
      <c r="C68" s="10">
        <v>13.47</v>
      </c>
      <c r="D68" s="10">
        <v>48.982599544000003</v>
      </c>
      <c r="E68" s="10">
        <v>245.16967170999999</v>
      </c>
      <c r="F68" s="10">
        <v>162.62646216799999</v>
      </c>
      <c r="G68" s="19">
        <v>45.579000000000001</v>
      </c>
      <c r="H68" s="10">
        <f t="shared" si="27"/>
        <v>5.4941542753024722E-2</v>
      </c>
      <c r="I68" s="10">
        <f t="shared" si="28"/>
        <v>0.19979061521907687</v>
      </c>
      <c r="J68" s="10">
        <f t="shared" si="29"/>
        <v>3.5680129482437084</v>
      </c>
      <c r="K68" s="4">
        <f t="shared" si="19"/>
        <v>-3.422702487432848</v>
      </c>
      <c r="L68" s="10">
        <f t="shared" si="22"/>
        <v>0.19979061521907687</v>
      </c>
      <c r="M68" s="19">
        <v>-12.954000000000001</v>
      </c>
      <c r="N68" s="19">
        <v>-4.0659999999999998</v>
      </c>
      <c r="O68" s="19">
        <v>-8.4960000000000004</v>
      </c>
      <c r="P68" s="11">
        <v>0.15310000000000001</v>
      </c>
      <c r="Q68" s="11">
        <v>1.01E-2</v>
      </c>
      <c r="R68" s="12">
        <f t="shared" si="24"/>
        <v>-5.283687786359928E-2</v>
      </c>
      <c r="S68" s="12">
        <f t="shared" si="25"/>
        <v>-1.6584433024038493E-2</v>
      </c>
      <c r="T68" s="12">
        <f t="shared" si="26"/>
        <v>-3.4653552132865487E-2</v>
      </c>
      <c r="U68" s="12">
        <f t="shared" si="15"/>
        <v>-8.0893260009170503E-3</v>
      </c>
      <c r="V68" s="12">
        <f t="shared" si="6"/>
        <v>-2.5390766959802933E-3</v>
      </c>
      <c r="W68" s="12">
        <f t="shared" si="7"/>
        <v>-5.3054588315417069E-3</v>
      </c>
      <c r="X68" s="12">
        <f t="shared" si="8"/>
        <v>-5.3365246642235269E-4</v>
      </c>
      <c r="Y68" s="12">
        <f t="shared" si="9"/>
        <v>-1.6750277354278878E-4</v>
      </c>
      <c r="Z68" s="12">
        <f t="shared" si="10"/>
        <v>-3.500008765419414E-4</v>
      </c>
      <c r="AA68" s="39"/>
    </row>
    <row r="69" spans="1:27" ht="15.5">
      <c r="A69" s="8" t="s">
        <v>31</v>
      </c>
      <c r="B69" s="9">
        <v>2019</v>
      </c>
      <c r="C69" s="10">
        <v>16.079999999999998</v>
      </c>
      <c r="D69" s="10">
        <v>20.152054479</v>
      </c>
      <c r="E69" s="10">
        <v>221.02235438100001</v>
      </c>
      <c r="F69" s="10">
        <v>140.268321558</v>
      </c>
      <c r="G69" s="19">
        <v>18.032</v>
      </c>
      <c r="H69" s="10">
        <f t="shared" si="27"/>
        <v>7.2752821971487885E-2</v>
      </c>
      <c r="I69" s="10">
        <f t="shared" si="28"/>
        <v>9.1176544270548013E-2</v>
      </c>
      <c r="J69" s="10">
        <f t="shared" si="29"/>
        <v>7.7788554546362025</v>
      </c>
      <c r="K69" s="4">
        <f t="shared" si="19"/>
        <v>-4.1387968183481165</v>
      </c>
      <c r="L69" s="10">
        <f t="shared" si="22"/>
        <v>9.1176544270548013E-2</v>
      </c>
      <c r="M69" s="19">
        <v>-5.0869999999999997</v>
      </c>
      <c r="N69" s="19">
        <v>-34.115000000000002</v>
      </c>
      <c r="O69" s="19">
        <v>-9.9139999999999997</v>
      </c>
      <c r="P69" s="11">
        <v>0.2112</v>
      </c>
      <c r="Q69" s="11">
        <v>1.01E-2</v>
      </c>
      <c r="R69" s="12">
        <f t="shared" si="24"/>
        <v>-2.3015771478169085E-2</v>
      </c>
      <c r="S69" s="12">
        <f t="shared" si="25"/>
        <v>-0.15435090308192223</v>
      </c>
      <c r="T69" s="12">
        <f t="shared" si="26"/>
        <v>-4.4855191357296695E-2</v>
      </c>
      <c r="U69" s="12">
        <f t="shared" si="15"/>
        <v>-4.8609309361893104E-3</v>
      </c>
      <c r="V69" s="12">
        <f t="shared" si="6"/>
        <v>-3.2598910730901973E-2</v>
      </c>
      <c r="W69" s="12">
        <f t="shared" si="7"/>
        <v>-9.4734164146610626E-3</v>
      </c>
      <c r="X69" s="12">
        <f t="shared" si="8"/>
        <v>-2.3245929192950774E-4</v>
      </c>
      <c r="Y69" s="12">
        <f t="shared" si="9"/>
        <v>-1.5589441211274146E-3</v>
      </c>
      <c r="Z69" s="12">
        <f t="shared" si="10"/>
        <v>-4.5303743270869661E-4</v>
      </c>
      <c r="AA69" s="39"/>
    </row>
    <row r="70" spans="1:27" ht="15.5">
      <c r="A70" s="8" t="s">
        <v>31</v>
      </c>
      <c r="B70" s="9">
        <v>2020</v>
      </c>
      <c r="C70" s="10">
        <v>14.89</v>
      </c>
      <c r="D70" s="19">
        <v>26.39</v>
      </c>
      <c r="E70" s="19">
        <v>228.608</v>
      </c>
      <c r="F70" s="19">
        <v>165.16399999999999</v>
      </c>
      <c r="G70" s="19">
        <v>25.21</v>
      </c>
      <c r="H70" s="10">
        <f t="shared" si="27"/>
        <v>6.5133328667413212E-2</v>
      </c>
      <c r="I70" s="10">
        <f t="shared" si="28"/>
        <v>0.11543777995520717</v>
      </c>
      <c r="J70" s="10">
        <f t="shared" si="29"/>
        <v>6.5515271717572388</v>
      </c>
      <c r="K70" s="4">
        <f t="shared" si="19"/>
        <v>-3.9613107419457068</v>
      </c>
      <c r="L70" s="10">
        <f t="shared" si="22"/>
        <v>0.11543777995520717</v>
      </c>
      <c r="M70" s="19">
        <v>-13.707000000000001</v>
      </c>
      <c r="N70" s="19">
        <v>23.664000000000001</v>
      </c>
      <c r="O70" s="19">
        <v>-9.9139999999999997</v>
      </c>
      <c r="P70" s="11">
        <v>0.2132</v>
      </c>
      <c r="Q70" s="11">
        <v>1.01E-2</v>
      </c>
      <c r="R70" s="12">
        <f t="shared" si="24"/>
        <v>-5.995853163493841E-2</v>
      </c>
      <c r="S70" s="12">
        <f t="shared" si="25"/>
        <v>0.10351343784994402</v>
      </c>
      <c r="T70" s="12">
        <f t="shared" si="26"/>
        <v>-4.3366811310190365E-2</v>
      </c>
      <c r="U70" s="12">
        <f t="shared" si="15"/>
        <v>-1.2783158944568869E-2</v>
      </c>
      <c r="V70" s="12">
        <f t="shared" si="6"/>
        <v>2.2069064949608065E-2</v>
      </c>
      <c r="W70" s="12">
        <f t="shared" si="7"/>
        <v>-9.2458041713325851E-3</v>
      </c>
      <c r="X70" s="12">
        <f t="shared" si="8"/>
        <v>-6.0558116951287791E-4</v>
      </c>
      <c r="Y70" s="12">
        <f t="shared" si="9"/>
        <v>1.0454857222844346E-3</v>
      </c>
      <c r="Z70" s="12">
        <f t="shared" si="10"/>
        <v>-4.3800479423292268E-4</v>
      </c>
      <c r="AA70" s="39"/>
    </row>
    <row r="71" spans="1:27" ht="15.5">
      <c r="A71" s="8" t="s">
        <v>31</v>
      </c>
      <c r="B71" s="9">
        <v>2021</v>
      </c>
      <c r="C71" s="10">
        <v>17.440000000000001</v>
      </c>
      <c r="D71" s="19">
        <v>35.404000000000003</v>
      </c>
      <c r="E71" s="19">
        <v>243.51</v>
      </c>
      <c r="F71" s="19">
        <v>188.75</v>
      </c>
      <c r="G71" s="19">
        <v>35.404000000000003</v>
      </c>
      <c r="H71" s="10">
        <f t="shared" si="27"/>
        <v>7.1619235349677637E-2</v>
      </c>
      <c r="I71" s="10">
        <f t="shared" si="28"/>
        <v>0.14539033304587082</v>
      </c>
      <c r="J71" s="10">
        <f t="shared" si="29"/>
        <v>5.3313184950853003</v>
      </c>
      <c r="K71" s="4">
        <f t="shared" si="19"/>
        <v>-3.8148869346924266</v>
      </c>
      <c r="L71" s="10">
        <f t="shared" si="22"/>
        <v>0.14539033304587082</v>
      </c>
      <c r="M71" s="19">
        <v>80.171999999999997</v>
      </c>
      <c r="N71" s="19">
        <v>-3.5910000000000002</v>
      </c>
      <c r="O71" s="19">
        <v>0</v>
      </c>
      <c r="P71" s="11">
        <v>6.7299999999999999E-2</v>
      </c>
      <c r="Q71" s="11">
        <v>1.01E-2</v>
      </c>
      <c r="R71" s="12">
        <f t="shared" si="24"/>
        <v>0.32923493901687817</v>
      </c>
      <c r="S71" s="12">
        <f t="shared" si="25"/>
        <v>-1.4746827645681904E-2</v>
      </c>
      <c r="T71" s="12">
        <f t="shared" si="26"/>
        <v>0</v>
      </c>
      <c r="U71" s="12">
        <f t="shared" si="15"/>
        <v>2.21575113958359E-2</v>
      </c>
      <c r="V71" s="12">
        <f t="shared" si="6"/>
        <v>-9.9246150055439224E-4</v>
      </c>
      <c r="W71" s="12">
        <f t="shared" si="7"/>
        <v>0</v>
      </c>
      <c r="X71" s="12">
        <f t="shared" si="8"/>
        <v>3.3252728840704694E-3</v>
      </c>
      <c r="Y71" s="12">
        <f t="shared" si="9"/>
        <v>-1.4894295922138724E-4</v>
      </c>
      <c r="Z71" s="12">
        <f t="shared" si="10"/>
        <v>0</v>
      </c>
      <c r="AA71" s="39"/>
    </row>
    <row r="72" spans="1:27" ht="15.5">
      <c r="A72" s="8" t="s">
        <v>32</v>
      </c>
      <c r="B72" s="9">
        <v>2017</v>
      </c>
      <c r="C72" s="19">
        <v>464.69400000000002</v>
      </c>
      <c r="D72" s="19">
        <v>423.16800000000001</v>
      </c>
      <c r="E72" s="19">
        <v>2872.248</v>
      </c>
      <c r="F72" s="19">
        <v>1815.27</v>
      </c>
      <c r="G72" s="19">
        <v>423.16800000000001</v>
      </c>
      <c r="H72" s="10">
        <f t="shared" si="27"/>
        <v>0.16178756151975734</v>
      </c>
      <c r="I72" s="10">
        <f t="shared" si="28"/>
        <v>0.14732989630421886</v>
      </c>
      <c r="J72" s="10">
        <f t="shared" si="29"/>
        <v>4.2897147232304897</v>
      </c>
      <c r="K72" s="4">
        <f t="shared" si="19"/>
        <v>-4.2054224767977821</v>
      </c>
      <c r="L72" s="10">
        <f t="shared" si="22"/>
        <v>0.14732989630421886</v>
      </c>
      <c r="M72" s="19">
        <v>741.59400000000005</v>
      </c>
      <c r="N72" s="19">
        <v>-351.85700000000003</v>
      </c>
      <c r="O72" s="19">
        <v>-349.38499999999999</v>
      </c>
      <c r="P72" s="11">
        <v>0.42520000000000002</v>
      </c>
      <c r="Q72" s="11">
        <v>7.9600000000000001E-3</v>
      </c>
      <c r="R72" s="12">
        <f t="shared" si="24"/>
        <v>0.25819288585108252</v>
      </c>
      <c r="S72" s="12">
        <f t="shared" si="25"/>
        <v>-0.12250230481490457</v>
      </c>
      <c r="T72" s="12">
        <f t="shared" si="26"/>
        <v>-0.1216416548988806</v>
      </c>
      <c r="U72" s="12">
        <f t="shared" si="15"/>
        <v>0.10978361506388029</v>
      </c>
      <c r="V72" s="12">
        <f t="shared" si="6"/>
        <v>-5.2087980007297426E-2</v>
      </c>
      <c r="W72" s="12">
        <f t="shared" si="7"/>
        <v>-5.1722031663004035E-2</v>
      </c>
      <c r="X72" s="12">
        <f t="shared" si="8"/>
        <v>2.0552153713746168E-3</v>
      </c>
      <c r="Y72" s="12">
        <f t="shared" si="9"/>
        <v>-9.751183463266404E-4</v>
      </c>
      <c r="Z72" s="12">
        <f t="shared" si="10"/>
        <v>-9.682675729950895E-4</v>
      </c>
      <c r="AA72" s="39"/>
    </row>
    <row r="73" spans="1:27" ht="15.5">
      <c r="A73" s="8" t="s">
        <v>32</v>
      </c>
      <c r="B73" s="9">
        <v>2018</v>
      </c>
      <c r="C73" s="19">
        <v>427.61</v>
      </c>
      <c r="D73" s="19">
        <v>358.54599999999999</v>
      </c>
      <c r="E73" s="19">
        <v>2812.1979999999999</v>
      </c>
      <c r="F73" s="19">
        <v>1806.6880000000001</v>
      </c>
      <c r="G73" s="19">
        <v>358.54599999999999</v>
      </c>
      <c r="H73" s="10">
        <f t="shared" si="27"/>
        <v>0.15205543848619479</v>
      </c>
      <c r="I73" s="10">
        <f t="shared" si="28"/>
        <v>0.12749671253588829</v>
      </c>
      <c r="J73" s="10">
        <f t="shared" si="29"/>
        <v>5.038929453961277</v>
      </c>
      <c r="K73" s="4">
        <f t="shared" si="19"/>
        <v>-4.2776739295491586</v>
      </c>
      <c r="L73" s="10">
        <f t="shared" si="22"/>
        <v>0.12749671253588829</v>
      </c>
      <c r="M73" s="19">
        <v>122.92700000000001</v>
      </c>
      <c r="N73" s="19">
        <v>175.58199999999999</v>
      </c>
      <c r="O73" s="19">
        <v>-331.69</v>
      </c>
      <c r="P73" s="11">
        <v>0.76900000000000002</v>
      </c>
      <c r="Q73" s="11">
        <v>7.9600000000000001E-3</v>
      </c>
      <c r="R73" s="12">
        <f t="shared" si="24"/>
        <v>4.3712071482875675E-2</v>
      </c>
      <c r="S73" s="12">
        <f t="shared" si="25"/>
        <v>6.2435859779432314E-2</v>
      </c>
      <c r="T73" s="12">
        <f t="shared" si="26"/>
        <v>-0.1179468870968545</v>
      </c>
      <c r="U73" s="12">
        <f t="shared" si="15"/>
        <v>3.3614582970331396E-2</v>
      </c>
      <c r="V73" s="12">
        <f t="shared" si="6"/>
        <v>4.8013176170383448E-2</v>
      </c>
      <c r="W73" s="12">
        <f t="shared" si="7"/>
        <v>-9.0701156177481104E-2</v>
      </c>
      <c r="X73" s="12">
        <f t="shared" si="8"/>
        <v>3.4794808900369037E-4</v>
      </c>
      <c r="Y73" s="12">
        <f t="shared" si="9"/>
        <v>4.9698944384428119E-4</v>
      </c>
      <c r="Z73" s="12">
        <f t="shared" si="10"/>
        <v>-9.3885722129096176E-4</v>
      </c>
      <c r="AA73" s="39"/>
    </row>
    <row r="74" spans="1:27" ht="15.5">
      <c r="A74" s="8" t="s">
        <v>32</v>
      </c>
      <c r="B74" s="9">
        <v>2019</v>
      </c>
      <c r="C74" s="19">
        <v>422.76600000000002</v>
      </c>
      <c r="D74" s="19">
        <v>380.62299999999999</v>
      </c>
      <c r="E74" s="19">
        <v>2849.9070000000002</v>
      </c>
      <c r="F74" s="19">
        <v>1501.8040000000001</v>
      </c>
      <c r="G74" s="19">
        <v>357.53800000000001</v>
      </c>
      <c r="H74" s="10">
        <f t="shared" si="27"/>
        <v>0.14834378806045251</v>
      </c>
      <c r="I74" s="10">
        <f t="shared" si="28"/>
        <v>0.13355628797711644</v>
      </c>
      <c r="J74" s="10">
        <f t="shared" si="29"/>
        <v>4.200403873154742</v>
      </c>
      <c r="K74" s="4">
        <f t="shared" si="19"/>
        <v>-4.2230778202950914</v>
      </c>
      <c r="L74" s="10">
        <f t="shared" si="22"/>
        <v>0.13355628797711644</v>
      </c>
      <c r="M74" s="19">
        <v>963.76300000000003</v>
      </c>
      <c r="N74" s="19">
        <v>-691.31700000000001</v>
      </c>
      <c r="O74" s="19">
        <v>-371.22899999999998</v>
      </c>
      <c r="P74" s="11">
        <v>0.80489999999999995</v>
      </c>
      <c r="Q74" s="11">
        <v>7.9600000000000001E-3</v>
      </c>
      <c r="R74" s="12">
        <f t="shared" si="24"/>
        <v>0.33817349127532931</v>
      </c>
      <c r="S74" s="12">
        <f t="shared" si="25"/>
        <v>-0.24257528403558432</v>
      </c>
      <c r="T74" s="12">
        <f t="shared" si="26"/>
        <v>-0.13026004006446526</v>
      </c>
      <c r="U74" s="12">
        <f t="shared" si="15"/>
        <v>0.27219584312751255</v>
      </c>
      <c r="V74" s="12">
        <f t="shared" si="6"/>
        <v>-0.19524884612024179</v>
      </c>
      <c r="W74" s="12">
        <f t="shared" si="7"/>
        <v>-0.10484630624788809</v>
      </c>
      <c r="X74" s="12">
        <f t="shared" si="8"/>
        <v>2.6918609905516211E-3</v>
      </c>
      <c r="Y74" s="12">
        <f t="shared" si="9"/>
        <v>-1.9308992609232511E-3</v>
      </c>
      <c r="Z74" s="12">
        <f t="shared" si="10"/>
        <v>-1.0368699189131434E-3</v>
      </c>
      <c r="AA74" s="39"/>
    </row>
    <row r="75" spans="1:27" ht="15.5">
      <c r="A75" s="8" t="s">
        <v>32</v>
      </c>
      <c r="B75" s="9">
        <v>2020</v>
      </c>
      <c r="C75" s="19">
        <v>522.58500000000004</v>
      </c>
      <c r="D75" s="19">
        <v>551.22</v>
      </c>
      <c r="E75" s="19">
        <v>3022.7449999999999</v>
      </c>
      <c r="F75" s="19">
        <v>2128.8690000000001</v>
      </c>
      <c r="G75" s="19">
        <v>527.72799999999995</v>
      </c>
      <c r="H75" s="10">
        <f t="shared" si="27"/>
        <v>0.17288424925026757</v>
      </c>
      <c r="I75" s="10">
        <f t="shared" si="28"/>
        <v>0.18235742677599337</v>
      </c>
      <c r="J75" s="10">
        <f t="shared" si="29"/>
        <v>4.0340269987569357</v>
      </c>
      <c r="K75" s="4">
        <f t="shared" si="19"/>
        <v>-4.0546778969980695</v>
      </c>
      <c r="L75" s="10">
        <f t="shared" si="22"/>
        <v>0.18235742677599337</v>
      </c>
      <c r="M75" s="19">
        <v>918.57799999999997</v>
      </c>
      <c r="N75" s="19">
        <v>-557.928</v>
      </c>
      <c r="O75" s="19">
        <v>-478.52699999999999</v>
      </c>
      <c r="P75" s="11">
        <v>0.81701999999999997</v>
      </c>
      <c r="Q75" s="11">
        <v>7.9600000000000001E-3</v>
      </c>
      <c r="R75" s="12">
        <f t="shared" si="24"/>
        <v>0.30388868396110158</v>
      </c>
      <c r="S75" s="12">
        <f t="shared" si="25"/>
        <v>-0.18457660173120791</v>
      </c>
      <c r="T75" s="12">
        <f t="shared" si="26"/>
        <v>-0.15830875578323675</v>
      </c>
      <c r="U75" s="12">
        <f t="shared" si="15"/>
        <v>0.2482831325698992</v>
      </c>
      <c r="V75" s="12">
        <f t="shared" si="6"/>
        <v>-0.15080277514643148</v>
      </c>
      <c r="W75" s="12">
        <f t="shared" si="7"/>
        <v>-0.12934141965002008</v>
      </c>
      <c r="X75" s="12">
        <f t="shared" si="8"/>
        <v>2.4189539243303685E-3</v>
      </c>
      <c r="Y75" s="12">
        <f t="shared" si="9"/>
        <v>-1.4692297497804149E-3</v>
      </c>
      <c r="Z75" s="12">
        <f t="shared" si="10"/>
        <v>-1.2601376960345646E-3</v>
      </c>
      <c r="AA75" s="39"/>
    </row>
    <row r="76" spans="1:27" ht="15.5">
      <c r="A76" s="8" t="s">
        <v>32</v>
      </c>
      <c r="B76" s="9">
        <v>2021</v>
      </c>
      <c r="C76" s="19">
        <v>214.376</v>
      </c>
      <c r="D76" s="19">
        <v>544.54600000000005</v>
      </c>
      <c r="E76" s="19">
        <v>2838.0210000000002</v>
      </c>
      <c r="F76" s="19">
        <v>2008.0340000000001</v>
      </c>
      <c r="G76" s="19">
        <v>522.69399999999996</v>
      </c>
      <c r="H76" s="10">
        <f t="shared" si="27"/>
        <v>7.553714366454653E-2</v>
      </c>
      <c r="I76" s="10">
        <f t="shared" si="28"/>
        <v>0.1918752539181352</v>
      </c>
      <c r="J76" s="10">
        <f t="shared" si="29"/>
        <v>3.8417008804386512</v>
      </c>
      <c r="K76" s="4">
        <f t="shared" si="19"/>
        <v>-3.5615950026788434</v>
      </c>
      <c r="L76" s="10">
        <f t="shared" si="22"/>
        <v>0.1918752539181352</v>
      </c>
      <c r="M76" s="19">
        <v>-30.689</v>
      </c>
      <c r="N76" s="19">
        <v>290.822</v>
      </c>
      <c r="O76" s="19">
        <v>-282.911</v>
      </c>
      <c r="P76" s="11">
        <v>0.84589999999999999</v>
      </c>
      <c r="Q76" s="11">
        <v>7.7000000000000002E-3</v>
      </c>
      <c r="R76" s="12">
        <f t="shared" si="24"/>
        <v>-1.0813521112070699E-2</v>
      </c>
      <c r="S76" s="12">
        <f t="shared" si="25"/>
        <v>0.10247351939960979</v>
      </c>
      <c r="T76" s="12">
        <f t="shared" si="26"/>
        <v>-9.9686013598912757E-2</v>
      </c>
      <c r="U76" s="12">
        <f t="shared" si="15"/>
        <v>-9.1471575087006037E-3</v>
      </c>
      <c r="V76" s="12">
        <f t="shared" si="6"/>
        <v>8.668235006012992E-2</v>
      </c>
      <c r="W76" s="12">
        <f t="shared" si="7"/>
        <v>-8.4324398903320302E-2</v>
      </c>
      <c r="X76" s="12">
        <f t="shared" si="8"/>
        <v>-8.3264112562944393E-5</v>
      </c>
      <c r="Y76" s="12">
        <f t="shared" si="9"/>
        <v>7.8904609937699541E-4</v>
      </c>
      <c r="Z76" s="12">
        <f t="shared" si="10"/>
        <v>-7.6758230471162827E-4</v>
      </c>
      <c r="AA76" s="39"/>
    </row>
    <row r="77" spans="1:27" ht="15.5">
      <c r="A77" s="8" t="s">
        <v>33</v>
      </c>
      <c r="B77" s="9">
        <v>2017</v>
      </c>
      <c r="C77" s="19">
        <v>15.355</v>
      </c>
      <c r="D77" s="19">
        <v>60.959000000000003</v>
      </c>
      <c r="E77" s="19">
        <v>256.82400000000001</v>
      </c>
      <c r="F77" s="19">
        <v>135.95099999999999</v>
      </c>
      <c r="G77" s="19">
        <v>47.658999999999999</v>
      </c>
      <c r="H77" s="10">
        <f t="shared" si="27"/>
        <v>5.9788026041179949E-2</v>
      </c>
      <c r="I77" s="10">
        <f t="shared" si="28"/>
        <v>0.23735710058250009</v>
      </c>
      <c r="J77" s="10">
        <f t="shared" si="29"/>
        <v>2.8525776873203381</v>
      </c>
      <c r="K77" s="4">
        <f t="shared" si="19"/>
        <v>-3.2275209546143406</v>
      </c>
      <c r="L77" s="10">
        <f t="shared" si="22"/>
        <v>0.23735710058250009</v>
      </c>
      <c r="M77" s="19">
        <v>21.972999999999999</v>
      </c>
      <c r="N77" s="19">
        <v>1.776</v>
      </c>
      <c r="O77" s="19">
        <v>-24.806000000000001</v>
      </c>
      <c r="P77" s="11">
        <v>3.5699999999999998E-3</v>
      </c>
      <c r="Q77" s="11">
        <v>1.3849999999999999E-3</v>
      </c>
      <c r="R77" s="12">
        <f t="shared" si="24"/>
        <v>8.5556645796343006E-2</v>
      </c>
      <c r="S77" s="12">
        <f t="shared" si="25"/>
        <v>6.9152415662087656E-3</v>
      </c>
      <c r="T77" s="12">
        <f t="shared" si="26"/>
        <v>-9.6587546335233462E-2</v>
      </c>
      <c r="U77" s="12">
        <f t="shared" si="15"/>
        <v>3.054372254929445E-4</v>
      </c>
      <c r="V77" s="12">
        <f t="shared" si="6"/>
        <v>2.4687412391365291E-5</v>
      </c>
      <c r="W77" s="12">
        <f t="shared" si="7"/>
        <v>-3.4481754041678346E-4</v>
      </c>
      <c r="X77" s="12">
        <f t="shared" si="8"/>
        <v>1.1849595442793506E-4</v>
      </c>
      <c r="Y77" s="12">
        <f t="shared" si="9"/>
        <v>9.5776095691991399E-6</v>
      </c>
      <c r="Z77" s="12">
        <f t="shared" si="10"/>
        <v>-1.3377375167429833E-4</v>
      </c>
      <c r="AA77" s="39"/>
    </row>
    <row r="78" spans="1:27" ht="15.5">
      <c r="A78" s="8" t="s">
        <v>33</v>
      </c>
      <c r="B78" s="9">
        <v>2018</v>
      </c>
      <c r="C78" s="19">
        <v>16.98</v>
      </c>
      <c r="D78" s="19">
        <v>67.100999999999999</v>
      </c>
      <c r="E78" s="19">
        <v>266.49</v>
      </c>
      <c r="F78" s="19">
        <v>153.78100000000001</v>
      </c>
      <c r="G78" s="19">
        <v>67.001000000000005</v>
      </c>
      <c r="H78" s="10">
        <f t="shared" si="27"/>
        <v>6.3717212653382871E-2</v>
      </c>
      <c r="I78" s="10">
        <f t="shared" si="28"/>
        <v>0.25179556456152202</v>
      </c>
      <c r="J78" s="10">
        <f t="shared" si="29"/>
        <v>2.2952045491858328</v>
      </c>
      <c r="K78" s="4">
        <f t="shared" si="19"/>
        <v>-3.1606735571362905</v>
      </c>
      <c r="L78" s="10">
        <f t="shared" si="22"/>
        <v>0.25179556456152202</v>
      </c>
      <c r="M78" s="19">
        <v>22.004999999999999</v>
      </c>
      <c r="N78" s="19">
        <v>-3.3479999999999999</v>
      </c>
      <c r="O78" s="19">
        <v>-12.294</v>
      </c>
      <c r="P78" s="11">
        <v>3.2000000000000002E-3</v>
      </c>
      <c r="Q78" s="11">
        <v>1.3849999999999999E-3</v>
      </c>
      <c r="R78" s="12">
        <f t="shared" si="24"/>
        <v>8.2573454913880434E-2</v>
      </c>
      <c r="S78" s="12">
        <f t="shared" si="25"/>
        <v>-1.2563323201621074E-2</v>
      </c>
      <c r="T78" s="12">
        <f t="shared" si="26"/>
        <v>-4.6133063154339751E-2</v>
      </c>
      <c r="U78" s="12">
        <f t="shared" si="15"/>
        <v>2.6423505572441741E-4</v>
      </c>
      <c r="V78" s="12">
        <f t="shared" si="6"/>
        <v>-4.0202634245187436E-5</v>
      </c>
      <c r="W78" s="12">
        <f t="shared" si="7"/>
        <v>-1.4762580209388721E-4</v>
      </c>
      <c r="X78" s="12">
        <f t="shared" si="8"/>
        <v>1.143642350557244E-4</v>
      </c>
      <c r="Y78" s="12">
        <f t="shared" si="9"/>
        <v>-1.7400202634245185E-5</v>
      </c>
      <c r="Z78" s="12">
        <f t="shared" si="10"/>
        <v>-6.3894292468760549E-5</v>
      </c>
      <c r="AA78" s="39"/>
    </row>
    <row r="79" spans="1:27" ht="15.5">
      <c r="A79" s="8" t="s">
        <v>33</v>
      </c>
      <c r="B79" s="9">
        <v>2019</v>
      </c>
      <c r="C79" s="19">
        <v>19.576000000000001</v>
      </c>
      <c r="D79" s="19">
        <v>65.14</v>
      </c>
      <c r="E79" s="19">
        <v>268.98500000000001</v>
      </c>
      <c r="F79" s="19">
        <v>140.15199999999999</v>
      </c>
      <c r="G79" s="19">
        <v>65.040000000000006</v>
      </c>
      <c r="H79" s="10">
        <f t="shared" si="27"/>
        <v>7.2777292414075129E-2</v>
      </c>
      <c r="I79" s="10">
        <f t="shared" si="28"/>
        <v>0.24216963771214006</v>
      </c>
      <c r="J79" s="10">
        <f t="shared" si="29"/>
        <v>2.1548585485854854</v>
      </c>
      <c r="K79" s="4">
        <f t="shared" si="19"/>
        <v>-3.255750315098481</v>
      </c>
      <c r="L79" s="10">
        <f t="shared" si="22"/>
        <v>0.24216963771214006</v>
      </c>
      <c r="M79" s="19">
        <v>31.21</v>
      </c>
      <c r="N79" s="19">
        <v>-2.9430000000000001</v>
      </c>
      <c r="O79" s="19">
        <v>-31.558</v>
      </c>
      <c r="P79" s="11">
        <v>4.4000000000000003E-3</v>
      </c>
      <c r="Q79" s="11">
        <v>1.3849999999999999E-3</v>
      </c>
      <c r="R79" s="12">
        <f t="shared" si="24"/>
        <v>0.11602877483874566</v>
      </c>
      <c r="S79" s="12">
        <f t="shared" si="25"/>
        <v>-1.0941130546312992E-2</v>
      </c>
      <c r="T79" s="12">
        <f t="shared" si="26"/>
        <v>-0.11732252727847277</v>
      </c>
      <c r="U79" s="12">
        <f t="shared" si="15"/>
        <v>5.1052660929048089E-4</v>
      </c>
      <c r="V79" s="12">
        <f t="shared" si="6"/>
        <v>-4.8140974403777165E-5</v>
      </c>
      <c r="W79" s="12">
        <f t="shared" si="7"/>
        <v>-5.1621912002528024E-4</v>
      </c>
      <c r="X79" s="12">
        <f t="shared" si="8"/>
        <v>1.6069985315166272E-4</v>
      </c>
      <c r="Y79" s="12">
        <f t="shared" si="9"/>
        <v>-1.5153465806643493E-5</v>
      </c>
      <c r="Z79" s="12">
        <f t="shared" si="10"/>
        <v>-1.6249170028068477E-4</v>
      </c>
      <c r="AA79" s="39"/>
    </row>
    <row r="80" spans="1:27" ht="15.5">
      <c r="A80" s="8" t="s">
        <v>33</v>
      </c>
      <c r="B80" s="9">
        <v>2020</v>
      </c>
      <c r="C80" s="19">
        <v>21.123999999999999</v>
      </c>
      <c r="D80" s="19">
        <v>87.426000000000002</v>
      </c>
      <c r="E80" s="19">
        <v>294.08199999999999</v>
      </c>
      <c r="F80" s="19">
        <v>178.828</v>
      </c>
      <c r="G80" s="19">
        <v>87.426000000000002</v>
      </c>
      <c r="H80" s="10">
        <f t="shared" si="27"/>
        <v>7.183030583306696E-2</v>
      </c>
      <c r="I80" s="10">
        <f t="shared" si="28"/>
        <v>0.29728443087302181</v>
      </c>
      <c r="J80" s="10">
        <f t="shared" si="29"/>
        <v>2.0454784617848238</v>
      </c>
      <c r="K80" s="4">
        <f t="shared" si="19"/>
        <v>-2.9368970341197165</v>
      </c>
      <c r="L80" s="10">
        <f t="shared" si="22"/>
        <v>0.29728443087302181</v>
      </c>
      <c r="M80" s="19">
        <v>-6.258</v>
      </c>
      <c r="N80" s="19">
        <v>-2.4729999999999999</v>
      </c>
      <c r="O80" s="19">
        <v>8.31</v>
      </c>
      <c r="P80" s="11">
        <v>3.8E-3</v>
      </c>
      <c r="Q80" s="11">
        <v>1.58E-3</v>
      </c>
      <c r="R80" s="12">
        <f t="shared" si="24"/>
        <v>-2.1279779109228038E-2</v>
      </c>
      <c r="S80" s="12">
        <f t="shared" si="25"/>
        <v>-8.409219197366721E-3</v>
      </c>
      <c r="T80" s="12">
        <f t="shared" si="26"/>
        <v>2.8257424799885748E-2</v>
      </c>
      <c r="U80" s="12">
        <f t="shared" si="15"/>
        <v>-8.086316061506655E-5</v>
      </c>
      <c r="V80" s="12">
        <f t="shared" si="6"/>
        <v>-3.1955032949993538E-5</v>
      </c>
      <c r="W80" s="12">
        <f t="shared" si="7"/>
        <v>1.0737821423956584E-4</v>
      </c>
      <c r="X80" s="12">
        <f t="shared" si="8"/>
        <v>-3.36220509925803E-5</v>
      </c>
      <c r="Y80" s="12">
        <f t="shared" si="9"/>
        <v>-1.3286566331839419E-5</v>
      </c>
      <c r="Z80" s="12">
        <f t="shared" si="10"/>
        <v>4.4646731183819484E-5</v>
      </c>
      <c r="AA80" s="39"/>
    </row>
    <row r="81" spans="1:27" ht="15.5">
      <c r="A81" s="8" t="s">
        <v>33</v>
      </c>
      <c r="B81" s="9">
        <v>2021</v>
      </c>
      <c r="C81" s="19">
        <v>21.696999999999999</v>
      </c>
      <c r="D81" s="19">
        <v>99.808000000000007</v>
      </c>
      <c r="E81" s="19">
        <v>311.35199999999998</v>
      </c>
      <c r="F81" s="19">
        <v>201.178</v>
      </c>
      <c r="G81" s="19">
        <v>99.808000000000007</v>
      </c>
      <c r="H81" s="10">
        <f t="shared" si="27"/>
        <v>6.9686399958888978E-2</v>
      </c>
      <c r="I81" s="10">
        <f t="shared" si="28"/>
        <v>0.3205632210488451</v>
      </c>
      <c r="J81" s="10">
        <f t="shared" si="29"/>
        <v>2.0156500480923372</v>
      </c>
      <c r="K81" s="4">
        <f t="shared" si="19"/>
        <v>-2.7944410400289525</v>
      </c>
      <c r="L81" s="10">
        <f t="shared" si="22"/>
        <v>0.3205632210488451</v>
      </c>
      <c r="M81" s="19">
        <v>14.21</v>
      </c>
      <c r="N81" s="19">
        <v>-15.085000000000001</v>
      </c>
      <c r="O81" s="19">
        <v>2.0179999999999998</v>
      </c>
      <c r="P81" s="11">
        <v>0.01</v>
      </c>
      <c r="Q81" s="11">
        <v>1.5900000000000001E-3</v>
      </c>
      <c r="R81" s="12">
        <f t="shared" si="24"/>
        <v>4.5639661861815575E-2</v>
      </c>
      <c r="S81" s="12">
        <f t="shared" si="25"/>
        <v>-4.8449985868085001E-2</v>
      </c>
      <c r="T81" s="12">
        <f t="shared" si="26"/>
        <v>6.481410108173386E-3</v>
      </c>
      <c r="U81" s="12">
        <f t="shared" si="15"/>
        <v>4.5639661861815575E-4</v>
      </c>
      <c r="V81" s="12">
        <f t="shared" si="6"/>
        <v>-4.8449985868085E-4</v>
      </c>
      <c r="W81" s="12">
        <f t="shared" si="7"/>
        <v>6.4814101081733864E-5</v>
      </c>
      <c r="X81" s="12">
        <f t="shared" si="8"/>
        <v>7.2567062360286773E-5</v>
      </c>
      <c r="Y81" s="12">
        <f t="shared" si="9"/>
        <v>-7.7035477530255149E-5</v>
      </c>
      <c r="Z81" s="12">
        <f t="shared" si="10"/>
        <v>1.0305442071995684E-5</v>
      </c>
      <c r="AA81" s="39"/>
    </row>
    <row r="82" spans="1:27" ht="15.5">
      <c r="A82" s="8" t="s">
        <v>34</v>
      </c>
      <c r="B82" s="9">
        <v>2017</v>
      </c>
      <c r="C82" s="19">
        <v>206.51300000000001</v>
      </c>
      <c r="D82" s="19">
        <v>7708.8360000000002</v>
      </c>
      <c r="E82" s="19">
        <v>11059.666999999999</v>
      </c>
      <c r="F82" s="19">
        <v>1505.3150000000001</v>
      </c>
      <c r="G82" s="19">
        <v>1831.655</v>
      </c>
      <c r="H82" s="10">
        <f t="shared" si="27"/>
        <v>1.8672623687494391E-2</v>
      </c>
      <c r="I82" s="10">
        <f t="shared" si="28"/>
        <v>0.69702243295390365</v>
      </c>
      <c r="J82" s="10">
        <f t="shared" si="29"/>
        <v>0.82183326008445923</v>
      </c>
      <c r="K82" s="4">
        <f t="shared" si="19"/>
        <v>-0.41428627179681149</v>
      </c>
      <c r="L82" s="10">
        <f t="shared" si="22"/>
        <v>0.69702243295390365</v>
      </c>
      <c r="M82" s="19">
        <v>1887.7670000000001</v>
      </c>
      <c r="N82" s="19">
        <v>-1916.769</v>
      </c>
      <c r="O82" s="19">
        <v>85.162000000000006</v>
      </c>
      <c r="P82" s="20">
        <v>6.9999999999999999E-4</v>
      </c>
      <c r="Q82" s="20">
        <v>2.32E-3</v>
      </c>
      <c r="R82" s="12">
        <f t="shared" si="24"/>
        <v>0.17068931641431881</v>
      </c>
      <c r="S82" s="12">
        <f t="shared" si="25"/>
        <v>-0.17331163768312374</v>
      </c>
      <c r="T82" s="12">
        <f t="shared" si="26"/>
        <v>7.7002318424234661E-3</v>
      </c>
      <c r="U82" s="12">
        <f t="shared" si="15"/>
        <v>1.1948252149002317E-4</v>
      </c>
      <c r="V82" s="12">
        <f t="shared" si="6"/>
        <v>-1.2131814637818662E-4</v>
      </c>
      <c r="W82" s="12">
        <f t="shared" si="7"/>
        <v>5.3901622896964266E-6</v>
      </c>
      <c r="X82" s="12">
        <f t="shared" si="8"/>
        <v>3.9599921408121962E-4</v>
      </c>
      <c r="Y82" s="12">
        <f t="shared" si="9"/>
        <v>-4.0208299942484708E-4</v>
      </c>
      <c r="Z82" s="12">
        <f t="shared" si="10"/>
        <v>1.7864537874422441E-5</v>
      </c>
      <c r="AA82" s="39"/>
    </row>
    <row r="83" spans="1:27" ht="15.5">
      <c r="A83" s="8" t="s">
        <v>34</v>
      </c>
      <c r="B83" s="9">
        <v>2018</v>
      </c>
      <c r="C83" s="19">
        <v>325.00400000000002</v>
      </c>
      <c r="D83" s="19">
        <v>9651.6080000000002</v>
      </c>
      <c r="E83" s="19">
        <v>13777.983</v>
      </c>
      <c r="F83" s="19">
        <v>1481.9649999999999</v>
      </c>
      <c r="G83" s="19">
        <v>2440.7910000000002</v>
      </c>
      <c r="H83" s="10">
        <f t="shared" si="27"/>
        <v>2.3588648643273837E-2</v>
      </c>
      <c r="I83" s="10">
        <f t="shared" si="28"/>
        <v>0.70050950128186396</v>
      </c>
      <c r="J83" s="10">
        <f t="shared" si="29"/>
        <v>0.60716587368603037</v>
      </c>
      <c r="K83" s="4">
        <f t="shared" si="19"/>
        <v>-0.4156734250828511</v>
      </c>
      <c r="L83" s="10">
        <f t="shared" si="22"/>
        <v>0.70050950128186396</v>
      </c>
      <c r="M83" s="19">
        <v>3381.078</v>
      </c>
      <c r="N83" s="19">
        <v>-3466.3409999999999</v>
      </c>
      <c r="O83" s="19">
        <v>-17.456</v>
      </c>
      <c r="P83" s="11">
        <v>1.4E-3</v>
      </c>
      <c r="Q83" s="11">
        <v>2.4979999999999998E-3</v>
      </c>
      <c r="R83" s="12">
        <f t="shared" si="24"/>
        <v>0.24539716735025729</v>
      </c>
      <c r="S83" s="12">
        <f t="shared" si="25"/>
        <v>-0.25158551872215257</v>
      </c>
      <c r="T83" s="12">
        <f t="shared" si="26"/>
        <v>-1.2669488705277106E-3</v>
      </c>
      <c r="U83" s="12">
        <f t="shared" si="15"/>
        <v>3.4355603429036023E-4</v>
      </c>
      <c r="V83" s="12">
        <f t="shared" si="6"/>
        <v>-3.522197262110136E-4</v>
      </c>
      <c r="W83" s="12">
        <f t="shared" si="7"/>
        <v>-1.7737284187387949E-6</v>
      </c>
      <c r="X83" s="12">
        <f t="shared" si="8"/>
        <v>6.1300212404094263E-4</v>
      </c>
      <c r="Y83" s="12">
        <f t="shared" si="9"/>
        <v>-6.284606257679371E-4</v>
      </c>
      <c r="Z83" s="12">
        <f t="shared" si="10"/>
        <v>-3.164838278578221E-6</v>
      </c>
      <c r="AA83" s="39"/>
    </row>
    <row r="84" spans="1:27" ht="15.5">
      <c r="A84" s="8" t="s">
        <v>34</v>
      </c>
      <c r="B84" s="9">
        <v>2019</v>
      </c>
      <c r="C84" s="19">
        <v>476.24400000000003</v>
      </c>
      <c r="D84" s="19">
        <v>4007.72</v>
      </c>
      <c r="E84" s="19">
        <v>6207.482</v>
      </c>
      <c r="F84" s="19">
        <v>1647.2570000000001</v>
      </c>
      <c r="G84" s="19">
        <v>1457.6479999999999</v>
      </c>
      <c r="H84" s="10">
        <f t="shared" si="27"/>
        <v>7.6720963508230877E-2</v>
      </c>
      <c r="I84" s="10">
        <f t="shared" si="28"/>
        <v>0.64562732521818023</v>
      </c>
      <c r="J84" s="10">
        <f t="shared" si="29"/>
        <v>1.1300787295698276</v>
      </c>
      <c r="K84" s="4">
        <f t="shared" si="19"/>
        <v>-0.9696888969616908</v>
      </c>
      <c r="L84" s="10">
        <f t="shared" si="22"/>
        <v>0.64562732521818023</v>
      </c>
      <c r="M84" s="19">
        <v>462.89699999999999</v>
      </c>
      <c r="N84" s="19">
        <v>-701.79700000000003</v>
      </c>
      <c r="O84" s="19">
        <v>146.548</v>
      </c>
      <c r="P84" s="11">
        <v>0.1002</v>
      </c>
      <c r="Q84" s="11">
        <v>2.47E-3</v>
      </c>
      <c r="R84" s="12">
        <f t="shared" si="24"/>
        <v>7.4570816314892249E-2</v>
      </c>
      <c r="S84" s="12">
        <f t="shared" si="25"/>
        <v>-0.11305663069180064</v>
      </c>
      <c r="T84" s="12">
        <f t="shared" si="26"/>
        <v>2.3608284325270699E-2</v>
      </c>
      <c r="U84" s="12">
        <f t="shared" si="15"/>
        <v>7.4719957947522028E-3</v>
      </c>
      <c r="V84" s="12">
        <f t="shared" si="6"/>
        <v>-1.1328274395318423E-2</v>
      </c>
      <c r="W84" s="12">
        <f t="shared" si="7"/>
        <v>2.365550089392124E-3</v>
      </c>
      <c r="X84" s="12">
        <f t="shared" si="8"/>
        <v>1.8418991629778385E-4</v>
      </c>
      <c r="Y84" s="12">
        <f t="shared" si="9"/>
        <v>-2.7924987780874759E-4</v>
      </c>
      <c r="Z84" s="12">
        <f t="shared" si="10"/>
        <v>5.8312462283418624E-5</v>
      </c>
      <c r="AA84" s="39"/>
    </row>
    <row r="85" spans="1:27" ht="15.5">
      <c r="A85" s="8" t="s">
        <v>34</v>
      </c>
      <c r="B85" s="9">
        <v>2020</v>
      </c>
      <c r="C85" s="19">
        <v>535.42999999999995</v>
      </c>
      <c r="D85" s="19">
        <v>4836.4840000000004</v>
      </c>
      <c r="E85" s="19">
        <v>8245.8430000000008</v>
      </c>
      <c r="F85" s="19">
        <v>2459.069</v>
      </c>
      <c r="G85" s="19">
        <v>1987.5050000000001</v>
      </c>
      <c r="H85" s="10">
        <f t="shared" si="27"/>
        <v>6.4933324585491128E-2</v>
      </c>
      <c r="I85" s="10">
        <f t="shared" si="28"/>
        <v>0.58653602791127601</v>
      </c>
      <c r="J85" s="10">
        <f t="shared" si="29"/>
        <v>1.2372643087690345</v>
      </c>
      <c r="K85" s="4">
        <f t="shared" si="19"/>
        <v>-1.253893658775513</v>
      </c>
      <c r="L85" s="10">
        <f t="shared" si="22"/>
        <v>0.58653602791127601</v>
      </c>
      <c r="M85" s="19">
        <v>1149.9760000000001</v>
      </c>
      <c r="N85" s="19">
        <v>-1887.691</v>
      </c>
      <c r="O85" s="19">
        <v>1391.001</v>
      </c>
      <c r="P85" s="11">
        <v>0.15260000000000001</v>
      </c>
      <c r="Q85" s="11">
        <v>9.0399999999999994E-3</v>
      </c>
      <c r="R85" s="12">
        <f t="shared" si="24"/>
        <v>0.13946130189478503</v>
      </c>
      <c r="S85" s="12">
        <f t="shared" si="25"/>
        <v>-0.2289263814506291</v>
      </c>
      <c r="T85" s="12">
        <f t="shared" si="26"/>
        <v>0.16869118172635592</v>
      </c>
      <c r="U85" s="12">
        <f t="shared" si="15"/>
        <v>2.1281794669144198E-2</v>
      </c>
      <c r="V85" s="12">
        <f t="shared" si="6"/>
        <v>-3.4934165809366001E-2</v>
      </c>
      <c r="W85" s="12">
        <f t="shared" si="7"/>
        <v>2.5742274331441915E-2</v>
      </c>
      <c r="X85" s="12">
        <f t="shared" si="8"/>
        <v>1.2607301691288566E-3</v>
      </c>
      <c r="Y85" s="12">
        <f t="shared" si="9"/>
        <v>-2.0694944883136871E-3</v>
      </c>
      <c r="Z85" s="12">
        <f t="shared" si="10"/>
        <v>1.5249682828062574E-3</v>
      </c>
      <c r="AA85" s="39"/>
    </row>
    <row r="86" spans="1:27" ht="15.5">
      <c r="A86" s="8" t="s">
        <v>34</v>
      </c>
      <c r="B86" s="9">
        <v>2021</v>
      </c>
      <c r="C86" s="19">
        <v>755.14200000000005</v>
      </c>
      <c r="D86" s="19">
        <v>5148.5169999999998</v>
      </c>
      <c r="E86" s="19">
        <v>9073.8529999999992</v>
      </c>
      <c r="F86" s="19">
        <v>2718.6210000000001</v>
      </c>
      <c r="G86" s="19">
        <v>2007.847</v>
      </c>
      <c r="H86" s="10">
        <f t="shared" si="27"/>
        <v>8.3221758166018359E-2</v>
      </c>
      <c r="I86" s="10">
        <f t="shared" si="28"/>
        <v>0.56740141150622569</v>
      </c>
      <c r="J86" s="10">
        <f t="shared" si="29"/>
        <v>1.3539980884997711</v>
      </c>
      <c r="K86" s="4">
        <f t="shared" si="19"/>
        <v>-1.4457258585155954</v>
      </c>
      <c r="L86" s="10">
        <f t="shared" si="22"/>
        <v>0.56740141150622569</v>
      </c>
      <c r="M86" s="19">
        <v>892.22400000000005</v>
      </c>
      <c r="N86" s="19">
        <v>-1080.8520000000001</v>
      </c>
      <c r="O86" s="19">
        <v>-63.332999999999998</v>
      </c>
      <c r="P86" s="11">
        <v>0.19109999999999999</v>
      </c>
      <c r="Q86" s="11">
        <v>1.34E-2</v>
      </c>
      <c r="R86" s="12">
        <f t="shared" si="24"/>
        <v>9.8329122149102499E-2</v>
      </c>
      <c r="S86" s="12">
        <f t="shared" si="25"/>
        <v>-0.11911720412486297</v>
      </c>
      <c r="T86" s="12">
        <f t="shared" si="26"/>
        <v>-6.9797251509364326E-3</v>
      </c>
      <c r="U86" s="12">
        <f t="shared" si="15"/>
        <v>1.8790695242693486E-2</v>
      </c>
      <c r="V86" s="12">
        <f t="shared" si="6"/>
        <v>-2.2763297708261312E-2</v>
      </c>
      <c r="W86" s="12">
        <f t="shared" si="7"/>
        <v>-1.3338254763439522E-3</v>
      </c>
      <c r="X86" s="12">
        <f t="shared" si="8"/>
        <v>1.3176102367979735E-3</v>
      </c>
      <c r="Y86" s="12">
        <f t="shared" si="9"/>
        <v>-1.596170535273164E-3</v>
      </c>
      <c r="Z86" s="12">
        <f t="shared" si="10"/>
        <v>-9.3528317022548204E-5</v>
      </c>
      <c r="AA86" s="39"/>
    </row>
    <row r="87" spans="1:27" ht="15.5">
      <c r="A87" s="8" t="s">
        <v>35</v>
      </c>
      <c r="B87" s="9">
        <v>2017</v>
      </c>
      <c r="C87" s="19">
        <v>91.653000000000006</v>
      </c>
      <c r="D87" s="19">
        <v>307.67</v>
      </c>
      <c r="E87" s="19">
        <v>747.66</v>
      </c>
      <c r="F87" s="19">
        <v>393.96600000000001</v>
      </c>
      <c r="G87" s="19">
        <v>267.67599999999999</v>
      </c>
      <c r="H87" s="10">
        <f t="shared" si="27"/>
        <v>0.1225864697857315</v>
      </c>
      <c r="I87" s="10">
        <f t="shared" si="28"/>
        <v>0.41151057967525351</v>
      </c>
      <c r="J87" s="10">
        <f t="shared" si="29"/>
        <v>1.471801730450246</v>
      </c>
      <c r="K87" s="4">
        <f t="shared" si="19"/>
        <v>-2.5119160168086472</v>
      </c>
      <c r="L87" s="10">
        <f t="shared" si="22"/>
        <v>0.41151057967525351</v>
      </c>
      <c r="M87" s="19">
        <v>44.027000000000001</v>
      </c>
      <c r="N87" s="19">
        <v>-118.803</v>
      </c>
      <c r="O87" s="19">
        <v>99.227000000000004</v>
      </c>
      <c r="P87" s="11">
        <v>0.317</v>
      </c>
      <c r="Q87" s="11">
        <f>2.32%+0.06%</f>
        <v>2.3799999999999998E-2</v>
      </c>
      <c r="R87" s="12">
        <f t="shared" si="24"/>
        <v>5.8886392210363001E-2</v>
      </c>
      <c r="S87" s="12">
        <f t="shared" si="25"/>
        <v>-0.15889976727389454</v>
      </c>
      <c r="T87" s="12">
        <f t="shared" si="26"/>
        <v>0.13271674290452881</v>
      </c>
      <c r="U87" s="12">
        <f t="shared" si="15"/>
        <v>1.8666986330685073E-2</v>
      </c>
      <c r="V87" s="12">
        <f t="shared" si="6"/>
        <v>-5.0371226225824572E-2</v>
      </c>
      <c r="W87" s="12">
        <f t="shared" si="7"/>
        <v>4.2071207500735633E-2</v>
      </c>
      <c r="X87" s="12">
        <f t="shared" si="8"/>
        <v>1.4014961346066393E-3</v>
      </c>
      <c r="Y87" s="12">
        <f t="shared" si="9"/>
        <v>-3.7818144611186898E-3</v>
      </c>
      <c r="Z87" s="12">
        <f t="shared" si="10"/>
        <v>3.1586584811277856E-3</v>
      </c>
      <c r="AA87" s="39"/>
    </row>
    <row r="88" spans="1:27" ht="15.5">
      <c r="A88" s="8" t="s">
        <v>35</v>
      </c>
      <c r="B88" s="9">
        <v>2018</v>
      </c>
      <c r="C88" s="19">
        <v>92.445999999999998</v>
      </c>
      <c r="D88" s="19">
        <v>291.09100000000001</v>
      </c>
      <c r="E88" s="19">
        <v>782.678</v>
      </c>
      <c r="F88" s="19">
        <v>407.13600000000002</v>
      </c>
      <c r="G88" s="19">
        <v>249.28</v>
      </c>
      <c r="H88" s="10">
        <f t="shared" si="27"/>
        <v>0.11811498470635433</v>
      </c>
      <c r="I88" s="10">
        <f t="shared" si="28"/>
        <v>0.37191667582326321</v>
      </c>
      <c r="J88" s="10">
        <f t="shared" si="29"/>
        <v>1.633247753530167</v>
      </c>
      <c r="K88" s="4">
        <f t="shared" si="19"/>
        <v>-2.7181253700001142</v>
      </c>
      <c r="L88" s="10">
        <f t="shared" si="22"/>
        <v>0.37191667582326321</v>
      </c>
      <c r="M88" s="19">
        <v>71.287999999999997</v>
      </c>
      <c r="N88" s="19">
        <v>-25.872</v>
      </c>
      <c r="O88" s="19">
        <v>-57.591000000000001</v>
      </c>
      <c r="P88" s="11">
        <f>21.88%+8.78%</f>
        <v>0.30659999999999998</v>
      </c>
      <c r="Q88" s="11">
        <f t="shared" ref="Q88:Q89" si="30">2.31%+0.04%+0.02%</f>
        <v>2.3699999999999999E-2</v>
      </c>
      <c r="R88" s="12">
        <f t="shared" si="24"/>
        <v>9.1082156391261798E-2</v>
      </c>
      <c r="S88" s="12">
        <f t="shared" si="25"/>
        <v>-3.3055739397300041E-2</v>
      </c>
      <c r="T88" s="12">
        <f t="shared" si="26"/>
        <v>-7.358198390653628E-2</v>
      </c>
      <c r="U88" s="12">
        <f t="shared" si="15"/>
        <v>2.7925789149560867E-2</v>
      </c>
      <c r="V88" s="12">
        <f t="shared" si="6"/>
        <v>-1.0134889699212193E-2</v>
      </c>
      <c r="W88" s="12">
        <f t="shared" si="7"/>
        <v>-2.2560236265744021E-2</v>
      </c>
      <c r="X88" s="12">
        <f t="shared" si="8"/>
        <v>2.1586471064729044E-3</v>
      </c>
      <c r="Y88" s="12">
        <f t="shared" si="9"/>
        <v>-7.8342102371601089E-4</v>
      </c>
      <c r="Z88" s="12">
        <f t="shared" si="10"/>
        <v>-1.7438930185849097E-3</v>
      </c>
      <c r="AA88" s="39"/>
    </row>
    <row r="89" spans="1:27" ht="15.5">
      <c r="A89" s="8" t="s">
        <v>35</v>
      </c>
      <c r="B89" s="9">
        <v>2019</v>
      </c>
      <c r="C89" s="19">
        <v>75.819000000000003</v>
      </c>
      <c r="D89" s="19">
        <v>383.721</v>
      </c>
      <c r="E89" s="19">
        <v>895.55499999999995</v>
      </c>
      <c r="F89" s="19">
        <v>430.99599999999998</v>
      </c>
      <c r="G89" s="19">
        <v>337.42099999999999</v>
      </c>
      <c r="H89" s="10">
        <f t="shared" si="27"/>
        <v>8.4661466911579983E-2</v>
      </c>
      <c r="I89" s="10">
        <f t="shared" si="28"/>
        <v>0.42847284644717526</v>
      </c>
      <c r="J89" s="10">
        <f t="shared" si="29"/>
        <v>1.2773241736584267</v>
      </c>
      <c r="K89" s="4">
        <f t="shared" si="19"/>
        <v>-2.2437906730478443</v>
      </c>
      <c r="L89" s="10">
        <f t="shared" si="22"/>
        <v>0.42847284644717526</v>
      </c>
      <c r="M89" s="19">
        <v>62.805</v>
      </c>
      <c r="N89" s="19">
        <v>-90.504000000000005</v>
      </c>
      <c r="O89" s="19">
        <v>56.23</v>
      </c>
      <c r="P89" s="11">
        <v>0.27487</v>
      </c>
      <c r="Q89" s="11">
        <f t="shared" si="30"/>
        <v>2.3699999999999999E-2</v>
      </c>
      <c r="R89" s="12">
        <f t="shared" si="24"/>
        <v>7.0129696110233328E-2</v>
      </c>
      <c r="S89" s="12">
        <f t="shared" si="25"/>
        <v>-0.10105911976372195</v>
      </c>
      <c r="T89" s="12">
        <f t="shared" si="26"/>
        <v>6.2787880141364855E-2</v>
      </c>
      <c r="U89" s="12">
        <f t="shared" si="15"/>
        <v>1.9276549569819834E-2</v>
      </c>
      <c r="V89" s="12">
        <f t="shared" si="6"/>
        <v>-2.7778120249454252E-2</v>
      </c>
      <c r="W89" s="12">
        <f t="shared" si="7"/>
        <v>1.7258504614456958E-2</v>
      </c>
      <c r="X89" s="12">
        <f t="shared" si="8"/>
        <v>1.6620737978125298E-3</v>
      </c>
      <c r="Y89" s="12">
        <f t="shared" si="9"/>
        <v>-2.3951011384002103E-3</v>
      </c>
      <c r="Z89" s="12">
        <f t="shared" si="10"/>
        <v>1.4880727593503469E-3</v>
      </c>
      <c r="AA89" s="39"/>
    </row>
    <row r="90" spans="1:27" ht="15.5">
      <c r="A90" s="8" t="s">
        <v>35</v>
      </c>
      <c r="B90" s="9">
        <v>2020</v>
      </c>
      <c r="C90" s="19">
        <v>83.111999999999995</v>
      </c>
      <c r="D90" s="19">
        <v>425.61500000000001</v>
      </c>
      <c r="E90" s="19">
        <v>975.88099999999997</v>
      </c>
      <c r="F90" s="19">
        <v>489.07299999999998</v>
      </c>
      <c r="G90" s="19">
        <v>382.98500000000001</v>
      </c>
      <c r="H90" s="10">
        <f t="shared" si="27"/>
        <v>8.516612168901741E-2</v>
      </c>
      <c r="I90" s="10">
        <f t="shared" si="28"/>
        <v>0.4361341188116174</v>
      </c>
      <c r="J90" s="10">
        <f t="shared" si="29"/>
        <v>1.2770030157839078</v>
      </c>
      <c r="K90" s="4">
        <f t="shared" si="19"/>
        <v>-2.2023910824374946</v>
      </c>
      <c r="L90" s="10">
        <f t="shared" si="22"/>
        <v>0.4361341188116174</v>
      </c>
      <c r="M90" s="19">
        <v>59.665999999999997</v>
      </c>
      <c r="N90" s="19">
        <v>-38.386000000000003</v>
      </c>
      <c r="O90" s="19">
        <v>1.643</v>
      </c>
      <c r="P90" s="11">
        <v>0.13450999999999999</v>
      </c>
      <c r="Q90" s="11">
        <f>2.287%+0.045%+0.02%</f>
        <v>2.3519999999999996E-2</v>
      </c>
      <c r="R90" s="12">
        <f t="shared" si="24"/>
        <v>6.114065137040274E-2</v>
      </c>
      <c r="S90" s="12">
        <f t="shared" si="25"/>
        <v>-3.9334713966149563E-2</v>
      </c>
      <c r="T90" s="12">
        <f t="shared" si="26"/>
        <v>1.6836069151874051E-3</v>
      </c>
      <c r="U90" s="12">
        <f t="shared" si="15"/>
        <v>8.2240290158328722E-3</v>
      </c>
      <c r="V90" s="12">
        <f t="shared" si="6"/>
        <v>-5.290912375586777E-3</v>
      </c>
      <c r="W90" s="12">
        <f t="shared" si="7"/>
        <v>2.2646196616185783E-4</v>
      </c>
      <c r="X90" s="12">
        <f t="shared" si="8"/>
        <v>1.4380281202318723E-3</v>
      </c>
      <c r="Y90" s="12">
        <f t="shared" si="9"/>
        <v>-9.2515247248383759E-4</v>
      </c>
      <c r="Z90" s="12">
        <f t="shared" si="10"/>
        <v>3.9598434645207761E-5</v>
      </c>
      <c r="AA90" s="39"/>
    </row>
    <row r="91" spans="1:27" ht="15.5">
      <c r="A91" s="8" t="s">
        <v>35</v>
      </c>
      <c r="B91" s="9">
        <v>2021</v>
      </c>
      <c r="C91" s="19">
        <v>75.289000000000001</v>
      </c>
      <c r="D91" s="19">
        <v>389.13099999999997</v>
      </c>
      <c r="E91" s="19">
        <v>973.03399999999999</v>
      </c>
      <c r="F91" s="19">
        <v>541.35</v>
      </c>
      <c r="G91" s="19">
        <v>350.73899999999998</v>
      </c>
      <c r="H91" s="10">
        <f t="shared" si="27"/>
        <v>7.737550794730709E-2</v>
      </c>
      <c r="I91" s="10">
        <f t="shared" si="28"/>
        <v>0.39991511087998977</v>
      </c>
      <c r="J91" s="10">
        <f t="shared" si="29"/>
        <v>1.5434553899053143</v>
      </c>
      <c r="K91" s="4">
        <f t="shared" ref="K91:K154" si="31">-4.3 -4.5*(C91/E91)+5.7*(D91/E91)-0.004*(F91/G91)</f>
        <v>-2.3748474753065612</v>
      </c>
      <c r="L91" s="10">
        <f t="shared" si="22"/>
        <v>0.39991511087998977</v>
      </c>
      <c r="M91" s="19">
        <v>-13.403</v>
      </c>
      <c r="N91" s="19">
        <v>129.637</v>
      </c>
      <c r="O91" s="19">
        <v>-92.899000000000001</v>
      </c>
      <c r="P91" s="11">
        <v>4.104E-2</v>
      </c>
      <c r="Q91" s="11">
        <f>2.287%+0.045%+0.022%</f>
        <v>2.3539999999999998E-2</v>
      </c>
      <c r="R91" s="12">
        <f t="shared" si="24"/>
        <v>-1.3774441591969038E-2</v>
      </c>
      <c r="S91" s="12">
        <f t="shared" si="25"/>
        <v>0.13322967131672686</v>
      </c>
      <c r="T91" s="12">
        <f t="shared" si="26"/>
        <v>-9.5473539465219096E-2</v>
      </c>
      <c r="U91" s="12">
        <f t="shared" si="15"/>
        <v>-5.653030829344093E-4</v>
      </c>
      <c r="V91" s="12">
        <f t="shared" si="6"/>
        <v>5.4677457108384701E-3</v>
      </c>
      <c r="W91" s="12">
        <f t="shared" si="7"/>
        <v>-3.9182340596525915E-3</v>
      </c>
      <c r="X91" s="12">
        <f t="shared" si="8"/>
        <v>-3.2425035507495115E-4</v>
      </c>
      <c r="Y91" s="12">
        <f t="shared" si="9"/>
        <v>3.1362264627957503E-3</v>
      </c>
      <c r="Z91" s="12">
        <f t="shared" si="10"/>
        <v>-2.2474471190112575E-3</v>
      </c>
      <c r="AA91" s="39"/>
    </row>
    <row r="92" spans="1:27" ht="15.5">
      <c r="A92" s="8" t="s">
        <v>36</v>
      </c>
      <c r="B92" s="9">
        <v>2017</v>
      </c>
      <c r="C92" s="19">
        <v>326.05900000000003</v>
      </c>
      <c r="D92" s="19">
        <v>1682.34</v>
      </c>
      <c r="E92" s="19">
        <v>2963.0729999999999</v>
      </c>
      <c r="F92" s="19">
        <v>1913.883</v>
      </c>
      <c r="G92" s="19">
        <v>1550.7159999999999</v>
      </c>
      <c r="H92" s="10">
        <f t="shared" si="27"/>
        <v>0.11004082585882968</v>
      </c>
      <c r="I92" s="10">
        <f t="shared" si="28"/>
        <v>0.56776866449122243</v>
      </c>
      <c r="J92" s="10">
        <f t="shared" si="29"/>
        <v>1.2341931082158177</v>
      </c>
      <c r="K92" s="4">
        <f t="shared" si="31"/>
        <v>-1.5638391011976287</v>
      </c>
      <c r="L92" s="10">
        <f t="shared" si="22"/>
        <v>0.56776866449122243</v>
      </c>
      <c r="M92" s="19">
        <v>95.266999999999996</v>
      </c>
      <c r="N92" s="19">
        <v>-472.84100000000001</v>
      </c>
      <c r="O92" s="19">
        <v>388.065</v>
      </c>
      <c r="P92" s="11">
        <f>634374 /57600000</f>
        <v>1.1013437500000001E-2</v>
      </c>
      <c r="Q92" s="11">
        <v>1.99E-3</v>
      </c>
      <c r="R92" s="12">
        <f t="shared" si="24"/>
        <v>3.2151418476696322E-2</v>
      </c>
      <c r="S92" s="12">
        <f t="shared" si="25"/>
        <v>-0.15957791117532374</v>
      </c>
      <c r="T92" s="12">
        <f t="shared" si="26"/>
        <v>0.13096707371030009</v>
      </c>
      <c r="U92" s="12">
        <f t="shared" si="15"/>
        <v>3.5409763792944017E-4</v>
      </c>
      <c r="V92" s="12">
        <f t="shared" si="6"/>
        <v>-1.7575013511099797E-3</v>
      </c>
      <c r="W92" s="12">
        <f t="shared" si="7"/>
        <v>1.4423976808662833E-3</v>
      </c>
      <c r="X92" s="12">
        <f t="shared" si="8"/>
        <v>6.3981322768625679E-5</v>
      </c>
      <c r="Y92" s="12">
        <f t="shared" si="9"/>
        <v>-3.1756004323889428E-4</v>
      </c>
      <c r="Z92" s="12">
        <f t="shared" si="10"/>
        <v>2.6062447668349719E-4</v>
      </c>
      <c r="AA92" s="39"/>
    </row>
    <row r="93" spans="1:27" ht="15.5">
      <c r="A93" s="8" t="s">
        <v>36</v>
      </c>
      <c r="B93" s="9">
        <v>2018</v>
      </c>
      <c r="C93" s="19">
        <v>415.14499999999998</v>
      </c>
      <c r="D93" s="19">
        <v>2014.0730000000001</v>
      </c>
      <c r="E93" s="19">
        <v>3484.8249999999998</v>
      </c>
      <c r="F93" s="19">
        <v>2.430911</v>
      </c>
      <c r="G93" s="19">
        <v>1753.7190000000001</v>
      </c>
      <c r="H93" s="10">
        <f t="shared" si="27"/>
        <v>0.11912936804574117</v>
      </c>
      <c r="I93" s="10">
        <f t="shared" si="28"/>
        <v>0.57795527752469644</v>
      </c>
      <c r="J93" s="10">
        <f t="shared" si="29"/>
        <v>1.3861462412165233E-3</v>
      </c>
      <c r="K93" s="4">
        <f t="shared" si="31"/>
        <v>-1.5417426189000301</v>
      </c>
      <c r="L93" s="10">
        <f t="shared" si="22"/>
        <v>0.57795527752469644</v>
      </c>
      <c r="M93" s="19">
        <v>74.034000000000006</v>
      </c>
      <c r="N93" s="19">
        <v>39.081000000000003</v>
      </c>
      <c r="O93" s="19">
        <v>-18.016999999999999</v>
      </c>
      <c r="P93" s="11">
        <v>1.9E-3</v>
      </c>
      <c r="Q93" s="11">
        <v>1.99E-3</v>
      </c>
      <c r="R93" s="12">
        <f t="shared" si="24"/>
        <v>2.1244682301119859E-2</v>
      </c>
      <c r="S93" s="12">
        <f t="shared" si="25"/>
        <v>1.1214623402896848E-2</v>
      </c>
      <c r="T93" s="12">
        <f t="shared" si="26"/>
        <v>-5.1701304943576791E-3</v>
      </c>
      <c r="U93" s="12">
        <f t="shared" si="15"/>
        <v>4.036489637212773E-5</v>
      </c>
      <c r="V93" s="12">
        <f t="shared" si="6"/>
        <v>2.1307784465504011E-5</v>
      </c>
      <c r="W93" s="12">
        <f t="shared" si="7"/>
        <v>-9.8232479392795901E-6</v>
      </c>
      <c r="X93" s="12">
        <f t="shared" si="8"/>
        <v>4.2276917779228517E-5</v>
      </c>
      <c r="Y93" s="12">
        <f t="shared" si="9"/>
        <v>2.2317100571764726E-5</v>
      </c>
      <c r="Z93" s="12">
        <f t="shared" si="10"/>
        <v>-1.0288559683771781E-5</v>
      </c>
      <c r="AA93" s="39"/>
    </row>
    <row r="94" spans="1:27" ht="15.5">
      <c r="A94" s="8" t="s">
        <v>36</v>
      </c>
      <c r="B94" s="9">
        <v>2019</v>
      </c>
      <c r="C94" s="19">
        <v>493.77</v>
      </c>
      <c r="D94" s="19">
        <v>2456.799</v>
      </c>
      <c r="E94" s="19">
        <v>4055.076</v>
      </c>
      <c r="F94" s="19">
        <v>2706.7429999999999</v>
      </c>
      <c r="G94" s="19">
        <v>1993.47</v>
      </c>
      <c r="H94" s="10">
        <f t="shared" si="27"/>
        <v>0.12176590525060442</v>
      </c>
      <c r="I94" s="10">
        <f t="shared" si="28"/>
        <v>0.60585769539214551</v>
      </c>
      <c r="J94" s="10">
        <f t="shared" si="29"/>
        <v>1.3578047324514539</v>
      </c>
      <c r="K94" s="4">
        <f t="shared" si="31"/>
        <v>-1.3999889288222962</v>
      </c>
      <c r="L94" s="10">
        <f t="shared" si="22"/>
        <v>0.60585769539214551</v>
      </c>
      <c r="M94" s="19">
        <v>-175.80699999999999</v>
      </c>
      <c r="N94" s="19">
        <v>-252.429</v>
      </c>
      <c r="O94" s="19">
        <v>342.036</v>
      </c>
      <c r="P94" s="11">
        <v>1.9E-3</v>
      </c>
      <c r="Q94" s="11">
        <v>1.99E-3</v>
      </c>
      <c r="R94" s="12">
        <f t="shared" si="24"/>
        <v>-4.3354797789239952E-2</v>
      </c>
      <c r="S94" s="12">
        <f t="shared" si="25"/>
        <v>-6.2250127987736853E-2</v>
      </c>
      <c r="T94" s="12">
        <f t="shared" si="26"/>
        <v>8.4347617652542145E-2</v>
      </c>
      <c r="U94" s="12">
        <f t="shared" si="15"/>
        <v>-8.2374115799555906E-5</v>
      </c>
      <c r="V94" s="12">
        <f t="shared" si="6"/>
        <v>-1.1827524317670002E-4</v>
      </c>
      <c r="W94" s="12">
        <f t="shared" si="7"/>
        <v>1.6026047353983008E-4</v>
      </c>
      <c r="X94" s="12">
        <f t="shared" si="8"/>
        <v>-8.6276047600587506E-5</v>
      </c>
      <c r="Y94" s="12">
        <f t="shared" si="9"/>
        <v>-1.2387775469559635E-4</v>
      </c>
      <c r="Z94" s="12">
        <f t="shared" si="10"/>
        <v>1.6785175912855887E-4</v>
      </c>
      <c r="AA94" s="39"/>
    </row>
    <row r="95" spans="1:27" ht="15.5">
      <c r="A95" s="8" t="s">
        <v>36</v>
      </c>
      <c r="B95" s="9">
        <v>2020</v>
      </c>
      <c r="C95" s="19">
        <v>393.49599999999998</v>
      </c>
      <c r="D95" s="19">
        <v>3849.9340000000002</v>
      </c>
      <c r="E95" s="19">
        <v>5608.5050000000001</v>
      </c>
      <c r="F95" s="19">
        <v>4065.2449999999999</v>
      </c>
      <c r="G95" s="19">
        <v>3377.4740000000002</v>
      </c>
      <c r="H95" s="10">
        <f t="shared" si="27"/>
        <v>7.0160586466446934E-2</v>
      </c>
      <c r="I95" s="10">
        <f t="shared" si="28"/>
        <v>0.6864456749169342</v>
      </c>
      <c r="J95" s="10">
        <f t="shared" si="29"/>
        <v>1.2036347282022006</v>
      </c>
      <c r="K95" s="4">
        <f t="shared" si="31"/>
        <v>-0.70779683098529456</v>
      </c>
      <c r="L95" s="10">
        <f t="shared" si="22"/>
        <v>0.6864456749169342</v>
      </c>
      <c r="M95" s="19">
        <v>215.10900000000001</v>
      </c>
      <c r="N95" s="19">
        <v>-182.23599999999999</v>
      </c>
      <c r="O95" s="19">
        <v>-70.453000000000003</v>
      </c>
      <c r="P95" s="11">
        <v>3.0000000000000001E-3</v>
      </c>
      <c r="Q95" s="11">
        <v>1.99E-3</v>
      </c>
      <c r="R95" s="12">
        <f t="shared" si="24"/>
        <v>3.8354071182962308E-2</v>
      </c>
      <c r="S95" s="12">
        <f t="shared" si="25"/>
        <v>-3.2492794425608963E-2</v>
      </c>
      <c r="T95" s="12">
        <f t="shared" si="26"/>
        <v>-1.2561814601217259E-2</v>
      </c>
      <c r="U95" s="12">
        <f t="shared" si="15"/>
        <v>1.1506221354888692E-4</v>
      </c>
      <c r="V95" s="12">
        <f t="shared" si="6"/>
        <v>-9.7478383276826893E-5</v>
      </c>
      <c r="W95" s="12">
        <f t="shared" si="7"/>
        <v>-3.7685443803651776E-5</v>
      </c>
      <c r="X95" s="12">
        <f t="shared" si="8"/>
        <v>7.632460165409499E-5</v>
      </c>
      <c r="Y95" s="12">
        <f t="shared" si="9"/>
        <v>-6.4660660906961843E-5</v>
      </c>
      <c r="Z95" s="12">
        <f t="shared" si="10"/>
        <v>-2.4998011056422346E-5</v>
      </c>
      <c r="AA95" s="39"/>
    </row>
    <row r="96" spans="1:27" ht="15.5">
      <c r="A96" s="8" t="s">
        <v>36</v>
      </c>
      <c r="B96" s="9">
        <v>2021</v>
      </c>
      <c r="C96" s="19">
        <v>335.78399999999999</v>
      </c>
      <c r="D96" s="19">
        <v>4849.53</v>
      </c>
      <c r="E96" s="19">
        <v>6648.5680000000002</v>
      </c>
      <c r="F96" s="19">
        <v>5156.5649999999996</v>
      </c>
      <c r="G96" s="19">
        <v>4451.76</v>
      </c>
      <c r="H96" s="10">
        <f t="shared" si="27"/>
        <v>5.0504710187216251E-2</v>
      </c>
      <c r="I96" s="10">
        <f t="shared" si="28"/>
        <v>0.72940970145751682</v>
      </c>
      <c r="J96" s="10">
        <f t="shared" si="29"/>
        <v>1.1583205294085932</v>
      </c>
      <c r="K96" s="4">
        <f t="shared" si="31"/>
        <v>-0.37426917965226114</v>
      </c>
      <c r="L96" s="10">
        <f t="shared" si="22"/>
        <v>0.72940970145751682</v>
      </c>
      <c r="M96" s="19">
        <v>-603.55999999999995</v>
      </c>
      <c r="N96" s="19">
        <v>-80.001999999999995</v>
      </c>
      <c r="O96" s="19">
        <v>654.471</v>
      </c>
      <c r="P96" s="11">
        <v>1.9E-3</v>
      </c>
      <c r="Q96" s="11">
        <v>1.99E-3</v>
      </c>
      <c r="R96" s="12">
        <f t="shared" si="24"/>
        <v>-9.0780450767744256E-2</v>
      </c>
      <c r="S96" s="12">
        <f t="shared" si="25"/>
        <v>-1.2032967099080583E-2</v>
      </c>
      <c r="T96" s="12">
        <f t="shared" si="26"/>
        <v>9.8437889181550067E-2</v>
      </c>
      <c r="U96" s="12">
        <f t="shared" si="15"/>
        <v>-1.724828564587141E-4</v>
      </c>
      <c r="V96" s="12">
        <f t="shared" si="6"/>
        <v>-2.2862637488253106E-5</v>
      </c>
      <c r="W96" s="12">
        <f t="shared" si="7"/>
        <v>1.8703198944494513E-4</v>
      </c>
      <c r="X96" s="12">
        <f t="shared" si="8"/>
        <v>-1.8065309702781107E-4</v>
      </c>
      <c r="Y96" s="12">
        <f t="shared" si="9"/>
        <v>-2.3945604527170359E-5</v>
      </c>
      <c r="Z96" s="12">
        <f t="shared" si="10"/>
        <v>1.9589139947128462E-4</v>
      </c>
      <c r="AA96" s="39"/>
    </row>
    <row r="97" spans="1:27" ht="15.5">
      <c r="A97" s="8" t="s">
        <v>37</v>
      </c>
      <c r="B97" s="9">
        <v>2017</v>
      </c>
      <c r="C97" s="19">
        <v>10.454000000000001</v>
      </c>
      <c r="D97" s="19">
        <v>183.762</v>
      </c>
      <c r="E97" s="19">
        <v>568.99199999999996</v>
      </c>
      <c r="F97" s="19">
        <v>189.37799999999999</v>
      </c>
      <c r="G97" s="19">
        <v>101.38800000000001</v>
      </c>
      <c r="H97" s="10">
        <f t="shared" si="27"/>
        <v>1.8372841797424218E-2</v>
      </c>
      <c r="I97" s="10">
        <f t="shared" si="28"/>
        <v>0.32296060401552223</v>
      </c>
      <c r="J97" s="10">
        <f t="shared" si="29"/>
        <v>1.8678541839270917</v>
      </c>
      <c r="K97" s="4">
        <f t="shared" si="31"/>
        <v>-2.5492737619356407</v>
      </c>
      <c r="L97" s="10">
        <f t="shared" si="22"/>
        <v>0.32296060401552223</v>
      </c>
      <c r="M97" s="19">
        <v>104.316</v>
      </c>
      <c r="N97" s="19">
        <v>-6.7859999999999996</v>
      </c>
      <c r="O97" s="19">
        <v>-89.444999999999993</v>
      </c>
      <c r="P97" s="11">
        <v>4.6100000000000002E-2</v>
      </c>
      <c r="Q97" s="11">
        <v>9.4820000000000002E-2</v>
      </c>
      <c r="R97" s="12">
        <f t="shared" si="24"/>
        <v>0.18333473932849673</v>
      </c>
      <c r="S97" s="12">
        <f t="shared" si="25"/>
        <v>-1.1926353973342331E-2</v>
      </c>
      <c r="T97" s="12">
        <f t="shared" si="26"/>
        <v>-0.15719904673527924</v>
      </c>
      <c r="U97" s="12">
        <f t="shared" si="15"/>
        <v>8.4517314830436993E-3</v>
      </c>
      <c r="V97" s="12">
        <f t="shared" si="6"/>
        <v>-5.4980491817108147E-4</v>
      </c>
      <c r="W97" s="12">
        <f t="shared" si="7"/>
        <v>-7.2468760544963729E-3</v>
      </c>
      <c r="X97" s="12">
        <f t="shared" si="8"/>
        <v>1.738379998312806E-2</v>
      </c>
      <c r="Y97" s="12">
        <f t="shared" si="9"/>
        <v>-1.1308568837523198E-3</v>
      </c>
      <c r="Z97" s="12">
        <f t="shared" si="10"/>
        <v>-1.4905613611439177E-2</v>
      </c>
      <c r="AA97" s="39"/>
    </row>
    <row r="98" spans="1:27" ht="15.5">
      <c r="A98" s="8" t="s">
        <v>37</v>
      </c>
      <c r="B98" s="9">
        <v>2018</v>
      </c>
      <c r="C98" s="19">
        <v>32.225000000000001</v>
      </c>
      <c r="D98" s="19">
        <v>265.64</v>
      </c>
      <c r="E98" s="19">
        <v>801.95299999999997</v>
      </c>
      <c r="F98" s="19">
        <v>426.012</v>
      </c>
      <c r="G98" s="19">
        <v>236.20599999999999</v>
      </c>
      <c r="H98" s="10">
        <f t="shared" si="27"/>
        <v>4.0183152878036497E-2</v>
      </c>
      <c r="I98" s="10">
        <f t="shared" si="28"/>
        <v>0.33124135703713309</v>
      </c>
      <c r="J98" s="10">
        <f t="shared" si="29"/>
        <v>1.8035612981888691</v>
      </c>
      <c r="K98" s="4">
        <f t="shared" si="31"/>
        <v>-2.599962698032261</v>
      </c>
      <c r="L98" s="10">
        <f t="shared" si="22"/>
        <v>0.33124135703713309</v>
      </c>
      <c r="M98" s="19">
        <v>-16.922999999999998</v>
      </c>
      <c r="N98" s="19">
        <v>-19.181000000000001</v>
      </c>
      <c r="O98" s="19">
        <v>37.332999999999998</v>
      </c>
      <c r="P98" s="11">
        <v>4.1000000000000002E-2</v>
      </c>
      <c r="Q98" s="11">
        <v>0.13403999999999999</v>
      </c>
      <c r="R98" s="12">
        <f t="shared" si="24"/>
        <v>-2.1102234170830458E-2</v>
      </c>
      <c r="S98" s="12">
        <f t="shared" si="25"/>
        <v>-2.3917860522998234E-2</v>
      </c>
      <c r="T98" s="12">
        <f t="shared" si="26"/>
        <v>4.6552603456811059E-2</v>
      </c>
      <c r="U98" s="12">
        <f t="shared" si="15"/>
        <v>-8.6519160100404879E-4</v>
      </c>
      <c r="V98" s="12">
        <f t="shared" si="6"/>
        <v>-9.8063228144292772E-4</v>
      </c>
      <c r="W98" s="12">
        <f t="shared" si="7"/>
        <v>1.9086567417292534E-3</v>
      </c>
      <c r="X98" s="12">
        <f t="shared" si="8"/>
        <v>-2.8285434682581143E-3</v>
      </c>
      <c r="Y98" s="12">
        <f t="shared" si="9"/>
        <v>-3.2059500245026832E-3</v>
      </c>
      <c r="Z98" s="12">
        <f t="shared" si="10"/>
        <v>6.2399109673509541E-3</v>
      </c>
      <c r="AA98" s="39"/>
    </row>
    <row r="99" spans="1:27" ht="15.5">
      <c r="A99" s="8" t="s">
        <v>37</v>
      </c>
      <c r="B99" s="9">
        <v>2019</v>
      </c>
      <c r="C99" s="19">
        <v>42.2</v>
      </c>
      <c r="D99" s="19">
        <v>394.32900000000001</v>
      </c>
      <c r="E99" s="19">
        <v>935.95899999999995</v>
      </c>
      <c r="F99" s="19">
        <v>606.15700000000004</v>
      </c>
      <c r="G99" s="19">
        <v>348.98</v>
      </c>
      <c r="H99" s="10">
        <f t="shared" si="27"/>
        <v>4.5087445069709256E-2</v>
      </c>
      <c r="I99" s="10">
        <f t="shared" si="28"/>
        <v>0.42131012149036445</v>
      </c>
      <c r="J99" s="10">
        <f t="shared" si="29"/>
        <v>1.7369390796034156</v>
      </c>
      <c r="K99" s="4">
        <f t="shared" si="31"/>
        <v>-2.1083735666370274</v>
      </c>
      <c r="L99" s="10">
        <f t="shared" si="22"/>
        <v>0.42131012149036445</v>
      </c>
      <c r="M99" s="19">
        <v>330.77</v>
      </c>
      <c r="N99" s="19">
        <v>-12.061</v>
      </c>
      <c r="O99" s="19">
        <v>-318.76100000000002</v>
      </c>
      <c r="P99" s="11">
        <v>4.6600000000000003E-2</v>
      </c>
      <c r="Q99" s="11">
        <v>0.17613999999999999</v>
      </c>
      <c r="R99" s="12">
        <f t="shared" si="24"/>
        <v>0.35340223236274237</v>
      </c>
      <c r="S99" s="12">
        <f t="shared" si="25"/>
        <v>-1.2886248222411453E-2</v>
      </c>
      <c r="T99" s="12">
        <f t="shared" si="26"/>
        <v>-0.3405715421295164</v>
      </c>
      <c r="U99" s="12">
        <f t="shared" si="15"/>
        <v>1.6468544028103795E-2</v>
      </c>
      <c r="V99" s="12">
        <f t="shared" si="6"/>
        <v>-6.004991671643737E-4</v>
      </c>
      <c r="W99" s="12">
        <f t="shared" si="7"/>
        <v>-1.5870633863235464E-2</v>
      </c>
      <c r="X99" s="12">
        <f t="shared" si="8"/>
        <v>6.2248269208373438E-2</v>
      </c>
      <c r="Y99" s="12">
        <f t="shared" si="9"/>
        <v>-2.2697837618955532E-3</v>
      </c>
      <c r="Z99" s="12">
        <f t="shared" si="10"/>
        <v>-5.9988271430693019E-2</v>
      </c>
      <c r="AA99" s="39"/>
    </row>
    <row r="100" spans="1:27" ht="15.5">
      <c r="A100" s="8" t="s">
        <v>37</v>
      </c>
      <c r="B100" s="9">
        <v>2020</v>
      </c>
      <c r="C100" s="19">
        <v>69.804000000000002</v>
      </c>
      <c r="D100" s="19">
        <v>562.95699999999999</v>
      </c>
      <c r="E100" s="19">
        <v>1129.646</v>
      </c>
      <c r="F100" s="19">
        <v>914.548</v>
      </c>
      <c r="G100" s="19">
        <v>468.15600000000001</v>
      </c>
      <c r="H100" s="10">
        <f t="shared" si="27"/>
        <v>6.1792809428794511E-2</v>
      </c>
      <c r="I100" s="10">
        <f t="shared" si="28"/>
        <v>0.49834815508575253</v>
      </c>
      <c r="J100" s="10">
        <f t="shared" si="29"/>
        <v>1.9535112227548082</v>
      </c>
      <c r="K100" s="4">
        <f t="shared" si="31"/>
        <v>-1.7452972033318048</v>
      </c>
      <c r="L100" s="10">
        <f t="shared" si="22"/>
        <v>0.49834815508575253</v>
      </c>
      <c r="M100" s="19">
        <v>-23.838999999999999</v>
      </c>
      <c r="N100" s="19">
        <v>-7.7409999999999997</v>
      </c>
      <c r="O100" s="19">
        <v>40.363999999999997</v>
      </c>
      <c r="P100" s="11">
        <v>2.3599999999999999E-2</v>
      </c>
      <c r="Q100" s="11">
        <v>6.3339999999999994E-2</v>
      </c>
      <c r="R100" s="12">
        <f t="shared" si="24"/>
        <v>-2.1103071227623522E-2</v>
      </c>
      <c r="S100" s="12">
        <f t="shared" si="25"/>
        <v>-6.8525892182152636E-3</v>
      </c>
      <c r="T100" s="12">
        <f t="shared" si="26"/>
        <v>3.5731547759209524E-2</v>
      </c>
      <c r="U100" s="12">
        <f t="shared" si="15"/>
        <v>-4.9803248097191511E-4</v>
      </c>
      <c r="V100" s="12">
        <f t="shared" si="6"/>
        <v>-1.6172110554988023E-4</v>
      </c>
      <c r="W100" s="12">
        <f t="shared" si="7"/>
        <v>8.4326452711734471E-4</v>
      </c>
      <c r="X100" s="12">
        <f t="shared" si="8"/>
        <v>-1.3366685315576738E-3</v>
      </c>
      <c r="Y100" s="12">
        <f t="shared" si="9"/>
        <v>-4.3404300108175475E-4</v>
      </c>
      <c r="Z100" s="12">
        <f t="shared" si="10"/>
        <v>2.2632362350683312E-3</v>
      </c>
      <c r="AA100" s="39"/>
    </row>
    <row r="101" spans="1:27" ht="15.5">
      <c r="A101" s="8" t="s">
        <v>37</v>
      </c>
      <c r="B101" s="9">
        <v>2021</v>
      </c>
      <c r="C101" s="19">
        <v>78.019000000000005</v>
      </c>
      <c r="D101" s="19">
        <v>611.84400000000005</v>
      </c>
      <c r="E101" s="19">
        <v>1201.2750000000001</v>
      </c>
      <c r="F101" s="19">
        <v>1076.4570000000001</v>
      </c>
      <c r="G101" s="19">
        <v>500.18400000000003</v>
      </c>
      <c r="H101" s="10">
        <f t="shared" si="27"/>
        <v>6.494682732929595E-2</v>
      </c>
      <c r="I101" s="10">
        <f t="shared" si="28"/>
        <v>0.50932883810950869</v>
      </c>
      <c r="J101" s="10">
        <f t="shared" si="29"/>
        <v>2.1521220190969723</v>
      </c>
      <c r="K101" s="4">
        <f t="shared" si="31"/>
        <v>-1.6976948338340194</v>
      </c>
      <c r="L101" s="10">
        <f t="shared" si="22"/>
        <v>0.50932883810950869</v>
      </c>
      <c r="M101" s="19">
        <v>39.353999999999999</v>
      </c>
      <c r="N101" s="19">
        <v>-18.777000000000001</v>
      </c>
      <c r="O101" s="19">
        <v>-25.864999999999998</v>
      </c>
      <c r="P101" s="11">
        <v>1.6400000000000001E-2</v>
      </c>
      <c r="Q101" s="11">
        <v>6.3339999999999994E-2</v>
      </c>
      <c r="R101" s="12">
        <f t="shared" si="24"/>
        <v>3.276019229568583E-2</v>
      </c>
      <c r="S101" s="12">
        <f t="shared" si="25"/>
        <v>-1.5630892177061873E-2</v>
      </c>
      <c r="T101" s="12">
        <f t="shared" si="26"/>
        <v>-2.153128967139081E-2</v>
      </c>
      <c r="U101" s="12">
        <f t="shared" si="15"/>
        <v>5.3726715364924764E-4</v>
      </c>
      <c r="V101" s="12">
        <f t="shared" si="6"/>
        <v>-2.5634663170381471E-4</v>
      </c>
      <c r="W101" s="12">
        <f t="shared" si="7"/>
        <v>-3.5311315061080931E-4</v>
      </c>
      <c r="X101" s="12">
        <f t="shared" si="8"/>
        <v>2.0750305800087401E-3</v>
      </c>
      <c r="Y101" s="12">
        <f t="shared" si="9"/>
        <v>-9.9006071049509881E-4</v>
      </c>
      <c r="Z101" s="12">
        <f t="shared" si="10"/>
        <v>-1.3637918877858937E-3</v>
      </c>
      <c r="AA101" s="39"/>
    </row>
    <row r="102" spans="1:27" ht="15.5">
      <c r="A102" s="8" t="s">
        <v>38</v>
      </c>
      <c r="B102" s="9">
        <v>2017</v>
      </c>
      <c r="C102" s="19">
        <v>28.971</v>
      </c>
      <c r="D102" s="19">
        <v>668.173</v>
      </c>
      <c r="E102" s="19">
        <v>942.21100000000001</v>
      </c>
      <c r="F102" s="19">
        <v>871.01</v>
      </c>
      <c r="G102" s="19">
        <v>503.76799999999997</v>
      </c>
      <c r="H102" s="10">
        <f t="shared" si="27"/>
        <v>3.0747889803876202E-2</v>
      </c>
      <c r="I102" s="10">
        <f t="shared" si="28"/>
        <v>0.70915431893705339</v>
      </c>
      <c r="J102" s="10">
        <f t="shared" si="29"/>
        <v>1.7289903288815487</v>
      </c>
      <c r="K102" s="4">
        <f t="shared" si="31"/>
        <v>-0.40310184749176436</v>
      </c>
      <c r="L102" s="10">
        <f t="shared" si="22"/>
        <v>0.70915431893705339</v>
      </c>
      <c r="M102" s="19">
        <v>-28.363</v>
      </c>
      <c r="N102" s="19">
        <v>128.239</v>
      </c>
      <c r="O102" s="19">
        <v>46.366</v>
      </c>
      <c r="P102" s="11">
        <v>3.5999999999999999E-3</v>
      </c>
      <c r="Q102" s="11">
        <v>3.7100000000000001E-2</v>
      </c>
      <c r="R102" s="12">
        <f t="shared" si="24"/>
        <v>-3.0102599099352478E-2</v>
      </c>
      <c r="S102" s="12">
        <f t="shared" si="25"/>
        <v>0.13610433331812088</v>
      </c>
      <c r="T102" s="12">
        <f t="shared" si="26"/>
        <v>4.9209784220307341E-2</v>
      </c>
      <c r="U102" s="12">
        <f t="shared" si="15"/>
        <v>-1.0836935675766892E-4</v>
      </c>
      <c r="V102" s="12">
        <f t="shared" si="6"/>
        <v>4.8997559994523523E-4</v>
      </c>
      <c r="W102" s="12">
        <f t="shared" si="7"/>
        <v>1.7715522319310643E-4</v>
      </c>
      <c r="X102" s="12">
        <f t="shared" si="8"/>
        <v>-1.116806426585977E-3</v>
      </c>
      <c r="Y102" s="12">
        <f t="shared" si="9"/>
        <v>5.0494707661022853E-3</v>
      </c>
      <c r="Z102" s="12">
        <f t="shared" si="10"/>
        <v>1.8256829945734025E-3</v>
      </c>
      <c r="AA102" s="39"/>
    </row>
    <row r="103" spans="1:27" ht="15.5">
      <c r="A103" s="8" t="s">
        <v>38</v>
      </c>
      <c r="B103" s="9">
        <v>2018</v>
      </c>
      <c r="C103" s="19">
        <v>33.834000000000003</v>
      </c>
      <c r="D103" s="19">
        <v>746.45399999999995</v>
      </c>
      <c r="E103" s="19">
        <v>1025.3119999999999</v>
      </c>
      <c r="F103" s="19">
        <v>958.54</v>
      </c>
      <c r="G103" s="19">
        <v>551.04499999999996</v>
      </c>
      <c r="H103" s="10">
        <f t="shared" si="27"/>
        <v>3.2998735994507047E-2</v>
      </c>
      <c r="I103" s="10">
        <f t="shared" si="28"/>
        <v>0.72802620080521829</v>
      </c>
      <c r="J103" s="10">
        <f t="shared" si="29"/>
        <v>1.7394949595768041</v>
      </c>
      <c r="K103" s="4">
        <f t="shared" si="31"/>
        <v>-0.30570294722384433</v>
      </c>
      <c r="L103" s="10">
        <f t="shared" si="22"/>
        <v>0.72802620080521829</v>
      </c>
      <c r="M103" s="19">
        <v>157.238</v>
      </c>
      <c r="N103" s="19">
        <v>-232.97499999999999</v>
      </c>
      <c r="O103" s="19">
        <v>-40.981000000000002</v>
      </c>
      <c r="P103" s="11">
        <v>3.46E-3</v>
      </c>
      <c r="Q103" s="11">
        <v>3.2300000000000002E-2</v>
      </c>
      <c r="R103" s="12">
        <f t="shared" si="24"/>
        <v>0.15335624668393621</v>
      </c>
      <c r="S103" s="12">
        <f t="shared" si="25"/>
        <v>-0.22722351830467216</v>
      </c>
      <c r="T103" s="12">
        <f t="shared" si="26"/>
        <v>-3.9969297150525891E-2</v>
      </c>
      <c r="U103" s="12">
        <f t="shared" si="15"/>
        <v>5.3061261352641931E-4</v>
      </c>
      <c r="V103" s="12">
        <f t="shared" si="6"/>
        <v>-7.8619337333416569E-4</v>
      </c>
      <c r="W103" s="12">
        <f t="shared" si="7"/>
        <v>-1.3829376814081959E-4</v>
      </c>
      <c r="X103" s="12">
        <f t="shared" si="8"/>
        <v>4.95340676789114E-3</v>
      </c>
      <c r="Y103" s="12">
        <f t="shared" si="9"/>
        <v>-7.3393196412409115E-3</v>
      </c>
      <c r="Z103" s="12">
        <f t="shared" si="10"/>
        <v>-1.2910082979619864E-3</v>
      </c>
      <c r="AA103" s="39"/>
    </row>
    <row r="104" spans="1:27" ht="15.5">
      <c r="A104" s="8" t="s">
        <v>38</v>
      </c>
      <c r="B104" s="9">
        <v>2019</v>
      </c>
      <c r="C104" s="19">
        <v>33.979999999999997</v>
      </c>
      <c r="D104" s="19">
        <v>565.04399999999998</v>
      </c>
      <c r="E104" s="19">
        <v>850.91800000000001</v>
      </c>
      <c r="F104" s="19">
        <v>788.62300000000005</v>
      </c>
      <c r="G104" s="19">
        <v>423.39499999999998</v>
      </c>
      <c r="H104" s="10">
        <f t="shared" si="27"/>
        <v>3.9933342578250777E-2</v>
      </c>
      <c r="I104" s="10">
        <f t="shared" si="28"/>
        <v>0.66404048333681975</v>
      </c>
      <c r="J104" s="10">
        <f t="shared" si="29"/>
        <v>1.8626176501848157</v>
      </c>
      <c r="K104" s="4">
        <f t="shared" si="31"/>
        <v>-0.70211975718299469</v>
      </c>
      <c r="L104" s="10">
        <f t="shared" si="22"/>
        <v>0.66404048333681975</v>
      </c>
      <c r="M104" s="19">
        <v>135.86699999999999</v>
      </c>
      <c r="N104" s="19">
        <v>-47.305999999999997</v>
      </c>
      <c r="O104" s="19">
        <v>-86.585999999999999</v>
      </c>
      <c r="P104" s="11">
        <v>3.5000000000000001E-3</v>
      </c>
      <c r="Q104" s="11">
        <v>3.2599999999999997E-2</v>
      </c>
      <c r="R104" s="12">
        <f t="shared" si="24"/>
        <v>0.15967108464035312</v>
      </c>
      <c r="S104" s="12">
        <f t="shared" si="25"/>
        <v>-5.5594076044930295E-2</v>
      </c>
      <c r="T104" s="12">
        <f t="shared" si="26"/>
        <v>-0.10175598588818194</v>
      </c>
      <c r="U104" s="12">
        <f t="shared" si="15"/>
        <v>5.5884879624123595E-4</v>
      </c>
      <c r="V104" s="12">
        <f t="shared" si="6"/>
        <v>-1.9457926615725605E-4</v>
      </c>
      <c r="W104" s="12">
        <f t="shared" si="7"/>
        <v>-3.5614595060863677E-4</v>
      </c>
      <c r="X104" s="12">
        <f t="shared" si="8"/>
        <v>5.2052773592755116E-3</v>
      </c>
      <c r="Y104" s="12">
        <f t="shared" si="9"/>
        <v>-1.8123668790647274E-3</v>
      </c>
      <c r="Z104" s="12">
        <f t="shared" si="10"/>
        <v>-3.3172451399547309E-3</v>
      </c>
      <c r="AA104" s="39"/>
    </row>
    <row r="105" spans="1:27" ht="15.5">
      <c r="A105" s="8" t="s">
        <v>38</v>
      </c>
      <c r="B105" s="9">
        <v>2020</v>
      </c>
      <c r="C105" s="19">
        <v>27.818999999999999</v>
      </c>
      <c r="D105" s="19">
        <v>577.18499999999995</v>
      </c>
      <c r="E105" s="19">
        <v>827.61699999999996</v>
      </c>
      <c r="F105" s="19">
        <v>743.18600000000004</v>
      </c>
      <c r="G105" s="19">
        <v>490.39800000000002</v>
      </c>
      <c r="H105" s="10">
        <f t="shared" si="27"/>
        <v>3.3613374302364503E-2</v>
      </c>
      <c r="I105" s="10">
        <f t="shared" si="28"/>
        <v>0.69740592568784832</v>
      </c>
      <c r="J105" s="10">
        <f t="shared" si="29"/>
        <v>1.5154751854616046</v>
      </c>
      <c r="K105" s="4">
        <f t="shared" si="31"/>
        <v>-0.48210830868175114</v>
      </c>
      <c r="L105" s="10">
        <f t="shared" si="22"/>
        <v>0.69740592568784832</v>
      </c>
      <c r="M105" s="19">
        <v>13.436</v>
      </c>
      <c r="N105" s="19">
        <v>15.791</v>
      </c>
      <c r="O105" s="19">
        <v>-30.202999999999999</v>
      </c>
      <c r="P105" s="11">
        <v>4.0000000000000001E-3</v>
      </c>
      <c r="Q105" s="11">
        <v>3.3099999999999997E-2</v>
      </c>
      <c r="R105" s="12">
        <f t="shared" si="24"/>
        <v>1.6234562605649715E-2</v>
      </c>
      <c r="S105" s="12">
        <f t="shared" si="25"/>
        <v>1.9080081728625683E-2</v>
      </c>
      <c r="T105" s="12">
        <f t="shared" si="26"/>
        <v>-3.6493933788213632E-2</v>
      </c>
      <c r="U105" s="12">
        <f t="shared" si="15"/>
        <v>6.4938250422598857E-5</v>
      </c>
      <c r="V105" s="12">
        <f t="shared" si="6"/>
        <v>7.632032691450274E-5</v>
      </c>
      <c r="W105" s="12">
        <f t="shared" si="7"/>
        <v>-1.4597573515285454E-4</v>
      </c>
      <c r="X105" s="12">
        <f t="shared" si="8"/>
        <v>5.3736402224700559E-4</v>
      </c>
      <c r="Y105" s="12">
        <f t="shared" si="9"/>
        <v>6.3155070521751008E-4</v>
      </c>
      <c r="Z105" s="12">
        <f t="shared" si="10"/>
        <v>-1.2079492083898712E-3</v>
      </c>
      <c r="AA105" s="39"/>
    </row>
    <row r="106" spans="1:27" ht="15.5">
      <c r="A106" s="8" t="s">
        <v>38</v>
      </c>
      <c r="B106" s="9">
        <v>2021</v>
      </c>
      <c r="C106" s="19">
        <v>30.652000000000001</v>
      </c>
      <c r="D106" s="19">
        <v>975.95</v>
      </c>
      <c r="E106" s="19">
        <v>1287.018</v>
      </c>
      <c r="F106" s="19">
        <v>1083.605</v>
      </c>
      <c r="G106" s="19">
        <v>901.16</v>
      </c>
      <c r="H106" s="10">
        <f t="shared" si="27"/>
        <v>2.3816294721596746E-2</v>
      </c>
      <c r="I106" s="10">
        <f t="shared" si="28"/>
        <v>0.75830330267331147</v>
      </c>
      <c r="J106" s="10">
        <f t="shared" si="29"/>
        <v>1.2024557237338542</v>
      </c>
      <c r="K106" s="4">
        <f t="shared" si="31"/>
        <v>-8.9654323904244493E-2</v>
      </c>
      <c r="L106" s="10">
        <f t="shared" si="22"/>
        <v>0.75830330267331147</v>
      </c>
      <c r="M106" s="19">
        <v>-206.11</v>
      </c>
      <c r="N106" s="19">
        <v>-86.088999999999999</v>
      </c>
      <c r="O106" s="19">
        <v>268.57600000000002</v>
      </c>
      <c r="P106" s="11">
        <v>4.5999999999999999E-3</v>
      </c>
      <c r="Q106" s="11">
        <v>3.2300000000000002E-2</v>
      </c>
      <c r="R106" s="12">
        <f t="shared" si="24"/>
        <v>-0.1601453903519609</v>
      </c>
      <c r="S106" s="12">
        <f t="shared" si="25"/>
        <v>-6.6890284362767269E-2</v>
      </c>
      <c r="T106" s="12">
        <f t="shared" si="26"/>
        <v>0.20868084207058488</v>
      </c>
      <c r="U106" s="12">
        <f t="shared" si="15"/>
        <v>-7.366687956190201E-4</v>
      </c>
      <c r="V106" s="12">
        <f t="shared" si="6"/>
        <v>-3.0769530806872941E-4</v>
      </c>
      <c r="W106" s="12">
        <f t="shared" si="7"/>
        <v>9.5993187352469043E-4</v>
      </c>
      <c r="X106" s="12">
        <f t="shared" si="8"/>
        <v>-5.1726961083683378E-3</v>
      </c>
      <c r="Y106" s="12">
        <f t="shared" si="9"/>
        <v>-2.1605561849173827E-3</v>
      </c>
      <c r="Z106" s="12">
        <f t="shared" si="10"/>
        <v>6.7403911988798918E-3</v>
      </c>
      <c r="AA106" s="39"/>
    </row>
    <row r="107" spans="1:27" ht="15.5">
      <c r="A107" s="8" t="s">
        <v>39</v>
      </c>
      <c r="B107" s="9">
        <v>2017</v>
      </c>
      <c r="C107" s="19">
        <v>1612.683</v>
      </c>
      <c r="D107" s="19">
        <v>13078.321</v>
      </c>
      <c r="E107" s="19">
        <v>20709.186000000002</v>
      </c>
      <c r="F107" s="19">
        <v>5627.62</v>
      </c>
      <c r="G107" s="19">
        <v>4021.4360000000001</v>
      </c>
      <c r="H107" s="10">
        <f t="shared" si="27"/>
        <v>7.7872833823598858E-2</v>
      </c>
      <c r="I107" s="10">
        <f t="shared" si="28"/>
        <v>0.6315226972223823</v>
      </c>
      <c r="J107" s="10">
        <f t="shared" si="29"/>
        <v>1.3994055854674796</v>
      </c>
      <c r="K107" s="4">
        <f t="shared" si="31"/>
        <v>-1.0563460003804854</v>
      </c>
      <c r="L107" s="10">
        <f t="shared" si="22"/>
        <v>0.6315226972223823</v>
      </c>
      <c r="M107" s="19">
        <v>-608.31200000000001</v>
      </c>
      <c r="N107" s="19">
        <v>-998.79</v>
      </c>
      <c r="O107" s="19">
        <v>2172.6390000000001</v>
      </c>
      <c r="P107" s="11">
        <v>0.623</v>
      </c>
      <c r="Q107" s="11">
        <v>6.1999999999999998E-3</v>
      </c>
      <c r="R107" s="12">
        <f t="shared" si="24"/>
        <v>-2.9374017887521024E-2</v>
      </c>
      <c r="S107" s="12">
        <f t="shared" si="25"/>
        <v>-4.8229322002323022E-2</v>
      </c>
      <c r="T107" s="12">
        <f t="shared" si="26"/>
        <v>0.10491184926341383</v>
      </c>
      <c r="U107" s="12">
        <f t="shared" si="15"/>
        <v>-1.8300013143925598E-2</v>
      </c>
      <c r="V107" s="12">
        <f t="shared" si="6"/>
        <v>-3.0046867607447243E-2</v>
      </c>
      <c r="W107" s="12">
        <f t="shared" si="7"/>
        <v>6.5360082091106816E-2</v>
      </c>
      <c r="X107" s="12">
        <f t="shared" si="8"/>
        <v>-1.8211891090263034E-4</v>
      </c>
      <c r="Y107" s="12">
        <f t="shared" si="9"/>
        <v>-2.9902179641440275E-4</v>
      </c>
      <c r="Z107" s="12">
        <f t="shared" si="10"/>
        <v>6.504534654331657E-4</v>
      </c>
      <c r="AA107" s="39"/>
    </row>
    <row r="108" spans="1:27" ht="15.5">
      <c r="A108" s="8" t="s">
        <v>39</v>
      </c>
      <c r="B108" s="9">
        <v>2018</v>
      </c>
      <c r="C108" s="19">
        <v>215.12700000000001</v>
      </c>
      <c r="D108" s="19">
        <v>14558.27</v>
      </c>
      <c r="E108" s="19">
        <v>22271.753000000001</v>
      </c>
      <c r="F108" s="19">
        <v>5901.2420000000002</v>
      </c>
      <c r="G108" s="19">
        <v>6502.2790000000005</v>
      </c>
      <c r="H108" s="10">
        <f t="shared" si="27"/>
        <v>9.6591857856900623E-3</v>
      </c>
      <c r="I108" s="10">
        <f t="shared" si="28"/>
        <v>0.65366520542859829</v>
      </c>
      <c r="J108" s="10">
        <f t="shared" si="29"/>
        <v>0.90756517830133088</v>
      </c>
      <c r="K108" s="4">
        <f t="shared" si="31"/>
        <v>-0.62120492580579989</v>
      </c>
      <c r="L108" s="10">
        <f t="shared" si="22"/>
        <v>0.65366520542859829</v>
      </c>
      <c r="M108" s="19">
        <v>715.61599999999999</v>
      </c>
      <c r="N108" s="19">
        <v>-2551.1729999999998</v>
      </c>
      <c r="O108" s="19">
        <v>1008.78</v>
      </c>
      <c r="P108" s="11">
        <v>0.5806</v>
      </c>
      <c r="Q108" s="11">
        <v>1.2800000000000001E-2</v>
      </c>
      <c r="R108" s="12">
        <f t="shared" si="24"/>
        <v>3.2131103465452407E-2</v>
      </c>
      <c r="S108" s="12">
        <f t="shared" si="25"/>
        <v>-0.11454747185818735</v>
      </c>
      <c r="T108" s="12">
        <f t="shared" si="26"/>
        <v>4.5294144560601039E-2</v>
      </c>
      <c r="U108" s="12">
        <f t="shared" si="15"/>
        <v>1.8655318672041666E-2</v>
      </c>
      <c r="V108" s="12">
        <f t="shared" si="6"/>
        <v>-6.6506262160863583E-2</v>
      </c>
      <c r="W108" s="12">
        <f t="shared" si="7"/>
        <v>2.6297780331884964E-2</v>
      </c>
      <c r="X108" s="12">
        <f t="shared" si="8"/>
        <v>4.1127812435779083E-4</v>
      </c>
      <c r="Y108" s="12">
        <f t="shared" si="9"/>
        <v>-1.4662076397847982E-3</v>
      </c>
      <c r="Z108" s="12">
        <f t="shared" si="10"/>
        <v>5.797650503756933E-4</v>
      </c>
      <c r="AA108" s="39"/>
    </row>
    <row r="109" spans="1:27" ht="15.5">
      <c r="A109" s="8" t="s">
        <v>39</v>
      </c>
      <c r="B109" s="9">
        <v>2019</v>
      </c>
      <c r="C109" s="19">
        <v>521.851</v>
      </c>
      <c r="D109" s="19">
        <v>20543.022000000001</v>
      </c>
      <c r="E109" s="19">
        <v>29249.127</v>
      </c>
      <c r="F109" s="19">
        <v>11187.671</v>
      </c>
      <c r="G109" s="19">
        <v>11472.174000000001</v>
      </c>
      <c r="H109" s="10">
        <f t="shared" si="27"/>
        <v>1.7841592331969428E-2</v>
      </c>
      <c r="I109" s="10">
        <f t="shared" si="28"/>
        <v>0.70234650080325478</v>
      </c>
      <c r="J109" s="10">
        <f t="shared" si="29"/>
        <v>0.97520060278025766</v>
      </c>
      <c r="K109" s="4">
        <f t="shared" si="31"/>
        <v>-0.38081291332643075</v>
      </c>
      <c r="L109" s="10">
        <f t="shared" si="22"/>
        <v>0.70234650080325478</v>
      </c>
      <c r="M109" s="19">
        <v>135.18100000000001</v>
      </c>
      <c r="N109" s="19">
        <v>-1045.7139999999999</v>
      </c>
      <c r="O109" s="19">
        <v>1064.0139999999999</v>
      </c>
      <c r="P109" s="11">
        <v>0.4985</v>
      </c>
      <c r="Q109" s="11">
        <f>0.55%+2.44%</f>
        <v>2.9899999999999999E-2</v>
      </c>
      <c r="R109" s="12">
        <f t="shared" si="24"/>
        <v>4.6217105898579474E-3</v>
      </c>
      <c r="S109" s="12">
        <f t="shared" si="25"/>
        <v>-3.5751973041793686E-2</v>
      </c>
      <c r="T109" s="12">
        <f t="shared" si="26"/>
        <v>3.6377632740970348E-2</v>
      </c>
      <c r="U109" s="12">
        <f t="shared" si="15"/>
        <v>2.3039227290441869E-3</v>
      </c>
      <c r="V109" s="12">
        <f t="shared" si="6"/>
        <v>-1.7822358561334153E-2</v>
      </c>
      <c r="W109" s="12">
        <f t="shared" si="7"/>
        <v>1.8134249921373718E-2</v>
      </c>
      <c r="X109" s="12">
        <f t="shared" si="8"/>
        <v>1.3818914663675261E-4</v>
      </c>
      <c r="Y109" s="12">
        <f t="shared" si="9"/>
        <v>-1.0689839939496313E-3</v>
      </c>
      <c r="Z109" s="12">
        <f t="shared" si="10"/>
        <v>1.0876912189550134E-3</v>
      </c>
      <c r="AA109" s="39"/>
    </row>
    <row r="110" spans="1:27" ht="15.5">
      <c r="A110" s="8" t="s">
        <v>39</v>
      </c>
      <c r="B110" s="9">
        <v>2020</v>
      </c>
      <c r="C110" s="19">
        <v>472.02300000000002</v>
      </c>
      <c r="D110" s="19">
        <v>21761.421999999999</v>
      </c>
      <c r="E110" s="19">
        <v>29547.034</v>
      </c>
      <c r="F110" s="19">
        <v>10957.164000000001</v>
      </c>
      <c r="G110" s="19">
        <v>8293.1049999999996</v>
      </c>
      <c r="H110" s="10">
        <f t="shared" si="27"/>
        <v>1.5975309061478048E-2</v>
      </c>
      <c r="I110" s="10">
        <f t="shared" si="28"/>
        <v>0.73650106470923604</v>
      </c>
      <c r="J110" s="10">
        <f t="shared" si="29"/>
        <v>1.3212378234690145</v>
      </c>
      <c r="K110" s="4">
        <f t="shared" si="31"/>
        <v>-0.17911777322788136</v>
      </c>
      <c r="L110" s="10">
        <f t="shared" si="22"/>
        <v>0.73650106470923604</v>
      </c>
      <c r="M110" s="19">
        <v>-1393.9190000000001</v>
      </c>
      <c r="N110" s="19">
        <v>-720.18899999999996</v>
      </c>
      <c r="O110" s="19">
        <v>1916.33</v>
      </c>
      <c r="P110" s="11">
        <v>0.3155</v>
      </c>
      <c r="Q110" s="11">
        <f>0.5%+2.53%</f>
        <v>3.0300000000000001E-2</v>
      </c>
      <c r="R110" s="12">
        <f t="shared" si="24"/>
        <v>-4.7176274951996874E-2</v>
      </c>
      <c r="S110" s="12">
        <f t="shared" si="25"/>
        <v>-2.4374324678409345E-2</v>
      </c>
      <c r="T110" s="12">
        <f t="shared" si="26"/>
        <v>6.4856932848149834E-2</v>
      </c>
      <c r="U110" s="12">
        <f t="shared" si="15"/>
        <v>-1.4884114747355013E-2</v>
      </c>
      <c r="V110" s="12">
        <f t="shared" si="6"/>
        <v>-7.6900994360381489E-3</v>
      </c>
      <c r="W110" s="12">
        <f t="shared" si="7"/>
        <v>2.0462362313591272E-2</v>
      </c>
      <c r="X110" s="12">
        <f t="shared" si="8"/>
        <v>-1.4294411310455052E-3</v>
      </c>
      <c r="Y110" s="12">
        <f t="shared" si="9"/>
        <v>-7.3854203775580317E-4</v>
      </c>
      <c r="Z110" s="12">
        <f t="shared" si="10"/>
        <v>1.9651650652989399E-3</v>
      </c>
      <c r="AA110" s="39"/>
    </row>
    <row r="111" spans="1:27" ht="15.5">
      <c r="A111" s="8" t="s">
        <v>39</v>
      </c>
      <c r="B111" s="9">
        <v>2021</v>
      </c>
      <c r="C111" s="19">
        <v>-242.07599999999999</v>
      </c>
      <c r="D111" s="19">
        <v>22491.394</v>
      </c>
      <c r="E111" s="19">
        <v>30870.172999999999</v>
      </c>
      <c r="F111" s="19">
        <v>10497.487999999999</v>
      </c>
      <c r="G111" s="19">
        <v>9158.7440000000006</v>
      </c>
      <c r="H111" s="10">
        <f t="shared" si="27"/>
        <v>-7.8417441975462861E-3</v>
      </c>
      <c r="I111" s="10">
        <f t="shared" si="28"/>
        <v>0.72858010870233869</v>
      </c>
      <c r="J111" s="10">
        <f t="shared" si="29"/>
        <v>1.1461711343826182</v>
      </c>
      <c r="K111" s="4">
        <f t="shared" si="31"/>
        <v>-0.11639021604524069</v>
      </c>
      <c r="L111" s="10">
        <f t="shared" si="22"/>
        <v>0.72858010870233869</v>
      </c>
      <c r="M111" s="19">
        <v>-881.65700000000004</v>
      </c>
      <c r="N111" s="19">
        <v>737</v>
      </c>
      <c r="O111" s="19">
        <v>395.14100000000002</v>
      </c>
      <c r="P111" s="11">
        <v>0.10440000000000001</v>
      </c>
      <c r="Q111" s="11">
        <v>2.46E-2</v>
      </c>
      <c r="R111" s="12">
        <f t="shared" si="24"/>
        <v>-2.8560157405013574E-2</v>
      </c>
      <c r="S111" s="12">
        <f t="shared" si="25"/>
        <v>2.3874177835025417E-2</v>
      </c>
      <c r="T111" s="12">
        <f t="shared" si="26"/>
        <v>1.2800090235969848E-2</v>
      </c>
      <c r="U111" s="12">
        <f t="shared" si="15"/>
        <v>-2.9816804330834172E-3</v>
      </c>
      <c r="V111" s="12">
        <f t="shared" si="6"/>
        <v>2.4924641659766537E-3</v>
      </c>
      <c r="W111" s="12">
        <f t="shared" si="7"/>
        <v>1.3363294206352521E-3</v>
      </c>
      <c r="X111" s="12">
        <f t="shared" si="8"/>
        <v>-7.025798721633339E-4</v>
      </c>
      <c r="Y111" s="12">
        <f t="shared" si="9"/>
        <v>5.8730477474162521E-4</v>
      </c>
      <c r="Z111" s="12">
        <f t="shared" si="10"/>
        <v>3.1488221980485829E-4</v>
      </c>
      <c r="AA111" s="39"/>
    </row>
    <row r="112" spans="1:27" ht="15.5">
      <c r="A112" s="8" t="s">
        <v>40</v>
      </c>
      <c r="B112" s="9">
        <v>2017</v>
      </c>
      <c r="C112" s="19">
        <v>106.24</v>
      </c>
      <c r="D112" s="19">
        <v>329.65699999999998</v>
      </c>
      <c r="E112" s="19">
        <v>775.68700000000001</v>
      </c>
      <c r="F112" s="19">
        <v>684.45899999999995</v>
      </c>
      <c r="G112" s="19">
        <v>329.65699999999998</v>
      </c>
      <c r="H112" s="10">
        <f t="shared" si="27"/>
        <v>0.13696246037383636</v>
      </c>
      <c r="I112" s="10">
        <f t="shared" si="28"/>
        <v>0.42498714043164315</v>
      </c>
      <c r="J112" s="10">
        <f t="shared" si="29"/>
        <v>2.0762762507697392</v>
      </c>
      <c r="K112" s="4">
        <f t="shared" si="31"/>
        <v>-2.5022094762249765</v>
      </c>
      <c r="L112" s="10">
        <f t="shared" si="22"/>
        <v>0.42498714043164315</v>
      </c>
      <c r="M112" s="19">
        <v>131.76300000000001</v>
      </c>
      <c r="N112" s="19">
        <v>-11.532</v>
      </c>
      <c r="O112" s="19">
        <v>-127.44499999999999</v>
      </c>
      <c r="P112" s="11">
        <v>5.8099999999999999E-2</v>
      </c>
      <c r="Q112" s="11">
        <v>1.33E-3</v>
      </c>
      <c r="R112" s="12">
        <f t="shared" si="24"/>
        <v>0.16986619603009978</v>
      </c>
      <c r="S112" s="12">
        <f t="shared" si="25"/>
        <v>-1.4866821282295564E-2</v>
      </c>
      <c r="T112" s="12">
        <f t="shared" si="26"/>
        <v>-0.16429951771784237</v>
      </c>
      <c r="U112" s="12">
        <f t="shared" si="15"/>
        <v>9.8692259893487979E-3</v>
      </c>
      <c r="V112" s="12">
        <f t="shared" si="6"/>
        <v>-8.6376231650137222E-4</v>
      </c>
      <c r="W112" s="12">
        <f t="shared" si="7"/>
        <v>-9.5458019794066422E-3</v>
      </c>
      <c r="X112" s="12">
        <f t="shared" si="8"/>
        <v>2.2592204072003272E-4</v>
      </c>
      <c r="Y112" s="12">
        <f t="shared" si="9"/>
        <v>-1.97728723054531E-5</v>
      </c>
      <c r="Z112" s="12">
        <f t="shared" si="10"/>
        <v>-2.1851835856473035E-4</v>
      </c>
      <c r="AA112" s="39"/>
    </row>
    <row r="113" spans="1:27" ht="15.5">
      <c r="A113" s="8" t="s">
        <v>40</v>
      </c>
      <c r="B113" s="9">
        <v>2018</v>
      </c>
      <c r="C113" s="19">
        <v>148.53700000000001</v>
      </c>
      <c r="D113" s="19">
        <v>376.84899999999999</v>
      </c>
      <c r="E113" s="19">
        <v>1013.585</v>
      </c>
      <c r="F113" s="19">
        <v>944.79899999999998</v>
      </c>
      <c r="G113" s="19">
        <v>376.84899999999999</v>
      </c>
      <c r="H113" s="10">
        <f t="shared" si="27"/>
        <v>0.14654617027678982</v>
      </c>
      <c r="I113" s="10">
        <f t="shared" si="28"/>
        <v>0.37179812250575922</v>
      </c>
      <c r="J113" s="10">
        <f t="shared" si="29"/>
        <v>2.507102314189503</v>
      </c>
      <c r="K113" s="4">
        <f t="shared" si="31"/>
        <v>-2.8502368772194839</v>
      </c>
      <c r="L113" s="10">
        <f t="shared" si="22"/>
        <v>0.37179812250575922</v>
      </c>
      <c r="M113" s="19">
        <v>69.959999999999994</v>
      </c>
      <c r="N113" s="19">
        <v>-17.501000000000001</v>
      </c>
      <c r="O113" s="19">
        <v>45.972999999999999</v>
      </c>
      <c r="P113" s="11">
        <v>4.5400000000000003E-2</v>
      </c>
      <c r="Q113" s="11">
        <v>2.5000000000000001E-3</v>
      </c>
      <c r="R113" s="12">
        <f t="shared" si="24"/>
        <v>6.9022331624876046E-2</v>
      </c>
      <c r="S113" s="12">
        <f t="shared" si="25"/>
        <v>-1.7266435474084563E-2</v>
      </c>
      <c r="T113" s="12">
        <f t="shared" si="26"/>
        <v>4.5356827498433776E-2</v>
      </c>
      <c r="U113" s="12">
        <f t="shared" si="15"/>
        <v>3.1336138557693728E-3</v>
      </c>
      <c r="V113" s="12">
        <f t="shared" si="6"/>
        <v>-7.8389617052343919E-4</v>
      </c>
      <c r="W113" s="12">
        <f t="shared" si="7"/>
        <v>2.0591999684288933E-3</v>
      </c>
      <c r="X113" s="12">
        <f t="shared" si="8"/>
        <v>1.7255582906219012E-4</v>
      </c>
      <c r="Y113" s="12">
        <f t="shared" si="9"/>
        <v>-4.316608868521141E-5</v>
      </c>
      <c r="Z113" s="12">
        <f t="shared" si="10"/>
        <v>1.1339206874608444E-4</v>
      </c>
      <c r="AA113" s="39"/>
    </row>
    <row r="114" spans="1:27" ht="15.5">
      <c r="A114" s="8" t="s">
        <v>40</v>
      </c>
      <c r="B114" s="9">
        <v>2019</v>
      </c>
      <c r="C114" s="19">
        <v>140.54599999999999</v>
      </c>
      <c r="D114" s="19">
        <v>331.40800000000002</v>
      </c>
      <c r="E114" s="19">
        <v>1024.3710000000001</v>
      </c>
      <c r="F114" s="19">
        <v>912.048</v>
      </c>
      <c r="G114" s="19">
        <v>331.40800000000002</v>
      </c>
      <c r="H114" s="10">
        <f t="shared" si="27"/>
        <v>0.13720224410882384</v>
      </c>
      <c r="I114" s="10">
        <f t="shared" si="28"/>
        <v>0.32352341095169618</v>
      </c>
      <c r="J114" s="10">
        <f t="shared" si="29"/>
        <v>2.7520397817795588</v>
      </c>
      <c r="K114" s="4">
        <f t="shared" si="31"/>
        <v>-3.084334815192157</v>
      </c>
      <c r="L114" s="10">
        <f t="shared" si="22"/>
        <v>0.32352341095169618</v>
      </c>
      <c r="M114" s="19">
        <v>144.75</v>
      </c>
      <c r="N114" s="19">
        <v>-88.747</v>
      </c>
      <c r="O114" s="19">
        <v>-126.21899999999999</v>
      </c>
      <c r="P114" s="11">
        <v>4.3400000000000001E-2</v>
      </c>
      <c r="Q114" s="11">
        <v>2.5000000000000001E-3</v>
      </c>
      <c r="R114" s="12">
        <f t="shared" si="24"/>
        <v>0.14130622596695921</v>
      </c>
      <c r="S114" s="12">
        <f t="shared" si="25"/>
        <v>-8.6635603702174296E-2</v>
      </c>
      <c r="T114" s="12">
        <f t="shared" si="26"/>
        <v>-0.12321610041674352</v>
      </c>
      <c r="U114" s="12">
        <f t="shared" si="15"/>
        <v>6.1326902069660299E-3</v>
      </c>
      <c r="V114" s="12">
        <f t="shared" si="6"/>
        <v>-3.7599852006743647E-3</v>
      </c>
      <c r="W114" s="12">
        <f t="shared" si="7"/>
        <v>-5.3475787580866694E-3</v>
      </c>
      <c r="X114" s="12">
        <f t="shared" si="8"/>
        <v>3.5326556491739803E-4</v>
      </c>
      <c r="Y114" s="12">
        <f t="shared" si="9"/>
        <v>-2.1658900925543574E-4</v>
      </c>
      <c r="Z114" s="12">
        <f t="shared" si="10"/>
        <v>-3.0804025104185884E-4</v>
      </c>
      <c r="AA114" s="39"/>
    </row>
    <row r="115" spans="1:27" ht="15.5">
      <c r="A115" s="8" t="s">
        <v>40</v>
      </c>
      <c r="B115" s="9">
        <v>2020</v>
      </c>
      <c r="C115" s="19">
        <v>128.947</v>
      </c>
      <c r="D115" s="19">
        <v>180.98099999999999</v>
      </c>
      <c r="E115" s="19">
        <v>911.61900000000003</v>
      </c>
      <c r="F115" s="19">
        <v>839.01599999999996</v>
      </c>
      <c r="G115" s="19">
        <v>180.47499999999999</v>
      </c>
      <c r="H115" s="10">
        <f t="shared" si="27"/>
        <v>0.1414483462937916</v>
      </c>
      <c r="I115" s="10">
        <f t="shared" si="28"/>
        <v>0.19852701622059216</v>
      </c>
      <c r="J115" s="10">
        <f t="shared" si="29"/>
        <v>4.6489319850394795</v>
      </c>
      <c r="K115" s="4">
        <f t="shared" si="31"/>
        <v>-3.8235092938048445</v>
      </c>
      <c r="L115" s="10">
        <f t="shared" si="22"/>
        <v>0.19852701622059216</v>
      </c>
      <c r="M115" s="19">
        <v>227.571</v>
      </c>
      <c r="N115" s="19">
        <v>-4</v>
      </c>
      <c r="O115" s="19">
        <v>-212.36099999999999</v>
      </c>
      <c r="P115" s="11">
        <v>2.1600000000000001E-2</v>
      </c>
      <c r="Q115" s="11">
        <v>2.5000000000000001E-3</v>
      </c>
      <c r="R115" s="12">
        <f t="shared" si="24"/>
        <v>0.24963389310665968</v>
      </c>
      <c r="S115" s="12">
        <f t="shared" si="25"/>
        <v>-4.3877979726179468E-3</v>
      </c>
      <c r="T115" s="12">
        <f t="shared" si="26"/>
        <v>-0.23294929131577993</v>
      </c>
      <c r="U115" s="12">
        <f t="shared" si="15"/>
        <v>5.3920920911038495E-3</v>
      </c>
      <c r="V115" s="12">
        <f t="shared" si="6"/>
        <v>-9.4776436208547651E-5</v>
      </c>
      <c r="W115" s="12">
        <f t="shared" si="7"/>
        <v>-5.0317046924208469E-3</v>
      </c>
      <c r="X115" s="12">
        <f t="shared" si="8"/>
        <v>6.2408473276664924E-4</v>
      </c>
      <c r="Y115" s="12">
        <f t="shared" si="9"/>
        <v>-1.0969494931544868E-5</v>
      </c>
      <c r="Z115" s="12">
        <f t="shared" si="10"/>
        <v>-5.8237322828944981E-4</v>
      </c>
      <c r="AA115" s="39"/>
    </row>
    <row r="116" spans="1:27" ht="15.5">
      <c r="A116" s="8" t="s">
        <v>40</v>
      </c>
      <c r="B116" s="9">
        <v>2021</v>
      </c>
      <c r="C116" s="19">
        <v>135.41999999999999</v>
      </c>
      <c r="D116" s="19">
        <v>276.178</v>
      </c>
      <c r="E116" s="19">
        <v>1050.1690000000001</v>
      </c>
      <c r="F116" s="19">
        <v>1006.9640000000001</v>
      </c>
      <c r="G116" s="19">
        <v>275.67200000000003</v>
      </c>
      <c r="H116" s="10">
        <f t="shared" si="27"/>
        <v>0.12895067365347862</v>
      </c>
      <c r="I116" s="10">
        <f t="shared" si="28"/>
        <v>0.26298433871119786</v>
      </c>
      <c r="J116" s="10">
        <f t="shared" si="29"/>
        <v>3.6527612525029745</v>
      </c>
      <c r="K116" s="4">
        <f t="shared" si="31"/>
        <v>-3.3958783457968376</v>
      </c>
      <c r="L116" s="10">
        <f t="shared" si="22"/>
        <v>0.26298433871119786</v>
      </c>
      <c r="M116" s="19">
        <v>-14.25</v>
      </c>
      <c r="N116" s="19">
        <v>10.057</v>
      </c>
      <c r="O116" s="19">
        <v>10.346</v>
      </c>
      <c r="P116" s="11">
        <v>1.9400000000000001E-2</v>
      </c>
      <c r="Q116" s="11">
        <v>1.1999999999999999E-3</v>
      </c>
      <c r="R116" s="12">
        <f t="shared" si="24"/>
        <v>-1.3569244569207431E-2</v>
      </c>
      <c r="S116" s="12">
        <f t="shared" si="25"/>
        <v>9.5765538689487114E-3</v>
      </c>
      <c r="T116" s="12">
        <f t="shared" si="26"/>
        <v>9.851747671089128E-3</v>
      </c>
      <c r="U116" s="12">
        <f t="shared" si="15"/>
        <v>-2.6324334464262415E-4</v>
      </c>
      <c r="V116" s="12">
        <f t="shared" si="6"/>
        <v>1.85785145057605E-4</v>
      </c>
      <c r="W116" s="12">
        <f t="shared" si="7"/>
        <v>1.9112390481912909E-4</v>
      </c>
      <c r="X116" s="12">
        <f t="shared" si="8"/>
        <v>-1.6283093483048915E-5</v>
      </c>
      <c r="Y116" s="12">
        <f t="shared" si="9"/>
        <v>1.1491864642738452E-5</v>
      </c>
      <c r="Z116" s="12">
        <f t="shared" si="10"/>
        <v>1.1822097205306953E-5</v>
      </c>
      <c r="AA116" s="39"/>
    </row>
    <row r="117" spans="1:27" ht="15.5">
      <c r="A117" s="8" t="s">
        <v>41</v>
      </c>
      <c r="B117" s="9">
        <v>2017</v>
      </c>
      <c r="C117" s="19">
        <v>83.516999999999996</v>
      </c>
      <c r="D117" s="19">
        <v>24.065999999999999</v>
      </c>
      <c r="E117" s="19">
        <v>614.16800000000001</v>
      </c>
      <c r="F117" s="19">
        <v>251.911</v>
      </c>
      <c r="G117" s="19">
        <v>24.065999999999999</v>
      </c>
      <c r="H117" s="10">
        <f t="shared" si="27"/>
        <v>0.13598396529939691</v>
      </c>
      <c r="I117" s="10">
        <f t="shared" si="28"/>
        <v>3.918471818785739E-2</v>
      </c>
      <c r="J117" s="10">
        <f t="shared" si="29"/>
        <v>10.467506025097649</v>
      </c>
      <c r="K117" s="4">
        <f t="shared" si="31"/>
        <v>-4.7304449742768888</v>
      </c>
      <c r="L117" s="10">
        <f t="shared" si="22"/>
        <v>3.918471818785739E-2</v>
      </c>
      <c r="M117" s="19">
        <v>113.386</v>
      </c>
      <c r="N117" s="19">
        <v>-99.23</v>
      </c>
      <c r="O117" s="19">
        <v>-126.791</v>
      </c>
      <c r="P117" s="11">
        <v>7.2599999999999998E-2</v>
      </c>
      <c r="Q117" s="11">
        <v>2.6900000000000001E-3</v>
      </c>
      <c r="R117" s="12">
        <f t="shared" si="24"/>
        <v>0.1846172382800797</v>
      </c>
      <c r="S117" s="12">
        <f t="shared" si="25"/>
        <v>-0.16156817027262899</v>
      </c>
      <c r="T117" s="12">
        <f t="shared" si="26"/>
        <v>-0.20644351382683565</v>
      </c>
      <c r="U117" s="12">
        <f t="shared" si="15"/>
        <v>1.3403211499133786E-2</v>
      </c>
      <c r="V117" s="12">
        <f t="shared" si="6"/>
        <v>-1.1729849161792864E-2</v>
      </c>
      <c r="W117" s="12">
        <f t="shared" si="7"/>
        <v>-1.4987799103828268E-2</v>
      </c>
      <c r="X117" s="12">
        <f t="shared" si="8"/>
        <v>4.9662037097341445E-4</v>
      </c>
      <c r="Y117" s="12">
        <f t="shared" si="9"/>
        <v>-4.3461837803337197E-4</v>
      </c>
      <c r="Z117" s="12">
        <f t="shared" si="10"/>
        <v>-5.5533305219418797E-4</v>
      </c>
      <c r="AA117" s="39"/>
    </row>
    <row r="118" spans="1:27" ht="15.5">
      <c r="A118" s="8" t="s">
        <v>41</v>
      </c>
      <c r="B118" s="9">
        <v>2018</v>
      </c>
      <c r="C118" s="19">
        <v>91.841999999999999</v>
      </c>
      <c r="D118" s="19">
        <v>79.738</v>
      </c>
      <c r="E118" s="19">
        <v>703.69299999999998</v>
      </c>
      <c r="F118" s="19">
        <v>303.60899999999998</v>
      </c>
      <c r="G118" s="19">
        <v>66.790000000000006</v>
      </c>
      <c r="H118" s="10">
        <f t="shared" si="27"/>
        <v>0.13051430098068334</v>
      </c>
      <c r="I118" s="10">
        <f t="shared" si="28"/>
        <v>0.11331361829661514</v>
      </c>
      <c r="J118" s="10">
        <f t="shared" si="29"/>
        <v>4.5457254079952083</v>
      </c>
      <c r="K118" s="4">
        <f t="shared" si="31"/>
        <v>-4.2596096317543495</v>
      </c>
      <c r="L118" s="10">
        <f t="shared" si="22"/>
        <v>0.11331361829661514</v>
      </c>
      <c r="M118" s="19">
        <v>181.25299999999999</v>
      </c>
      <c r="N118" s="19">
        <v>44.877000000000002</v>
      </c>
      <c r="O118" s="19">
        <v>-79.036000000000001</v>
      </c>
      <c r="P118" s="11">
        <v>7.2700000000000001E-2</v>
      </c>
      <c r="Q118" s="11">
        <v>1.47E-3</v>
      </c>
      <c r="R118" s="12">
        <f t="shared" si="24"/>
        <v>0.25757397046723501</v>
      </c>
      <c r="S118" s="12">
        <f t="shared" si="25"/>
        <v>6.3773548976613387E-2</v>
      </c>
      <c r="T118" s="12">
        <f t="shared" si="26"/>
        <v>-0.1123160241753151</v>
      </c>
      <c r="U118" s="12">
        <f t="shared" si="15"/>
        <v>1.8725627652967987E-2</v>
      </c>
      <c r="V118" s="12">
        <f t="shared" si="6"/>
        <v>4.6363370105997935E-3</v>
      </c>
      <c r="W118" s="12">
        <f t="shared" si="7"/>
        <v>-8.1653749575454071E-3</v>
      </c>
      <c r="X118" s="12">
        <f t="shared" si="8"/>
        <v>3.7863373658683544E-4</v>
      </c>
      <c r="Y118" s="12">
        <f t="shared" si="9"/>
        <v>9.3747116995621682E-5</v>
      </c>
      <c r="Z118" s="12">
        <f t="shared" si="10"/>
        <v>-1.6510455553771317E-4</v>
      </c>
      <c r="AA118" s="39"/>
    </row>
    <row r="119" spans="1:27" ht="15.5">
      <c r="A119" s="8" t="s">
        <v>41</v>
      </c>
      <c r="B119" s="9">
        <v>2019</v>
      </c>
      <c r="C119" s="19">
        <v>90.266999999999996</v>
      </c>
      <c r="D119" s="19">
        <v>66.754999999999995</v>
      </c>
      <c r="E119" s="19">
        <v>698.45299999999997</v>
      </c>
      <c r="F119" s="19">
        <v>263.84100000000001</v>
      </c>
      <c r="G119" s="19">
        <v>62.968000000000004</v>
      </c>
      <c r="H119" s="10">
        <f t="shared" si="27"/>
        <v>0.12923847417077455</v>
      </c>
      <c r="I119" s="10">
        <f t="shared" si="28"/>
        <v>9.5575507586050878E-2</v>
      </c>
      <c r="J119" s="10">
        <f t="shared" si="29"/>
        <v>4.1900806758988693</v>
      </c>
      <c r="K119" s="4">
        <f t="shared" si="31"/>
        <v>-4.3535530632315904</v>
      </c>
      <c r="L119" s="10">
        <f t="shared" si="22"/>
        <v>9.5575507586050878E-2</v>
      </c>
      <c r="M119" s="19">
        <v>107.351</v>
      </c>
      <c r="N119" s="19">
        <v>-206.292</v>
      </c>
      <c r="O119" s="19">
        <v>-82.792000000000002</v>
      </c>
      <c r="P119" s="11">
        <v>7.2700000000000001E-2</v>
      </c>
      <c r="Q119" s="11">
        <v>3.0899999999999998E-4</v>
      </c>
      <c r="R119" s="12">
        <f t="shared" si="24"/>
        <v>0.15369824454902478</v>
      </c>
      <c r="S119" s="12">
        <f t="shared" si="25"/>
        <v>-0.29535559300339465</v>
      </c>
      <c r="T119" s="12">
        <f t="shared" si="26"/>
        <v>-0.11853625082861696</v>
      </c>
      <c r="U119" s="12">
        <f t="shared" si="15"/>
        <v>1.1173862378714101E-2</v>
      </c>
      <c r="V119" s="12">
        <f t="shared" si="6"/>
        <v>-2.147235161134679E-2</v>
      </c>
      <c r="W119" s="12">
        <f t="shared" si="7"/>
        <v>-8.6175854352404536E-3</v>
      </c>
      <c r="X119" s="12">
        <f t="shared" si="8"/>
        <v>4.7492757565648652E-5</v>
      </c>
      <c r="Y119" s="12">
        <f t="shared" si="9"/>
        <v>-9.1264878238048934E-5</v>
      </c>
      <c r="Z119" s="12">
        <f t="shared" si="10"/>
        <v>-3.6627701506042641E-5</v>
      </c>
      <c r="AA119" s="39"/>
    </row>
    <row r="120" spans="1:27" ht="15.5">
      <c r="A120" s="8" t="s">
        <v>41</v>
      </c>
      <c r="B120" s="9">
        <v>2020</v>
      </c>
      <c r="C120" s="19">
        <v>98.534000000000006</v>
      </c>
      <c r="D120" s="19">
        <v>58.555999999999997</v>
      </c>
      <c r="E120" s="19">
        <v>705.65499999999997</v>
      </c>
      <c r="F120" s="19">
        <v>297.06900000000002</v>
      </c>
      <c r="G120" s="19">
        <v>57.220999999999997</v>
      </c>
      <c r="H120" s="10">
        <f t="shared" si="27"/>
        <v>0.13963480737754286</v>
      </c>
      <c r="I120" s="10">
        <f t="shared" si="28"/>
        <v>8.2981060149789912E-2</v>
      </c>
      <c r="J120" s="10">
        <f t="shared" si="29"/>
        <v>5.1916079760926941</v>
      </c>
      <c r="K120" s="4">
        <f t="shared" si="31"/>
        <v>-4.4761310222495112</v>
      </c>
      <c r="L120" s="10">
        <f t="shared" ref="L120:L183" si="32">D120/E120</f>
        <v>8.2981060149789912E-2</v>
      </c>
      <c r="M120" s="19">
        <v>156.66399999999999</v>
      </c>
      <c r="N120" s="19">
        <v>56.39</v>
      </c>
      <c r="O120" s="19">
        <v>-91.885999999999996</v>
      </c>
      <c r="P120" s="11">
        <v>7.2700000000000001E-2</v>
      </c>
      <c r="Q120" s="11">
        <v>8.4000000000000003E-4</v>
      </c>
      <c r="R120" s="12">
        <f t="shared" si="24"/>
        <v>0.22201217308741522</v>
      </c>
      <c r="S120" s="12">
        <f t="shared" si="25"/>
        <v>7.9911571518659977E-2</v>
      </c>
      <c r="T120" s="12">
        <f t="shared" si="26"/>
        <v>-0.13021377301939333</v>
      </c>
      <c r="U120" s="12">
        <f t="shared" si="15"/>
        <v>1.6140284983455086E-2</v>
      </c>
      <c r="V120" s="12">
        <f t="shared" si="6"/>
        <v>5.8095712494065799E-3</v>
      </c>
      <c r="W120" s="12">
        <f t="shared" si="7"/>
        <v>-9.4665412985098941E-3</v>
      </c>
      <c r="X120" s="12">
        <f t="shared" si="8"/>
        <v>1.8649022539342879E-4</v>
      </c>
      <c r="Y120" s="12">
        <f t="shared" si="9"/>
        <v>6.7125720075674386E-5</v>
      </c>
      <c r="Z120" s="12">
        <f t="shared" si="10"/>
        <v>-1.093795693362904E-4</v>
      </c>
      <c r="AA120" s="39"/>
    </row>
    <row r="121" spans="1:27" ht="15.5">
      <c r="A121" s="8" t="s">
        <v>41</v>
      </c>
      <c r="B121" s="9">
        <v>2021</v>
      </c>
      <c r="C121" s="19">
        <v>84.853999999999999</v>
      </c>
      <c r="D121" s="19">
        <v>30.295999999999999</v>
      </c>
      <c r="E121" s="19">
        <v>678.55</v>
      </c>
      <c r="F121" s="19">
        <v>331.84100000000001</v>
      </c>
      <c r="G121" s="19">
        <v>29.62</v>
      </c>
      <c r="H121" s="10">
        <f t="shared" si="27"/>
        <v>0.12505194900891609</v>
      </c>
      <c r="I121" s="10">
        <f t="shared" si="28"/>
        <v>4.4648146783582643E-2</v>
      </c>
      <c r="J121" s="10">
        <f t="shared" si="29"/>
        <v>11.203274814314652</v>
      </c>
      <c r="K121" s="4">
        <f t="shared" si="31"/>
        <v>-4.6530524331309593</v>
      </c>
      <c r="L121" s="10">
        <f t="shared" si="32"/>
        <v>4.4648146783582643E-2</v>
      </c>
      <c r="M121" s="19">
        <v>103.432</v>
      </c>
      <c r="N121" s="19">
        <v>21.311</v>
      </c>
      <c r="O121" s="19">
        <v>-77.786000000000001</v>
      </c>
      <c r="P121" s="11">
        <v>7.2499999999999995E-2</v>
      </c>
      <c r="Q121" s="11">
        <v>8.4000000000000003E-4</v>
      </c>
      <c r="R121" s="12">
        <f t="shared" si="24"/>
        <v>0.15243091887112226</v>
      </c>
      <c r="S121" s="12">
        <f t="shared" si="25"/>
        <v>3.1406676000294745E-2</v>
      </c>
      <c r="T121" s="12">
        <f t="shared" si="26"/>
        <v>-0.11463562007221281</v>
      </c>
      <c r="U121" s="12">
        <f t="shared" si="15"/>
        <v>1.1051241618156363E-2</v>
      </c>
      <c r="V121" s="12">
        <f t="shared" si="6"/>
        <v>2.2769840100213688E-3</v>
      </c>
      <c r="W121" s="12">
        <f t="shared" si="7"/>
        <v>-8.3110824552354284E-3</v>
      </c>
      <c r="X121" s="12">
        <f t="shared" si="8"/>
        <v>1.2804197185174271E-4</v>
      </c>
      <c r="Y121" s="12">
        <f t="shared" si="9"/>
        <v>2.6381607840247587E-5</v>
      </c>
      <c r="Z121" s="12">
        <f t="shared" si="10"/>
        <v>-9.6293920860658771E-5</v>
      </c>
      <c r="AA121" s="39"/>
    </row>
    <row r="122" spans="1:27" ht="15.5">
      <c r="A122" s="8" t="s">
        <v>42</v>
      </c>
      <c r="B122" s="9">
        <v>2017</v>
      </c>
      <c r="C122" s="19">
        <v>14.273</v>
      </c>
      <c r="D122" s="19">
        <v>273.32100000000003</v>
      </c>
      <c r="E122" s="19">
        <v>482.04899999999998</v>
      </c>
      <c r="F122" s="19">
        <v>197.91900000000001</v>
      </c>
      <c r="G122" s="19">
        <v>249.57400000000001</v>
      </c>
      <c r="H122" s="10">
        <f t="shared" si="27"/>
        <v>2.960902314909895E-2</v>
      </c>
      <c r="I122" s="10">
        <f t="shared" si="28"/>
        <v>0.56699837568379985</v>
      </c>
      <c r="J122" s="10">
        <f t="shared" si="29"/>
        <v>0.79302731855081054</v>
      </c>
      <c r="K122" s="4">
        <f t="shared" si="31"/>
        <v>-1.2045219720474889</v>
      </c>
      <c r="L122" s="10">
        <f t="shared" si="32"/>
        <v>0.56699837568379985</v>
      </c>
      <c r="M122" s="19">
        <v>54.784999999999997</v>
      </c>
      <c r="N122" s="19">
        <v>-38.892000000000003</v>
      </c>
      <c r="O122" s="19">
        <v>-11.266999999999999</v>
      </c>
      <c r="P122" s="11">
        <v>5.3900000000000003E-2</v>
      </c>
      <c r="Q122" s="11">
        <v>8.1999999999999998E-4</v>
      </c>
      <c r="R122" s="12">
        <f t="shared" si="24"/>
        <v>0.11365027206777734</v>
      </c>
      <c r="S122" s="12">
        <f t="shared" si="25"/>
        <v>-8.0680594711326034E-2</v>
      </c>
      <c r="T122" s="12">
        <f t="shared" si="26"/>
        <v>-2.3373142564345119E-2</v>
      </c>
      <c r="U122" s="12">
        <f t="shared" si="15"/>
        <v>6.1257496644531988E-3</v>
      </c>
      <c r="V122" s="12">
        <f t="shared" si="6"/>
        <v>-4.3486840549404734E-3</v>
      </c>
      <c r="W122" s="12">
        <f t="shared" si="7"/>
        <v>-1.2598123842182021E-3</v>
      </c>
      <c r="X122" s="12">
        <f t="shared" si="8"/>
        <v>9.3193223095577413E-5</v>
      </c>
      <c r="Y122" s="12">
        <f t="shared" si="9"/>
        <v>-6.6158087663287341E-5</v>
      </c>
      <c r="Z122" s="12">
        <f t="shared" si="10"/>
        <v>-1.9165976902762996E-5</v>
      </c>
      <c r="AA122" s="39"/>
    </row>
    <row r="123" spans="1:27" ht="15.5">
      <c r="A123" s="8" t="s">
        <v>42</v>
      </c>
      <c r="B123" s="9">
        <v>2018</v>
      </c>
      <c r="C123" s="19">
        <v>13.553000000000001</v>
      </c>
      <c r="D123" s="19">
        <v>212.501</v>
      </c>
      <c r="E123" s="19">
        <v>423.23</v>
      </c>
      <c r="F123" s="19">
        <v>130.41499999999999</v>
      </c>
      <c r="G123" s="19">
        <v>169.86199999999999</v>
      </c>
      <c r="H123" s="10">
        <f t="shared" si="27"/>
        <v>3.2022777213335539E-2</v>
      </c>
      <c r="I123" s="10">
        <f t="shared" si="28"/>
        <v>0.50209342437917914</v>
      </c>
      <c r="J123" s="10">
        <f t="shared" si="29"/>
        <v>0.76777030766151344</v>
      </c>
      <c r="K123" s="4">
        <f t="shared" si="31"/>
        <v>-1.5852410597293347</v>
      </c>
      <c r="L123" s="10">
        <f t="shared" si="32"/>
        <v>0.50209342437917914</v>
      </c>
      <c r="M123" s="19">
        <v>71.424000000000007</v>
      </c>
      <c r="N123" s="19">
        <v>-101.863</v>
      </c>
      <c r="O123" s="19">
        <v>12.54</v>
      </c>
      <c r="P123" s="11">
        <v>5.4399999999999997E-2</v>
      </c>
      <c r="Q123" s="11">
        <v>2.1000000000000001E-4</v>
      </c>
      <c r="R123" s="12">
        <f t="shared" si="24"/>
        <v>0.16875930345202372</v>
      </c>
      <c r="S123" s="12">
        <f t="shared" si="25"/>
        <v>-0.24068000850601326</v>
      </c>
      <c r="T123" s="12">
        <f t="shared" si="26"/>
        <v>2.962927958793091E-2</v>
      </c>
      <c r="U123" s="12">
        <f t="shared" si="15"/>
        <v>9.1805061077900908E-3</v>
      </c>
      <c r="V123" s="12">
        <f t="shared" si="6"/>
        <v>-1.309299246272712E-2</v>
      </c>
      <c r="W123" s="12">
        <f t="shared" si="7"/>
        <v>1.6118328095834414E-3</v>
      </c>
      <c r="X123" s="12">
        <f t="shared" si="8"/>
        <v>3.5439453724924986E-5</v>
      </c>
      <c r="Y123" s="12">
        <f t="shared" si="9"/>
        <v>-5.0542801786262788E-5</v>
      </c>
      <c r="Z123" s="12">
        <f t="shared" si="10"/>
        <v>6.2221487134654913E-6</v>
      </c>
      <c r="AA123" s="39"/>
    </row>
    <row r="124" spans="1:27" ht="15.5">
      <c r="A124" s="8" t="s">
        <v>42</v>
      </c>
      <c r="B124" s="9">
        <v>2019</v>
      </c>
      <c r="C124" s="19">
        <v>25.550999999999998</v>
      </c>
      <c r="D124" s="19">
        <v>198.52</v>
      </c>
      <c r="E124" s="19">
        <v>418.863</v>
      </c>
      <c r="F124" s="19">
        <v>142.34899999999999</v>
      </c>
      <c r="G124" s="19">
        <v>150.96799999999999</v>
      </c>
      <c r="H124" s="10">
        <f t="shared" si="27"/>
        <v>6.1000852307317666E-2</v>
      </c>
      <c r="I124" s="10">
        <f t="shared" si="28"/>
        <v>0.47394971625567311</v>
      </c>
      <c r="J124" s="10">
        <f t="shared" si="29"/>
        <v>0.94290843092575904</v>
      </c>
      <c r="K124" s="4">
        <f t="shared" si="31"/>
        <v>-1.8767620864492953</v>
      </c>
      <c r="L124" s="10">
        <f t="shared" si="32"/>
        <v>0.47394971625567311</v>
      </c>
      <c r="M124" s="19">
        <v>36.262999999999998</v>
      </c>
      <c r="N124" s="19">
        <v>-4.5830000000000002</v>
      </c>
      <c r="O124" s="19">
        <v>52</v>
      </c>
      <c r="P124" s="11">
        <v>4.8500000000000001E-2</v>
      </c>
      <c r="Q124" s="11">
        <v>3.4000000000000002E-4</v>
      </c>
      <c r="R124" s="12">
        <f t="shared" si="24"/>
        <v>8.6574846668242361E-2</v>
      </c>
      <c r="S124" s="12">
        <f t="shared" si="25"/>
        <v>-1.094152503324476E-2</v>
      </c>
      <c r="T124" s="12">
        <f t="shared" si="26"/>
        <v>0.1241456036938092</v>
      </c>
      <c r="U124" s="12">
        <f t="shared" si="15"/>
        <v>4.1988800634097543E-3</v>
      </c>
      <c r="V124" s="12">
        <f t="shared" si="6"/>
        <v>-5.306639641123709E-4</v>
      </c>
      <c r="W124" s="12">
        <f t="shared" si="7"/>
        <v>6.0210617791497459E-3</v>
      </c>
      <c r="X124" s="12">
        <f t="shared" si="8"/>
        <v>2.9435447867202406E-5</v>
      </c>
      <c r="Y124" s="12">
        <f t="shared" si="9"/>
        <v>-3.7201185113032188E-6</v>
      </c>
      <c r="Z124" s="12">
        <f t="shared" si="10"/>
        <v>4.2209505255895128E-5</v>
      </c>
      <c r="AA124" s="39"/>
    </row>
    <row r="125" spans="1:27" ht="15.5">
      <c r="A125" s="8" t="s">
        <v>42</v>
      </c>
      <c r="B125" s="9">
        <v>2020</v>
      </c>
      <c r="C125" s="19">
        <v>27.954999999999998</v>
      </c>
      <c r="D125" s="19">
        <v>266.40100000000001</v>
      </c>
      <c r="E125" s="19">
        <v>491.70699999999999</v>
      </c>
      <c r="F125" s="19">
        <v>214.50399999999999</v>
      </c>
      <c r="G125" s="19">
        <v>211.404</v>
      </c>
      <c r="H125" s="10">
        <f t="shared" si="27"/>
        <v>5.6852963248438602E-2</v>
      </c>
      <c r="I125" s="10">
        <f t="shared" si="28"/>
        <v>0.54178809738319778</v>
      </c>
      <c r="J125" s="10">
        <f t="shared" si="29"/>
        <v>1.0146638663412235</v>
      </c>
      <c r="K125" s="4">
        <f t="shared" si="31"/>
        <v>-1.4717048349991113</v>
      </c>
      <c r="L125" s="10">
        <f t="shared" si="32"/>
        <v>0.54178809738319778</v>
      </c>
      <c r="M125" s="19">
        <v>87.168999999999997</v>
      </c>
      <c r="N125" s="19">
        <v>-126.011</v>
      </c>
      <c r="O125" s="19">
        <v>1.1319999999999999</v>
      </c>
      <c r="P125" s="11">
        <v>4.8500000000000001E-2</v>
      </c>
      <c r="Q125" s="11">
        <v>2.3000000000000001E-4</v>
      </c>
      <c r="R125" s="12">
        <f t="shared" si="24"/>
        <v>0.17727833852273814</v>
      </c>
      <c r="S125" s="12">
        <f t="shared" si="25"/>
        <v>-0.25627253628685376</v>
      </c>
      <c r="T125" s="12">
        <f t="shared" si="26"/>
        <v>2.3021840242258089E-3</v>
      </c>
      <c r="U125" s="12">
        <f t="shared" si="15"/>
        <v>8.5979994183528006E-3</v>
      </c>
      <c r="V125" s="12">
        <f t="shared" si="6"/>
        <v>-1.2429218009912408E-2</v>
      </c>
      <c r="W125" s="12">
        <f t="shared" si="7"/>
        <v>1.1165592517495173E-4</v>
      </c>
      <c r="X125" s="12">
        <f t="shared" si="8"/>
        <v>4.0774017860229774E-5</v>
      </c>
      <c r="Y125" s="12">
        <f t="shared" si="9"/>
        <v>-5.8942683345976368E-5</v>
      </c>
      <c r="Z125" s="12">
        <f t="shared" si="10"/>
        <v>5.2950232557193606E-7</v>
      </c>
      <c r="AA125" s="39"/>
    </row>
    <row r="126" spans="1:27" ht="15.5">
      <c r="A126" s="8" t="s">
        <v>42</v>
      </c>
      <c r="B126" s="9">
        <v>2021</v>
      </c>
      <c r="C126" s="19">
        <v>27.73</v>
      </c>
      <c r="D126" s="19">
        <v>232.58799999999999</v>
      </c>
      <c r="E126" s="19">
        <v>458.36599999999999</v>
      </c>
      <c r="F126" s="19">
        <v>211.78299999999999</v>
      </c>
      <c r="G126" s="19">
        <v>174.92500000000001</v>
      </c>
      <c r="H126" s="10">
        <f t="shared" si="27"/>
        <v>6.0497506359546739E-2</v>
      </c>
      <c r="I126" s="10">
        <f t="shared" si="28"/>
        <v>0.50742856145525628</v>
      </c>
      <c r="J126" s="10">
        <f t="shared" si="29"/>
        <v>1.2107074460483063</v>
      </c>
      <c r="K126" s="4">
        <f t="shared" si="31"/>
        <v>-1.6847388081071923</v>
      </c>
      <c r="L126" s="10">
        <f t="shared" si="32"/>
        <v>0.50742856145525628</v>
      </c>
      <c r="M126" s="19">
        <v>30.300999999999998</v>
      </c>
      <c r="N126" s="19">
        <v>32.881999999999998</v>
      </c>
      <c r="O126" s="19">
        <v>-10.43</v>
      </c>
      <c r="P126" s="11">
        <v>4.7899999999999998E-2</v>
      </c>
      <c r="Q126" s="11">
        <v>2.3000000000000001E-4</v>
      </c>
      <c r="R126" s="12">
        <f t="shared" si="24"/>
        <v>6.6106561132370206E-2</v>
      </c>
      <c r="S126" s="12">
        <f t="shared" si="25"/>
        <v>7.1737432532081341E-2</v>
      </c>
      <c r="T126" s="12">
        <f t="shared" si="26"/>
        <v>-2.2754741843854037E-2</v>
      </c>
      <c r="U126" s="12">
        <f t="shared" si="15"/>
        <v>3.1665042782405327E-3</v>
      </c>
      <c r="V126" s="12">
        <f t="shared" si="6"/>
        <v>3.4362230182866959E-3</v>
      </c>
      <c r="W126" s="12">
        <f t="shared" si="7"/>
        <v>-1.0899521343206084E-3</v>
      </c>
      <c r="X126" s="12">
        <f t="shared" si="8"/>
        <v>1.5204509060445148E-5</v>
      </c>
      <c r="Y126" s="12">
        <f t="shared" si="9"/>
        <v>1.6499609482378709E-5</v>
      </c>
      <c r="Z126" s="12">
        <f t="shared" si="10"/>
        <v>-5.2335906240864287E-6</v>
      </c>
      <c r="AA126" s="39"/>
    </row>
    <row r="127" spans="1:27" ht="15.5">
      <c r="A127" s="8" t="s">
        <v>50</v>
      </c>
      <c r="B127" s="9">
        <v>2017</v>
      </c>
      <c r="C127" s="19">
        <v>215.97200000000001</v>
      </c>
      <c r="D127" s="19">
        <v>1851.567</v>
      </c>
      <c r="E127" s="19">
        <v>3120.9769999999999</v>
      </c>
      <c r="F127" s="19">
        <v>1905.337</v>
      </c>
      <c r="G127" s="19">
        <v>1647.55</v>
      </c>
      <c r="H127" s="10">
        <f t="shared" si="27"/>
        <v>6.9200125473529606E-2</v>
      </c>
      <c r="I127" s="10">
        <f t="shared" si="28"/>
        <v>0.59326518586968124</v>
      </c>
      <c r="J127" s="10">
        <f t="shared" si="29"/>
        <v>1.1564668750569027</v>
      </c>
      <c r="K127" s="4">
        <f t="shared" si="31"/>
        <v>-1.2344148726739275</v>
      </c>
      <c r="L127" s="10">
        <f t="shared" si="32"/>
        <v>0.59326518586968124</v>
      </c>
      <c r="M127" s="19">
        <v>187.81700000000001</v>
      </c>
      <c r="N127" s="19">
        <v>-146.15</v>
      </c>
      <c r="O127" s="19">
        <v>154.72200000000001</v>
      </c>
      <c r="P127" s="11">
        <v>8.2000000000000003E-2</v>
      </c>
      <c r="Q127" s="11">
        <v>4.6600000000000003E-2</v>
      </c>
      <c r="R127" s="12">
        <f t="shared" si="24"/>
        <v>6.0178911924054557E-2</v>
      </c>
      <c r="S127" s="12">
        <f t="shared" si="25"/>
        <v>-4.6828284860798403E-2</v>
      </c>
      <c r="T127" s="12">
        <f t="shared" si="26"/>
        <v>4.9574860692661309E-2</v>
      </c>
      <c r="U127" s="12">
        <f t="shared" si="15"/>
        <v>4.9346707777724735E-3</v>
      </c>
      <c r="V127" s="12">
        <f t="shared" si="6"/>
        <v>-3.8399193585854693E-3</v>
      </c>
      <c r="W127" s="12">
        <f t="shared" si="7"/>
        <v>4.0651385767982275E-3</v>
      </c>
      <c r="X127" s="12">
        <f t="shared" si="8"/>
        <v>2.8043372956609424E-3</v>
      </c>
      <c r="Y127" s="12">
        <f t="shared" si="9"/>
        <v>-2.1821980745132057E-3</v>
      </c>
      <c r="Z127" s="12">
        <f t="shared" si="10"/>
        <v>2.3101885082780172E-3</v>
      </c>
      <c r="AA127" s="39"/>
    </row>
    <row r="128" spans="1:27" ht="15.5">
      <c r="A128" s="8" t="s">
        <v>50</v>
      </c>
      <c r="B128" s="9">
        <v>2018</v>
      </c>
      <c r="C128" s="19">
        <v>187.93899999999999</v>
      </c>
      <c r="D128" s="19">
        <v>2223.0160000000001</v>
      </c>
      <c r="E128" s="19">
        <v>3593.509</v>
      </c>
      <c r="F128" s="19">
        <v>2178.587</v>
      </c>
      <c r="G128" s="19">
        <v>1877.8119999999999</v>
      </c>
      <c r="H128" s="10">
        <f t="shared" si="27"/>
        <v>5.229957682031685E-2</v>
      </c>
      <c r="I128" s="10">
        <f t="shared" si="28"/>
        <v>0.61861985040248957</v>
      </c>
      <c r="J128" s="10">
        <f t="shared" si="29"/>
        <v>1.1601731163716069</v>
      </c>
      <c r="K128" s="4">
        <f t="shared" si="31"/>
        <v>-1.0138556408627211</v>
      </c>
      <c r="L128" s="10">
        <f t="shared" si="32"/>
        <v>0.61861985040248957</v>
      </c>
      <c r="M128" s="19">
        <v>279.07</v>
      </c>
      <c r="N128" s="19">
        <v>-403.05700000000002</v>
      </c>
      <c r="O128" s="19">
        <v>-39.094000000000001</v>
      </c>
      <c r="P128" s="11">
        <v>8.8599999999999998E-2</v>
      </c>
      <c r="Q128" s="11">
        <v>4.6399999999999997E-2</v>
      </c>
      <c r="R128" s="12">
        <f t="shared" si="24"/>
        <v>7.7659468781071647E-2</v>
      </c>
      <c r="S128" s="12">
        <f t="shared" si="25"/>
        <v>-0.11216251302000357</v>
      </c>
      <c r="T128" s="12">
        <f t="shared" si="26"/>
        <v>-1.0879059994005858E-2</v>
      </c>
      <c r="U128" s="12">
        <f t="shared" si="15"/>
        <v>6.8806289340029476E-3</v>
      </c>
      <c r="V128" s="12">
        <f t="shared" si="6"/>
        <v>-9.9375986535723167E-3</v>
      </c>
      <c r="W128" s="12">
        <f t="shared" si="7"/>
        <v>-9.6388471546891906E-4</v>
      </c>
      <c r="X128" s="12">
        <f t="shared" si="8"/>
        <v>3.603399351441724E-3</v>
      </c>
      <c r="Y128" s="12">
        <f t="shared" si="9"/>
        <v>-5.204340604128165E-3</v>
      </c>
      <c r="Z128" s="12">
        <f t="shared" si="10"/>
        <v>-5.0478838372187182E-4</v>
      </c>
      <c r="AA128" s="39"/>
    </row>
    <row r="129" spans="1:27" ht="15.5">
      <c r="A129" s="8" t="s">
        <v>50</v>
      </c>
      <c r="B129" s="9">
        <v>2019</v>
      </c>
      <c r="C129" s="19">
        <v>218.59</v>
      </c>
      <c r="D129" s="19">
        <v>2461.1089999999999</v>
      </c>
      <c r="E129" s="19">
        <v>4724.33</v>
      </c>
      <c r="F129" s="19">
        <v>3042.8209999999999</v>
      </c>
      <c r="G129" s="19">
        <v>1686.627</v>
      </c>
      <c r="H129" s="10">
        <f t="shared" si="27"/>
        <v>4.62689947569285E-2</v>
      </c>
      <c r="I129" s="10">
        <f t="shared" si="28"/>
        <v>0.52094349886650593</v>
      </c>
      <c r="J129" s="10">
        <f t="shared" si="29"/>
        <v>1.804086499267473</v>
      </c>
      <c r="K129" s="4">
        <f t="shared" si="31"/>
        <v>-1.5460488788641638</v>
      </c>
      <c r="L129" s="10">
        <f t="shared" si="32"/>
        <v>0.52094349886650593</v>
      </c>
      <c r="M129" s="19">
        <v>184.96</v>
      </c>
      <c r="N129" s="19">
        <v>-1286.5409999999999</v>
      </c>
      <c r="O129" s="19">
        <v>1178.6420000000001</v>
      </c>
      <c r="P129" s="11">
        <v>0.37380000000000002</v>
      </c>
      <c r="Q129" s="11">
        <v>3.4200000000000001E-2</v>
      </c>
      <c r="R129" s="12">
        <f t="shared" si="24"/>
        <v>3.9150525047996224E-2</v>
      </c>
      <c r="S129" s="12">
        <f t="shared" si="25"/>
        <v>-0.27232242455543959</v>
      </c>
      <c r="T129" s="12">
        <f t="shared" si="26"/>
        <v>0.24948341881282637</v>
      </c>
      <c r="U129" s="12">
        <f t="shared" si="15"/>
        <v>1.4634466262940989E-2</v>
      </c>
      <c r="V129" s="12">
        <f t="shared" si="6"/>
        <v>-0.10179412229882333</v>
      </c>
      <c r="W129" s="12">
        <f t="shared" si="7"/>
        <v>9.3256901952234503E-2</v>
      </c>
      <c r="X129" s="12">
        <f t="shared" si="8"/>
        <v>1.338947956641471E-3</v>
      </c>
      <c r="Y129" s="12">
        <f t="shared" si="9"/>
        <v>-9.3134269197960341E-3</v>
      </c>
      <c r="Z129" s="12">
        <f t="shared" si="10"/>
        <v>8.5323329233986615E-3</v>
      </c>
      <c r="AA129" s="39"/>
    </row>
    <row r="130" spans="1:27" ht="15.5">
      <c r="A130" s="8" t="s">
        <v>50</v>
      </c>
      <c r="B130" s="9">
        <v>2020</v>
      </c>
      <c r="C130" s="19">
        <v>236.56100000000001</v>
      </c>
      <c r="D130" s="19">
        <v>2756.1970000000001</v>
      </c>
      <c r="E130" s="19">
        <v>5101.3620000000001</v>
      </c>
      <c r="F130" s="19">
        <v>3055.2080000000001</v>
      </c>
      <c r="G130" s="19">
        <v>2008.3789999999999</v>
      </c>
      <c r="H130" s="10">
        <f t="shared" si="27"/>
        <v>4.6372125718582603E-2</v>
      </c>
      <c r="I130" s="10">
        <f t="shared" si="28"/>
        <v>0.54028649603772483</v>
      </c>
      <c r="J130" s="10">
        <f t="shared" si="29"/>
        <v>1.5212308035485336</v>
      </c>
      <c r="K130" s="4">
        <f t="shared" si="31"/>
        <v>-1.4351264615327846</v>
      </c>
      <c r="L130" s="10">
        <f t="shared" si="32"/>
        <v>0.54028649603772483</v>
      </c>
      <c r="M130" s="19">
        <v>447.899</v>
      </c>
      <c r="N130" s="19">
        <v>-326.63</v>
      </c>
      <c r="O130" s="19">
        <v>-29.885000000000002</v>
      </c>
      <c r="P130" s="11">
        <v>0.61829000000000001</v>
      </c>
      <c r="Q130" s="11">
        <v>3.4700000000000002E-2</v>
      </c>
      <c r="R130" s="12">
        <f t="shared" ref="R130:R193" si="33">M130/E130</f>
        <v>8.77998855991792E-2</v>
      </c>
      <c r="S130" s="12">
        <f t="shared" ref="S130:S193" si="34">N130/E130</f>
        <v>-6.402799879718396E-2</v>
      </c>
      <c r="T130" s="12">
        <f t="shared" ref="T130:T193" si="35">O130/E130</f>
        <v>-5.8582394270392888E-3</v>
      </c>
      <c r="U130" s="12">
        <f t="shared" si="15"/>
        <v>5.4285791267116509E-2</v>
      </c>
      <c r="V130" s="12">
        <f t="shared" si="6"/>
        <v>-3.9587871376310868E-2</v>
      </c>
      <c r="W130" s="12">
        <f t="shared" si="7"/>
        <v>-3.622090855344122E-3</v>
      </c>
      <c r="X130" s="12">
        <f t="shared" si="8"/>
        <v>3.0466560302915184E-3</v>
      </c>
      <c r="Y130" s="12">
        <f t="shared" si="9"/>
        <v>-2.2217715582622836E-3</v>
      </c>
      <c r="Z130" s="12">
        <f t="shared" si="10"/>
        <v>-2.0328090811826333E-4</v>
      </c>
      <c r="AA130" s="39"/>
    </row>
    <row r="131" spans="1:27" ht="15.5">
      <c r="A131" s="8" t="s">
        <v>50</v>
      </c>
      <c r="B131" s="9">
        <v>2021</v>
      </c>
      <c r="C131" s="19">
        <v>312.95499999999998</v>
      </c>
      <c r="D131" s="19">
        <v>3405.8029999999999</v>
      </c>
      <c r="E131" s="19">
        <v>5996.1819999999998</v>
      </c>
      <c r="F131" s="19">
        <v>3739.9789999999998</v>
      </c>
      <c r="G131" s="19">
        <v>2522.8009999999999</v>
      </c>
      <c r="H131" s="10">
        <f t="shared" ref="H131:H194" si="36">C131/E131</f>
        <v>5.2192378416799225E-2</v>
      </c>
      <c r="I131" s="10">
        <f t="shared" ref="I131:I194" si="37">D131/E131</f>
        <v>0.56799526765531805</v>
      </c>
      <c r="J131" s="10">
        <f t="shared" ref="J131:J194" si="38">F131/G131</f>
        <v>1.4824708726530551</v>
      </c>
      <c r="K131" s="4">
        <f t="shared" si="31"/>
        <v>-1.3032225607308963</v>
      </c>
      <c r="L131" s="10">
        <f t="shared" si="32"/>
        <v>0.56799526765531805</v>
      </c>
      <c r="M131" s="19">
        <v>547.12</v>
      </c>
      <c r="N131" s="19">
        <v>-662.93700000000001</v>
      </c>
      <c r="O131" s="19">
        <v>143.69900000000001</v>
      </c>
      <c r="P131" s="11">
        <v>0.39340000000000003</v>
      </c>
      <c r="Q131" s="11">
        <v>3.2399999999999998E-2</v>
      </c>
      <c r="R131" s="12">
        <f t="shared" si="33"/>
        <v>9.1244728729047916E-2</v>
      </c>
      <c r="S131" s="12">
        <f t="shared" si="34"/>
        <v>-0.11055985291974127</v>
      </c>
      <c r="T131" s="12">
        <f t="shared" si="35"/>
        <v>2.3965083114555231E-2</v>
      </c>
      <c r="U131" s="12">
        <f t="shared" si="15"/>
        <v>3.5895676282007453E-2</v>
      </c>
      <c r="V131" s="12">
        <f t="shared" si="6"/>
        <v>-4.3494246138626215E-2</v>
      </c>
      <c r="W131" s="12">
        <f t="shared" si="7"/>
        <v>9.4278636972660295E-3</v>
      </c>
      <c r="X131" s="12">
        <f t="shared" si="8"/>
        <v>2.9563292108211524E-3</v>
      </c>
      <c r="Y131" s="12">
        <f t="shared" si="9"/>
        <v>-3.5821392345996169E-3</v>
      </c>
      <c r="Z131" s="12">
        <f t="shared" si="10"/>
        <v>7.7646869291158943E-4</v>
      </c>
      <c r="AA131" s="39"/>
    </row>
    <row r="132" spans="1:27" ht="15.5">
      <c r="A132" s="8" t="s">
        <v>43</v>
      </c>
      <c r="B132" s="9">
        <v>2017</v>
      </c>
      <c r="C132" s="19">
        <v>26.655999999999999</v>
      </c>
      <c r="D132" s="19">
        <v>673.77800000000002</v>
      </c>
      <c r="E132" s="19">
        <v>733.50800000000004</v>
      </c>
      <c r="F132" s="19">
        <v>467.512</v>
      </c>
      <c r="G132" s="19">
        <v>660.40899999999999</v>
      </c>
      <c r="H132" s="10">
        <f t="shared" si="36"/>
        <v>3.6340435278142839E-2</v>
      </c>
      <c r="I132" s="10">
        <f t="shared" si="37"/>
        <v>0.91856939528948556</v>
      </c>
      <c r="J132" s="10">
        <f t="shared" si="38"/>
        <v>0.70791282371984632</v>
      </c>
      <c r="K132" s="4">
        <f t="shared" si="31"/>
        <v>0.76948194310354667</v>
      </c>
      <c r="L132" s="10">
        <f t="shared" si="32"/>
        <v>0.91856939528948556</v>
      </c>
      <c r="M132" s="19">
        <v>52.975999999999999</v>
      </c>
      <c r="N132" s="19">
        <v>-32.531999999999996</v>
      </c>
      <c r="O132" s="19">
        <v>-22.273</v>
      </c>
      <c r="P132" s="11">
        <v>5.1000000000000004E-3</v>
      </c>
      <c r="Q132" s="11">
        <v>0.26989999999999997</v>
      </c>
      <c r="R132" s="12">
        <f t="shared" si="33"/>
        <v>7.2222797842695641E-2</v>
      </c>
      <c r="S132" s="12">
        <f t="shared" si="34"/>
        <v>-4.4351254519378103E-2</v>
      </c>
      <c r="T132" s="12">
        <f t="shared" si="35"/>
        <v>-3.0365040326758533E-2</v>
      </c>
      <c r="U132" s="12">
        <f t="shared" si="15"/>
        <v>3.6833626899774777E-4</v>
      </c>
      <c r="V132" s="12">
        <f t="shared" si="6"/>
        <v>-2.2619139804882834E-4</v>
      </c>
      <c r="W132" s="12">
        <f t="shared" si="7"/>
        <v>-1.5486170566646852E-4</v>
      </c>
      <c r="X132" s="12">
        <f t="shared" si="8"/>
        <v>1.9492933137743553E-2</v>
      </c>
      <c r="Y132" s="12">
        <f t="shared" si="9"/>
        <v>-1.1970403594780148E-2</v>
      </c>
      <c r="Z132" s="12">
        <f t="shared" si="10"/>
        <v>-8.1955243841921269E-3</v>
      </c>
      <c r="AA132" s="39"/>
    </row>
    <row r="133" spans="1:27" ht="15.5">
      <c r="A133" s="8" t="s">
        <v>43</v>
      </c>
      <c r="B133" s="9">
        <v>2018</v>
      </c>
      <c r="C133" s="19">
        <v>80.768000000000001</v>
      </c>
      <c r="D133" s="19">
        <v>737.88400000000001</v>
      </c>
      <c r="E133" s="19">
        <v>876.30200000000002</v>
      </c>
      <c r="F133" s="19">
        <v>601.38300000000004</v>
      </c>
      <c r="G133" s="19">
        <v>729.58</v>
      </c>
      <c r="H133" s="10">
        <f t="shared" si="36"/>
        <v>9.2169138036886825E-2</v>
      </c>
      <c r="I133" s="10">
        <f t="shared" si="37"/>
        <v>0.84204303995654461</v>
      </c>
      <c r="J133" s="10">
        <f t="shared" si="38"/>
        <v>0.82428657583815346</v>
      </c>
      <c r="K133" s="4">
        <f t="shared" si="31"/>
        <v>8.1587060282961407E-2</v>
      </c>
      <c r="L133" s="10">
        <f t="shared" si="32"/>
        <v>0.84204303995654461</v>
      </c>
      <c r="M133" s="19">
        <v>28.667000000000002</v>
      </c>
      <c r="N133" s="19">
        <v>-28.271999999999998</v>
      </c>
      <c r="O133" s="19">
        <v>-5.0709999999999997</v>
      </c>
      <c r="P133" s="11">
        <v>4.0599999999999997E-2</v>
      </c>
      <c r="Q133" s="11">
        <v>0.26989999999999997</v>
      </c>
      <c r="R133" s="12">
        <f t="shared" si="33"/>
        <v>3.2713607865781431E-2</v>
      </c>
      <c r="S133" s="12">
        <f t="shared" si="34"/>
        <v>-3.2262850022024371E-2</v>
      </c>
      <c r="T133" s="12">
        <f t="shared" si="35"/>
        <v>-5.7868177865621666E-3</v>
      </c>
      <c r="U133" s="12">
        <f t="shared" si="15"/>
        <v>1.3281724793507261E-3</v>
      </c>
      <c r="V133" s="12">
        <f t="shared" si="6"/>
        <v>-1.3098717108941894E-3</v>
      </c>
      <c r="W133" s="12">
        <f t="shared" si="7"/>
        <v>-2.3494480213442394E-4</v>
      </c>
      <c r="X133" s="12">
        <f t="shared" si="8"/>
        <v>8.8294027629744077E-3</v>
      </c>
      <c r="Y133" s="12">
        <f t="shared" si="9"/>
        <v>-8.7077432209443761E-3</v>
      </c>
      <c r="Z133" s="12">
        <f t="shared" si="10"/>
        <v>-1.5618621205931286E-3</v>
      </c>
      <c r="AA133" s="39"/>
    </row>
    <row r="134" spans="1:27" ht="15.5">
      <c r="A134" s="8" t="s">
        <v>43</v>
      </c>
      <c r="B134" s="9">
        <v>2019</v>
      </c>
      <c r="C134" s="19">
        <v>77.75</v>
      </c>
      <c r="D134" s="19">
        <v>1079.327</v>
      </c>
      <c r="E134" s="19">
        <v>1423.7950000000001</v>
      </c>
      <c r="F134" s="19">
        <v>958.06299999999999</v>
      </c>
      <c r="G134" s="19">
        <v>1036.6210000000001</v>
      </c>
      <c r="H134" s="10">
        <f t="shared" si="36"/>
        <v>5.4607580445218587E-2</v>
      </c>
      <c r="I134" s="10">
        <f t="shared" si="37"/>
        <v>0.75806348526297673</v>
      </c>
      <c r="J134" s="10">
        <f t="shared" si="38"/>
        <v>0.92421724043792275</v>
      </c>
      <c r="K134" s="4">
        <f t="shared" si="31"/>
        <v>-0.22846911496626776</v>
      </c>
      <c r="L134" s="10">
        <f t="shared" si="32"/>
        <v>0.75806348526297673</v>
      </c>
      <c r="M134" s="19">
        <v>-80.992000000000004</v>
      </c>
      <c r="N134" s="19">
        <v>-163.87299999999999</v>
      </c>
      <c r="O134" s="19">
        <v>280.92899999999997</v>
      </c>
      <c r="P134" s="11">
        <v>1.61E-2</v>
      </c>
      <c r="Q134" s="11">
        <v>0.26989999999999997</v>
      </c>
      <c r="R134" s="12">
        <f t="shared" si="33"/>
        <v>-5.6884593638831436E-2</v>
      </c>
      <c r="S134" s="12">
        <f t="shared" si="34"/>
        <v>-0.11509592321928366</v>
      </c>
      <c r="T134" s="12">
        <f t="shared" si="35"/>
        <v>0.19731000600507795</v>
      </c>
      <c r="U134" s="12">
        <f t="shared" si="15"/>
        <v>-9.1584195758518609E-4</v>
      </c>
      <c r="V134" s="12">
        <f t="shared" si="6"/>
        <v>-1.8530443638304669E-3</v>
      </c>
      <c r="W134" s="12">
        <f t="shared" si="7"/>
        <v>3.1766910966817548E-3</v>
      </c>
      <c r="X134" s="12">
        <f t="shared" si="8"/>
        <v>-1.5353151823120604E-2</v>
      </c>
      <c r="Y134" s="12">
        <f t="shared" si="9"/>
        <v>-3.1064389676884657E-2</v>
      </c>
      <c r="Z134" s="12">
        <f t="shared" si="10"/>
        <v>5.325397062077053E-2</v>
      </c>
      <c r="AA134" s="39"/>
    </row>
    <row r="135" spans="1:27" ht="15.5">
      <c r="A135" s="8" t="s">
        <v>43</v>
      </c>
      <c r="B135" s="9">
        <v>2020</v>
      </c>
      <c r="C135" s="19">
        <v>60.143999999999998</v>
      </c>
      <c r="D135" s="19">
        <v>934.97299999999996</v>
      </c>
      <c r="E135" s="19">
        <v>1492.6669999999999</v>
      </c>
      <c r="F135" s="19">
        <v>929.79700000000003</v>
      </c>
      <c r="G135" s="19">
        <v>902.69100000000003</v>
      </c>
      <c r="H135" s="10">
        <f t="shared" si="36"/>
        <v>4.0292978943059637E-2</v>
      </c>
      <c r="I135" s="10">
        <f t="shared" si="37"/>
        <v>0.62637748406041005</v>
      </c>
      <c r="J135" s="10">
        <f t="shared" si="38"/>
        <v>1.0300279940754919</v>
      </c>
      <c r="K135" s="4">
        <f t="shared" si="31"/>
        <v>-0.91508685807573287</v>
      </c>
      <c r="L135" s="10">
        <f t="shared" si="32"/>
        <v>0.62637748406041005</v>
      </c>
      <c r="M135" s="19">
        <v>-12.819000000000001</v>
      </c>
      <c r="N135" s="19">
        <v>-139.27000000000001</v>
      </c>
      <c r="O135" s="19">
        <v>118.661</v>
      </c>
      <c r="P135" s="11">
        <v>0.14149999999999999</v>
      </c>
      <c r="Q135" s="11">
        <v>0.13589999999999999</v>
      </c>
      <c r="R135" s="12">
        <f t="shared" si="33"/>
        <v>-8.5879837900884794E-3</v>
      </c>
      <c r="S135" s="12">
        <f t="shared" si="34"/>
        <v>-9.330279292032316E-2</v>
      </c>
      <c r="T135" s="12">
        <f t="shared" si="35"/>
        <v>7.9495962595810057E-2</v>
      </c>
      <c r="U135" s="12">
        <f t="shared" si="15"/>
        <v>-1.2151997062975197E-3</v>
      </c>
      <c r="V135" s="12">
        <f t="shared" si="6"/>
        <v>-1.3202345198225727E-2</v>
      </c>
      <c r="W135" s="12">
        <f t="shared" si="7"/>
        <v>1.1248678707307122E-2</v>
      </c>
      <c r="X135" s="12">
        <f t="shared" si="8"/>
        <v>-1.1671069970730242E-3</v>
      </c>
      <c r="Y135" s="12">
        <f t="shared" si="9"/>
        <v>-1.2679849557871917E-2</v>
      </c>
      <c r="Z135" s="12">
        <f t="shared" si="10"/>
        <v>1.0803501316770586E-2</v>
      </c>
      <c r="AA135" s="39"/>
    </row>
    <row r="136" spans="1:27" ht="15.5">
      <c r="A136" s="8" t="s">
        <v>43</v>
      </c>
      <c r="B136" s="9">
        <v>2021</v>
      </c>
      <c r="C136" s="19">
        <v>83.524000000000001</v>
      </c>
      <c r="D136" s="19">
        <v>1125.4280000000001</v>
      </c>
      <c r="E136" s="19">
        <v>2421.5839999999998</v>
      </c>
      <c r="F136" s="19">
        <v>1729.566</v>
      </c>
      <c r="G136" s="19">
        <v>896.548</v>
      </c>
      <c r="H136" s="10">
        <f t="shared" si="36"/>
        <v>3.4491473349675256E-2</v>
      </c>
      <c r="I136" s="10">
        <f t="shared" si="37"/>
        <v>0.46474869341720138</v>
      </c>
      <c r="J136" s="10">
        <f t="shared" si="38"/>
        <v>1.9291393210402568</v>
      </c>
      <c r="K136" s="4">
        <f t="shared" si="31"/>
        <v>-1.8138606348796518</v>
      </c>
      <c r="L136" s="10">
        <f t="shared" si="32"/>
        <v>0.46474869341720138</v>
      </c>
      <c r="M136" s="19">
        <v>-357.45</v>
      </c>
      <c r="N136" s="19">
        <v>-421.04</v>
      </c>
      <c r="O136" s="19">
        <v>798.70899999999995</v>
      </c>
      <c r="P136" s="11">
        <v>7.7899999999999997E-2</v>
      </c>
      <c r="Q136" s="11">
        <v>4.3999999999999997E-2</v>
      </c>
      <c r="R136" s="12">
        <f t="shared" si="33"/>
        <v>-0.1476099941195515</v>
      </c>
      <c r="S136" s="12">
        <f t="shared" si="34"/>
        <v>-0.17386966547516008</v>
      </c>
      <c r="T136" s="12">
        <f t="shared" si="35"/>
        <v>0.32982915314934358</v>
      </c>
      <c r="U136" s="12">
        <f t="shared" si="15"/>
        <v>-1.1498818541913062E-2</v>
      </c>
      <c r="V136" s="12">
        <f t="shared" si="6"/>
        <v>-1.354444694051497E-2</v>
      </c>
      <c r="W136" s="12">
        <f t="shared" si="7"/>
        <v>2.5693691030333865E-2</v>
      </c>
      <c r="X136" s="12">
        <f t="shared" si="8"/>
        <v>-6.4948397412602655E-3</v>
      </c>
      <c r="Y136" s="12">
        <f t="shared" si="9"/>
        <v>-7.6502652809070431E-3</v>
      </c>
      <c r="Z136" s="12">
        <f t="shared" si="10"/>
        <v>1.4512482738571116E-2</v>
      </c>
      <c r="AA136" s="39"/>
    </row>
    <row r="137" spans="1:27" ht="15.5">
      <c r="A137" s="8" t="s">
        <v>44</v>
      </c>
      <c r="B137" s="9">
        <v>2017</v>
      </c>
      <c r="C137" s="19">
        <v>95.097999999999999</v>
      </c>
      <c r="D137" s="19">
        <v>62.691000000000003</v>
      </c>
      <c r="E137" s="19">
        <v>529.38900000000001</v>
      </c>
      <c r="F137" s="19">
        <v>237.179</v>
      </c>
      <c r="G137" s="19">
        <v>49.545999999999999</v>
      </c>
      <c r="H137" s="10">
        <f t="shared" si="36"/>
        <v>0.17963727995859377</v>
      </c>
      <c r="I137" s="10">
        <f t="shared" si="37"/>
        <v>0.11842142545462789</v>
      </c>
      <c r="J137" s="10">
        <f t="shared" si="38"/>
        <v>4.7870463811407582</v>
      </c>
      <c r="K137" s="4">
        <f t="shared" si="31"/>
        <v>-4.4525138202468559</v>
      </c>
      <c r="L137" s="10">
        <f t="shared" si="32"/>
        <v>0.11842142545462789</v>
      </c>
      <c r="M137" s="19">
        <v>129.66200000000001</v>
      </c>
      <c r="N137" s="19">
        <v>-19.606999999999999</v>
      </c>
      <c r="O137" s="19">
        <v>-85.272000000000006</v>
      </c>
      <c r="P137" s="11">
        <v>4.4999999999999997E-3</v>
      </c>
      <c r="Q137" s="11">
        <v>2.06E-2</v>
      </c>
      <c r="R137" s="12">
        <f t="shared" si="33"/>
        <v>0.24492764299976011</v>
      </c>
      <c r="S137" s="12">
        <f t="shared" si="34"/>
        <v>-3.7037037037037035E-2</v>
      </c>
      <c r="T137" s="12">
        <f t="shared" si="35"/>
        <v>-0.16107625961249669</v>
      </c>
      <c r="U137" s="12">
        <f t="shared" si="15"/>
        <v>1.1021743934989203E-3</v>
      </c>
      <c r="V137" s="12">
        <f t="shared" si="6"/>
        <v>-1.6666666666666663E-4</v>
      </c>
      <c r="W137" s="12">
        <f t="shared" si="7"/>
        <v>-7.2484316825623509E-4</v>
      </c>
      <c r="X137" s="12">
        <f t="shared" si="8"/>
        <v>5.0455094457950581E-3</v>
      </c>
      <c r="Y137" s="12">
        <f t="shared" si="9"/>
        <v>-7.629629629629629E-4</v>
      </c>
      <c r="Z137" s="12">
        <f t="shared" si="10"/>
        <v>-3.318170948017432E-3</v>
      </c>
      <c r="AA137" s="39"/>
    </row>
    <row r="138" spans="1:27" ht="15.5">
      <c r="A138" s="8" t="s">
        <v>44</v>
      </c>
      <c r="B138" s="9">
        <v>2018</v>
      </c>
      <c r="C138" s="19">
        <v>90.27</v>
      </c>
      <c r="D138" s="19">
        <v>65.760000000000005</v>
      </c>
      <c r="E138" s="19">
        <v>569.096</v>
      </c>
      <c r="F138" s="19">
        <v>275.77100000000002</v>
      </c>
      <c r="G138" s="19">
        <v>47.487000000000002</v>
      </c>
      <c r="H138" s="10">
        <f t="shared" si="36"/>
        <v>0.15861998678606068</v>
      </c>
      <c r="I138" s="10">
        <f t="shared" si="37"/>
        <v>0.11555168196578434</v>
      </c>
      <c r="J138" s="10">
        <f t="shared" si="38"/>
        <v>5.8072946280034534</v>
      </c>
      <c r="K138" s="4">
        <f t="shared" si="31"/>
        <v>-4.3783745318443161</v>
      </c>
      <c r="L138" s="10">
        <f t="shared" si="32"/>
        <v>0.11555168196578434</v>
      </c>
      <c r="M138" s="19">
        <v>163.577</v>
      </c>
      <c r="N138" s="19">
        <v>-17.381</v>
      </c>
      <c r="O138" s="19">
        <v>-28.024000000000001</v>
      </c>
      <c r="P138" s="11">
        <v>4.4000000000000003E-3</v>
      </c>
      <c r="Q138" s="11">
        <v>2.06E-2</v>
      </c>
      <c r="R138" s="12">
        <f t="shared" si="33"/>
        <v>0.28743305171710926</v>
      </c>
      <c r="S138" s="12">
        <f t="shared" si="34"/>
        <v>-3.0541420076753308E-2</v>
      </c>
      <c r="T138" s="12">
        <f t="shared" si="35"/>
        <v>-4.9243009966684008E-2</v>
      </c>
      <c r="U138" s="12">
        <f t="shared" si="15"/>
        <v>1.2647054275552808E-3</v>
      </c>
      <c r="V138" s="12">
        <f t="shared" si="6"/>
        <v>-1.3438224833771457E-4</v>
      </c>
      <c r="W138" s="12">
        <f t="shared" si="7"/>
        <v>-2.1666924385340964E-4</v>
      </c>
      <c r="X138" s="12">
        <f t="shared" si="8"/>
        <v>5.921120865372451E-3</v>
      </c>
      <c r="Y138" s="12">
        <f t="shared" si="9"/>
        <v>-6.2915325358111815E-4</v>
      </c>
      <c r="Z138" s="12">
        <f t="shared" si="10"/>
        <v>-1.0144060053136905E-3</v>
      </c>
      <c r="AA138" s="39"/>
    </row>
    <row r="139" spans="1:27" ht="15.5">
      <c r="A139" s="8" t="s">
        <v>44</v>
      </c>
      <c r="B139" s="9">
        <v>2019</v>
      </c>
      <c r="C139" s="19">
        <v>51.029000000000003</v>
      </c>
      <c r="D139" s="19">
        <v>70.637</v>
      </c>
      <c r="E139" s="19">
        <v>515.31200000000001</v>
      </c>
      <c r="F139" s="19">
        <v>206.07599999999999</v>
      </c>
      <c r="G139" s="19">
        <v>55.164000000000001</v>
      </c>
      <c r="H139" s="10">
        <f t="shared" si="36"/>
        <v>9.90254447790853E-2</v>
      </c>
      <c r="I139" s="10">
        <f t="shared" si="37"/>
        <v>0.13707617909150185</v>
      </c>
      <c r="J139" s="10">
        <f t="shared" si="38"/>
        <v>3.7356971938220576</v>
      </c>
      <c r="K139" s="4">
        <f t="shared" si="31"/>
        <v>-3.9792230694596116</v>
      </c>
      <c r="L139" s="10">
        <f t="shared" si="32"/>
        <v>0.13707617909150185</v>
      </c>
      <c r="M139" s="19">
        <v>-48.264000000000003</v>
      </c>
      <c r="N139" s="19">
        <v>-25.74</v>
      </c>
      <c r="O139" s="19">
        <v>-84.849000000000004</v>
      </c>
      <c r="P139" s="11">
        <v>4.4999999999999997E-3</v>
      </c>
      <c r="Q139" s="11">
        <v>2.06E-2</v>
      </c>
      <c r="R139" s="12">
        <f t="shared" si="33"/>
        <v>-9.3659763405470858E-2</v>
      </c>
      <c r="S139" s="12">
        <f t="shared" si="34"/>
        <v>-4.9950321358710838E-2</v>
      </c>
      <c r="T139" s="12">
        <f t="shared" si="35"/>
        <v>-0.16465558729468749</v>
      </c>
      <c r="U139" s="12">
        <f t="shared" si="15"/>
        <v>-4.2146893532461885E-4</v>
      </c>
      <c r="V139" s="12">
        <f t="shared" si="6"/>
        <v>-2.2477644611419874E-4</v>
      </c>
      <c r="W139" s="12">
        <f t="shared" si="7"/>
        <v>-7.409501428260936E-4</v>
      </c>
      <c r="X139" s="12">
        <f t="shared" si="8"/>
        <v>-1.9293911261526998E-3</v>
      </c>
      <c r="Y139" s="12">
        <f t="shared" si="9"/>
        <v>-1.0289766199894433E-3</v>
      </c>
      <c r="Z139" s="12">
        <f t="shared" si="10"/>
        <v>-3.3919050982705624E-3</v>
      </c>
      <c r="AA139" s="39"/>
    </row>
    <row r="140" spans="1:27" ht="15.5">
      <c r="A140" s="8" t="s">
        <v>44</v>
      </c>
      <c r="B140" s="9">
        <v>2020</v>
      </c>
      <c r="C140" s="19">
        <v>37.034999999999997</v>
      </c>
      <c r="D140" s="19">
        <v>55.987000000000002</v>
      </c>
      <c r="E140" s="19">
        <v>498.601</v>
      </c>
      <c r="F140" s="19">
        <v>181.358</v>
      </c>
      <c r="G140" s="19">
        <v>41.866999999999997</v>
      </c>
      <c r="H140" s="10">
        <f t="shared" si="36"/>
        <v>7.4277829366567655E-2</v>
      </c>
      <c r="I140" s="10">
        <f t="shared" si="37"/>
        <v>0.11228818233417101</v>
      </c>
      <c r="J140" s="10">
        <f t="shared" si="38"/>
        <v>4.3317648744834836</v>
      </c>
      <c r="K140" s="4">
        <f t="shared" si="31"/>
        <v>-4.0115346523427133</v>
      </c>
      <c r="L140" s="10">
        <f t="shared" si="32"/>
        <v>0.11228818233417101</v>
      </c>
      <c r="M140" s="19">
        <v>91.475999999999999</v>
      </c>
      <c r="N140" s="19">
        <v>-1.046</v>
      </c>
      <c r="O140" s="19">
        <v>-42.241</v>
      </c>
      <c r="P140" s="11">
        <v>3.8999999999999998E-3</v>
      </c>
      <c r="Q140" s="11">
        <v>2.0299999999999999E-2</v>
      </c>
      <c r="R140" s="12">
        <f t="shared" si="33"/>
        <v>0.18346533601015641</v>
      </c>
      <c r="S140" s="12">
        <f t="shared" si="34"/>
        <v>-2.0978698398117935E-3</v>
      </c>
      <c r="T140" s="12">
        <f t="shared" si="35"/>
        <v>-8.4719043884789638E-2</v>
      </c>
      <c r="U140" s="12">
        <f t="shared" si="15"/>
        <v>7.1551481043960995E-4</v>
      </c>
      <c r="V140" s="12">
        <f t="shared" si="6"/>
        <v>-8.1816923752659937E-6</v>
      </c>
      <c r="W140" s="12">
        <f t="shared" si="7"/>
        <v>-3.3040427115067956E-4</v>
      </c>
      <c r="X140" s="12">
        <f t="shared" si="8"/>
        <v>3.7243463210061747E-3</v>
      </c>
      <c r="Y140" s="12">
        <f t="shared" si="9"/>
        <v>-4.2586757748179404E-5</v>
      </c>
      <c r="Z140" s="12">
        <f t="shared" si="10"/>
        <v>-1.7197965908612295E-3</v>
      </c>
      <c r="AA140" s="39"/>
    </row>
    <row r="141" spans="1:27" ht="15.5">
      <c r="A141" s="8" t="s">
        <v>44</v>
      </c>
      <c r="B141" s="9">
        <v>2021</v>
      </c>
      <c r="C141" s="19">
        <v>40.194000000000003</v>
      </c>
      <c r="D141" s="19">
        <v>62.844000000000001</v>
      </c>
      <c r="E141" s="19">
        <v>535.09799999999996</v>
      </c>
      <c r="F141" s="19">
        <v>228.01599999999999</v>
      </c>
      <c r="G141" s="19">
        <v>48.723999999999997</v>
      </c>
      <c r="H141" s="10">
        <f t="shared" si="36"/>
        <v>7.5115212540506612E-2</v>
      </c>
      <c r="I141" s="10">
        <f t="shared" si="37"/>
        <v>0.11744390747115482</v>
      </c>
      <c r="J141" s="10">
        <f t="shared" si="38"/>
        <v>4.679747147196454</v>
      </c>
      <c r="K141" s="4">
        <f t="shared" si="31"/>
        <v>-3.9873071724354823</v>
      </c>
      <c r="L141" s="10">
        <f t="shared" si="32"/>
        <v>0.11744390747115482</v>
      </c>
      <c r="M141" s="19">
        <v>29.466999999999999</v>
      </c>
      <c r="N141" s="19">
        <v>-3.0550000000000002</v>
      </c>
      <c r="O141" s="19">
        <v>0</v>
      </c>
      <c r="P141" s="11">
        <v>4.0000000000000001E-3</v>
      </c>
      <c r="Q141" s="11">
        <v>1.95E-2</v>
      </c>
      <c r="R141" s="12">
        <f t="shared" si="33"/>
        <v>5.5068417374013731E-2</v>
      </c>
      <c r="S141" s="12">
        <f t="shared" si="34"/>
        <v>-5.7092345701161293E-3</v>
      </c>
      <c r="T141" s="12">
        <f t="shared" si="35"/>
        <v>0</v>
      </c>
      <c r="U141" s="12">
        <f t="shared" si="15"/>
        <v>2.2027366949605492E-4</v>
      </c>
      <c r="V141" s="12">
        <f t="shared" si="6"/>
        <v>-2.2836938280464517E-5</v>
      </c>
      <c r="W141" s="12">
        <f t="shared" si="7"/>
        <v>0</v>
      </c>
      <c r="X141" s="12">
        <f t="shared" si="8"/>
        <v>1.0738341387932678E-3</v>
      </c>
      <c r="Y141" s="12">
        <f t="shared" si="9"/>
        <v>-1.1133007411726452E-4</v>
      </c>
      <c r="Z141" s="12">
        <f t="shared" si="10"/>
        <v>0</v>
      </c>
      <c r="AA141" s="39"/>
    </row>
    <row r="142" spans="1:27" ht="15.5">
      <c r="A142" s="8" t="s">
        <v>45</v>
      </c>
      <c r="B142" s="9">
        <v>2017</v>
      </c>
      <c r="C142" s="19">
        <v>13.78</v>
      </c>
      <c r="D142" s="19">
        <v>166.07599999999999</v>
      </c>
      <c r="E142" s="19">
        <v>362.41</v>
      </c>
      <c r="F142" s="19">
        <v>228.68</v>
      </c>
      <c r="G142" s="19">
        <v>141.19</v>
      </c>
      <c r="H142" s="10">
        <f t="shared" si="36"/>
        <v>3.8023233354488005E-2</v>
      </c>
      <c r="I142" s="10">
        <f t="shared" si="37"/>
        <v>0.45825446317706459</v>
      </c>
      <c r="J142" s="10">
        <f t="shared" si="38"/>
        <v>1.619661449111127</v>
      </c>
      <c r="K142" s="4">
        <f t="shared" si="31"/>
        <v>-1.865532755782372</v>
      </c>
      <c r="L142" s="10">
        <f t="shared" si="32"/>
        <v>0.45825446317706459</v>
      </c>
      <c r="M142" s="19">
        <v>4.3490000000000002</v>
      </c>
      <c r="N142" s="19">
        <v>-48.476999999999997</v>
      </c>
      <c r="O142" s="19">
        <v>60.935000000000002</v>
      </c>
      <c r="P142" s="11">
        <v>0</v>
      </c>
      <c r="Q142" s="11">
        <v>0.1033</v>
      </c>
      <c r="R142" s="12">
        <f t="shared" si="33"/>
        <v>1.2000220744460693E-2</v>
      </c>
      <c r="S142" s="12">
        <f t="shared" si="34"/>
        <v>-0.13376286526309977</v>
      </c>
      <c r="T142" s="12">
        <f t="shared" si="35"/>
        <v>0.1681382964046246</v>
      </c>
      <c r="U142" s="12">
        <f t="shared" si="15"/>
        <v>0</v>
      </c>
      <c r="V142" s="12">
        <f t="shared" si="6"/>
        <v>0</v>
      </c>
      <c r="W142" s="12">
        <f t="shared" si="7"/>
        <v>0</v>
      </c>
      <c r="X142" s="12">
        <f t="shared" si="8"/>
        <v>1.2396228029027897E-3</v>
      </c>
      <c r="Y142" s="12">
        <f t="shared" si="9"/>
        <v>-1.3817703981678206E-2</v>
      </c>
      <c r="Z142" s="12">
        <f t="shared" si="10"/>
        <v>1.7368686018597722E-2</v>
      </c>
      <c r="AA142" s="39"/>
    </row>
    <row r="143" spans="1:27" ht="15.5">
      <c r="A143" s="8" t="s">
        <v>45</v>
      </c>
      <c r="B143" s="9">
        <v>2018</v>
      </c>
      <c r="C143" s="19">
        <v>12.779</v>
      </c>
      <c r="D143" s="19">
        <v>155.13200000000001</v>
      </c>
      <c r="E143" s="19">
        <v>347.66500000000002</v>
      </c>
      <c r="F143" s="19">
        <v>238.839</v>
      </c>
      <c r="G143" s="19">
        <v>150.94499999999999</v>
      </c>
      <c r="H143" s="10">
        <f t="shared" si="36"/>
        <v>3.6756647922569136E-2</v>
      </c>
      <c r="I143" s="10">
        <f t="shared" si="37"/>
        <v>0.44621115153955676</v>
      </c>
      <c r="J143" s="10">
        <f t="shared" si="38"/>
        <v>1.5822915631521415</v>
      </c>
      <c r="K143" s="4">
        <f t="shared" si="31"/>
        <v>-1.9283305181286963</v>
      </c>
      <c r="L143" s="10">
        <f t="shared" si="32"/>
        <v>0.44621115153955676</v>
      </c>
      <c r="M143" s="19">
        <v>-50.192999999999998</v>
      </c>
      <c r="N143" s="19">
        <v>19.061</v>
      </c>
      <c r="O143" s="19">
        <v>31.984999999999999</v>
      </c>
      <c r="P143" s="11">
        <v>0</v>
      </c>
      <c r="Q143" s="11">
        <v>0.1033</v>
      </c>
      <c r="R143" s="12">
        <f t="shared" si="33"/>
        <v>-0.14437173716077256</v>
      </c>
      <c r="S143" s="12">
        <f t="shared" si="34"/>
        <v>5.4825766182963483E-2</v>
      </c>
      <c r="T143" s="12">
        <f t="shared" si="35"/>
        <v>9.1999482260221754E-2</v>
      </c>
      <c r="U143" s="12">
        <f t="shared" si="15"/>
        <v>0</v>
      </c>
      <c r="V143" s="12">
        <f t="shared" si="6"/>
        <v>0</v>
      </c>
      <c r="W143" s="12">
        <f t="shared" si="7"/>
        <v>0</v>
      </c>
      <c r="X143" s="12">
        <f t="shared" si="8"/>
        <v>-1.4913600448707806E-2</v>
      </c>
      <c r="Y143" s="12">
        <f t="shared" si="9"/>
        <v>5.6635016467001279E-3</v>
      </c>
      <c r="Z143" s="12">
        <f t="shared" si="10"/>
        <v>9.503546517480907E-3</v>
      </c>
      <c r="AA143" s="39"/>
    </row>
    <row r="144" spans="1:27" ht="15.5">
      <c r="A144" s="8" t="s">
        <v>45</v>
      </c>
      <c r="B144" s="9">
        <v>2019</v>
      </c>
      <c r="C144" s="19">
        <v>5.3730000000000002</v>
      </c>
      <c r="D144" s="19">
        <v>231.18700000000001</v>
      </c>
      <c r="E144" s="19">
        <v>404.70299999999997</v>
      </c>
      <c r="F144" s="19">
        <v>310.29700000000003</v>
      </c>
      <c r="G144" s="19">
        <v>228.321</v>
      </c>
      <c r="H144" s="10">
        <f t="shared" si="36"/>
        <v>1.3276402695309896E-2</v>
      </c>
      <c r="I144" s="10">
        <f t="shared" si="37"/>
        <v>0.57125101617729557</v>
      </c>
      <c r="J144" s="10">
        <f t="shared" si="38"/>
        <v>1.3590383714156824</v>
      </c>
      <c r="K144" s="4">
        <f t="shared" si="31"/>
        <v>-1.1090491734039725</v>
      </c>
      <c r="L144" s="10">
        <f t="shared" si="32"/>
        <v>0.57125101617729557</v>
      </c>
      <c r="M144" s="19">
        <v>-2.0529999999999999</v>
      </c>
      <c r="N144" s="19">
        <v>-32.392000000000003</v>
      </c>
      <c r="O144" s="19">
        <v>24.497</v>
      </c>
      <c r="P144" s="11">
        <v>1.2999999999999999E-4</v>
      </c>
      <c r="Q144" s="11">
        <v>0.1033</v>
      </c>
      <c r="R144" s="12">
        <f t="shared" si="33"/>
        <v>-5.0728558967934514E-3</v>
      </c>
      <c r="S144" s="12">
        <f t="shared" si="34"/>
        <v>-8.003894213781465E-2</v>
      </c>
      <c r="T144" s="12">
        <f t="shared" si="35"/>
        <v>6.0530809013029312E-2</v>
      </c>
      <c r="U144" s="12">
        <f t="shared" si="15"/>
        <v>-6.5947126658314857E-7</v>
      </c>
      <c r="V144" s="12">
        <f t="shared" si="6"/>
        <v>-1.0405062477915903E-5</v>
      </c>
      <c r="W144" s="12">
        <f t="shared" si="7"/>
        <v>7.8690051716938095E-6</v>
      </c>
      <c r="X144" s="12">
        <f t="shared" si="8"/>
        <v>-5.2402601413876354E-4</v>
      </c>
      <c r="Y144" s="12">
        <f t="shared" si="9"/>
        <v>-8.2680227228362543E-3</v>
      </c>
      <c r="Z144" s="12">
        <f t="shared" si="10"/>
        <v>6.2528325710459283E-3</v>
      </c>
      <c r="AA144" s="39"/>
    </row>
    <row r="145" spans="1:27" ht="15.5">
      <c r="A145" s="8" t="s">
        <v>45</v>
      </c>
      <c r="B145" s="9">
        <v>2020</v>
      </c>
      <c r="C145" s="19">
        <v>4.899</v>
      </c>
      <c r="D145" s="19">
        <v>446.86200000000002</v>
      </c>
      <c r="E145" s="19">
        <v>625.66999999999996</v>
      </c>
      <c r="F145" s="19">
        <v>467.81200000000001</v>
      </c>
      <c r="G145" s="19">
        <v>386.88600000000002</v>
      </c>
      <c r="H145" s="10">
        <f t="shared" si="36"/>
        <v>7.8300062333178846E-3</v>
      </c>
      <c r="I145" s="10">
        <f t="shared" si="37"/>
        <v>0.71421356306039929</v>
      </c>
      <c r="J145" s="10">
        <f t="shared" si="38"/>
        <v>1.2091727278836659</v>
      </c>
      <c r="K145" s="4">
        <f t="shared" si="31"/>
        <v>-0.26905440951718912</v>
      </c>
      <c r="L145" s="10">
        <f t="shared" si="32"/>
        <v>0.71421356306039929</v>
      </c>
      <c r="M145" s="19">
        <v>209.29499999999999</v>
      </c>
      <c r="N145" s="19">
        <v>-102.83499999999999</v>
      </c>
      <c r="O145" s="19">
        <v>-80.748999999999995</v>
      </c>
      <c r="P145" s="11">
        <v>6.1999999999999998E-3</v>
      </c>
      <c r="Q145" s="11">
        <v>4.3299999999999998E-2</v>
      </c>
      <c r="R145" s="12">
        <f t="shared" si="33"/>
        <v>0.33451340163344895</v>
      </c>
      <c r="S145" s="12">
        <f t="shared" si="34"/>
        <v>-0.16435980628765964</v>
      </c>
      <c r="T145" s="12">
        <f t="shared" si="35"/>
        <v>-0.12906004762894177</v>
      </c>
      <c r="U145" s="12">
        <f t="shared" si="15"/>
        <v>2.0739830901273836E-3</v>
      </c>
      <c r="V145" s="12">
        <f t="shared" si="6"/>
        <v>-1.0190307989834898E-3</v>
      </c>
      <c r="W145" s="12">
        <f t="shared" si="7"/>
        <v>-8.0017229529943891E-4</v>
      </c>
      <c r="X145" s="12">
        <f t="shared" si="8"/>
        <v>1.4484430290728339E-2</v>
      </c>
      <c r="Y145" s="12">
        <f t="shared" si="9"/>
        <v>-7.1167796122556621E-3</v>
      </c>
      <c r="Z145" s="12">
        <f t="shared" si="10"/>
        <v>-5.5883000623331786E-3</v>
      </c>
      <c r="AA145" s="39"/>
    </row>
    <row r="146" spans="1:27" ht="15.5">
      <c r="A146" s="8" t="s">
        <v>45</v>
      </c>
      <c r="B146" s="9">
        <v>2021</v>
      </c>
      <c r="C146" s="19">
        <v>22.463000000000001</v>
      </c>
      <c r="D146" s="19">
        <v>292.642</v>
      </c>
      <c r="E146" s="19">
        <v>642.13599999999997</v>
      </c>
      <c r="F146" s="19">
        <v>262.37700000000001</v>
      </c>
      <c r="G146" s="19">
        <v>158.43100000000001</v>
      </c>
      <c r="H146" s="10">
        <f t="shared" si="36"/>
        <v>3.4981686122565941E-2</v>
      </c>
      <c r="I146" s="10">
        <f t="shared" si="37"/>
        <v>0.45573211905266175</v>
      </c>
      <c r="J146" s="10">
        <f t="shared" si="38"/>
        <v>1.6560963447810086</v>
      </c>
      <c r="K146" s="4">
        <f t="shared" si="31"/>
        <v>-1.8663688943304986</v>
      </c>
      <c r="L146" s="10">
        <f t="shared" si="32"/>
        <v>0.45573211905266175</v>
      </c>
      <c r="M146" s="19">
        <v>-117.539</v>
      </c>
      <c r="N146" s="19">
        <v>-73.811000000000007</v>
      </c>
      <c r="O146" s="19">
        <v>191.90899999999999</v>
      </c>
      <c r="P146" s="11">
        <v>1.0710000000000001E-2</v>
      </c>
      <c r="Q146" s="11">
        <v>4.3299999999999998E-2</v>
      </c>
      <c r="R146" s="12">
        <f t="shared" si="33"/>
        <v>-0.18304377888796144</v>
      </c>
      <c r="S146" s="12">
        <f t="shared" si="34"/>
        <v>-0.11494605504129968</v>
      </c>
      <c r="T146" s="12">
        <f t="shared" si="35"/>
        <v>0.29886036602838029</v>
      </c>
      <c r="U146" s="12">
        <f t="shared" si="15"/>
        <v>-1.960398871890067E-3</v>
      </c>
      <c r="V146" s="12">
        <f t="shared" si="6"/>
        <v>-1.2310722494923195E-3</v>
      </c>
      <c r="W146" s="12">
        <f t="shared" si="7"/>
        <v>3.200794520163953E-3</v>
      </c>
      <c r="X146" s="12">
        <f t="shared" si="8"/>
        <v>-7.9257956258487298E-3</v>
      </c>
      <c r="Y146" s="12">
        <f t="shared" si="9"/>
        <v>-4.9771641832882761E-3</v>
      </c>
      <c r="Z146" s="12">
        <f t="shared" si="10"/>
        <v>1.2940653849028866E-2</v>
      </c>
      <c r="AA146" s="39"/>
    </row>
    <row r="147" spans="1:27" ht="15.5">
      <c r="A147" s="8" t="s">
        <v>46</v>
      </c>
      <c r="B147" s="9">
        <v>2017</v>
      </c>
      <c r="C147" s="19">
        <v>55.000999999999998</v>
      </c>
      <c r="D147" s="19">
        <v>2791.366</v>
      </c>
      <c r="E147" s="19">
        <v>4020.4189999999999</v>
      </c>
      <c r="F147" s="19">
        <v>2230.0700000000002</v>
      </c>
      <c r="G147" s="19">
        <v>2149.1790000000001</v>
      </c>
      <c r="H147" s="10">
        <f t="shared" si="36"/>
        <v>1.3680414902028868E-2</v>
      </c>
      <c r="I147" s="10">
        <f t="shared" si="37"/>
        <v>0.69429728592965068</v>
      </c>
      <c r="J147" s="10">
        <f t="shared" si="38"/>
        <v>1.0376380934300959</v>
      </c>
      <c r="K147" s="4">
        <f t="shared" si="31"/>
        <v>-0.40821788963384059</v>
      </c>
      <c r="L147" s="10">
        <f t="shared" si="32"/>
        <v>0.69429728592965068</v>
      </c>
      <c r="M147" s="19">
        <v>-284.65100000000001</v>
      </c>
      <c r="N147" s="19">
        <v>-215.56299999999999</v>
      </c>
      <c r="O147" s="19">
        <v>502.71800000000002</v>
      </c>
      <c r="P147" s="11">
        <v>6.8000000000000005E-2</v>
      </c>
      <c r="Q147" s="11">
        <v>2.3E-3</v>
      </c>
      <c r="R147" s="12">
        <f t="shared" si="33"/>
        <v>-7.0801326926372601E-2</v>
      </c>
      <c r="S147" s="12">
        <f t="shared" si="34"/>
        <v>-5.3617048372321389E-2</v>
      </c>
      <c r="T147" s="12">
        <f t="shared" si="35"/>
        <v>0.12504119595494897</v>
      </c>
      <c r="U147" s="12">
        <f t="shared" si="15"/>
        <v>-4.8144902309933376E-3</v>
      </c>
      <c r="V147" s="12">
        <f t="shared" si="6"/>
        <v>-3.6459592893178547E-3</v>
      </c>
      <c r="W147" s="12">
        <f t="shared" si="7"/>
        <v>8.5028013249365316E-3</v>
      </c>
      <c r="X147" s="12">
        <f t="shared" si="8"/>
        <v>-1.6284305193065699E-4</v>
      </c>
      <c r="Y147" s="12">
        <f t="shared" si="9"/>
        <v>-1.2331921125633921E-4</v>
      </c>
      <c r="Z147" s="12">
        <f t="shared" si="10"/>
        <v>2.8759475069638262E-4</v>
      </c>
      <c r="AA147" s="39"/>
    </row>
    <row r="148" spans="1:27" ht="15.5">
      <c r="A148" s="8" t="s">
        <v>46</v>
      </c>
      <c r="B148" s="9">
        <v>2018</v>
      </c>
      <c r="C148" s="19">
        <v>6.0469999999999997</v>
      </c>
      <c r="D148" s="19">
        <v>2673.2240000000002</v>
      </c>
      <c r="E148" s="19">
        <v>3862.8719999999998</v>
      </c>
      <c r="F148" s="19">
        <v>2054.2620000000002</v>
      </c>
      <c r="G148" s="19">
        <v>2121.2530000000002</v>
      </c>
      <c r="H148" s="10">
        <f t="shared" si="36"/>
        <v>1.5654155768039944E-3</v>
      </c>
      <c r="I148" s="10">
        <f t="shared" si="37"/>
        <v>0.69203017858215343</v>
      </c>
      <c r="J148" s="10">
        <f t="shared" si="38"/>
        <v>0.96841913717977068</v>
      </c>
      <c r="K148" s="4">
        <f t="shared" si="31"/>
        <v>-0.36634602872606181</v>
      </c>
      <c r="L148" s="10">
        <f t="shared" si="32"/>
        <v>0.69203017858215343</v>
      </c>
      <c r="M148" s="19">
        <v>323.608</v>
      </c>
      <c r="N148" s="19">
        <v>-179.232</v>
      </c>
      <c r="O148" s="19">
        <v>-99.997</v>
      </c>
      <c r="P148" s="11">
        <v>0.04</v>
      </c>
      <c r="Q148" s="11">
        <v>2.0479999999999999E-3</v>
      </c>
      <c r="R148" s="12">
        <f t="shared" si="33"/>
        <v>8.377393814757518E-2</v>
      </c>
      <c r="S148" s="12">
        <f t="shared" si="34"/>
        <v>-4.6398638111746909E-2</v>
      </c>
      <c r="T148" s="12">
        <f t="shared" si="35"/>
        <v>-2.5886697773055904E-2</v>
      </c>
      <c r="U148" s="12">
        <f t="shared" si="15"/>
        <v>3.3509575259030072E-3</v>
      </c>
      <c r="V148" s="12">
        <f t="shared" si="6"/>
        <v>-1.8559455244698765E-3</v>
      </c>
      <c r="W148" s="12">
        <f t="shared" si="7"/>
        <v>-1.0354679109222363E-3</v>
      </c>
      <c r="X148" s="12">
        <f t="shared" si="8"/>
        <v>1.7156902532623397E-4</v>
      </c>
      <c r="Y148" s="12">
        <f t="shared" si="9"/>
        <v>-9.5024410852857666E-5</v>
      </c>
      <c r="Z148" s="12">
        <f t="shared" si="10"/>
        <v>-5.301595703921849E-5</v>
      </c>
      <c r="AA148" s="39"/>
    </row>
    <row r="149" spans="1:27" ht="15.5">
      <c r="A149" s="8" t="s">
        <v>46</v>
      </c>
      <c r="B149" s="9">
        <v>2019</v>
      </c>
      <c r="C149" s="19">
        <v>52.448999999999998</v>
      </c>
      <c r="D149" s="19">
        <v>2575.078</v>
      </c>
      <c r="E149" s="19">
        <v>3816.0219999999999</v>
      </c>
      <c r="F149" s="19">
        <v>2172.1779999999999</v>
      </c>
      <c r="G149" s="19">
        <v>2157.652</v>
      </c>
      <c r="H149" s="10">
        <f t="shared" si="36"/>
        <v>1.3744417616040998E-2</v>
      </c>
      <c r="I149" s="10">
        <f t="shared" si="37"/>
        <v>0.67480690624949224</v>
      </c>
      <c r="J149" s="10">
        <f t="shared" si="38"/>
        <v>1.0067323182793146</v>
      </c>
      <c r="K149" s="4">
        <f t="shared" si="31"/>
        <v>-0.51947744292319564</v>
      </c>
      <c r="L149" s="10">
        <f t="shared" si="32"/>
        <v>0.67480690624949224</v>
      </c>
      <c r="M149" s="19">
        <v>129.309</v>
      </c>
      <c r="N149" s="19">
        <v>-46.939</v>
      </c>
      <c r="O149" s="19">
        <v>-96.659000000000006</v>
      </c>
      <c r="P149" s="11">
        <v>0.04</v>
      </c>
      <c r="Q149" s="11">
        <v>1.2639999999999999E-3</v>
      </c>
      <c r="R149" s="12">
        <f t="shared" si="33"/>
        <v>3.3885810930859413E-2</v>
      </c>
      <c r="S149" s="12">
        <f t="shared" si="34"/>
        <v>-1.2300505605051543E-2</v>
      </c>
      <c r="T149" s="12">
        <f t="shared" si="35"/>
        <v>-2.532978059350811E-2</v>
      </c>
      <c r="U149" s="12">
        <f t="shared" si="15"/>
        <v>1.3554324372343765E-3</v>
      </c>
      <c r="V149" s="12">
        <f t="shared" si="6"/>
        <v>-4.9202022420206178E-4</v>
      </c>
      <c r="W149" s="12">
        <f t="shared" si="7"/>
        <v>-1.0131912237403245E-3</v>
      </c>
      <c r="X149" s="12">
        <f t="shared" si="8"/>
        <v>4.2831665016606294E-5</v>
      </c>
      <c r="Y149" s="12">
        <f t="shared" si="9"/>
        <v>-1.5547839084785149E-5</v>
      </c>
      <c r="Z149" s="12">
        <f t="shared" si="10"/>
        <v>-3.201684267019425E-5</v>
      </c>
      <c r="AA149" s="39"/>
    </row>
    <row r="150" spans="1:27" ht="15.5">
      <c r="A150" s="8" t="s">
        <v>46</v>
      </c>
      <c r="B150" s="9">
        <v>2020</v>
      </c>
      <c r="C150" s="19">
        <v>90.66</v>
      </c>
      <c r="D150" s="19">
        <v>2537.8020000000001</v>
      </c>
      <c r="E150" s="19">
        <v>3813.2489999999998</v>
      </c>
      <c r="F150" s="19">
        <v>2255.6570000000002</v>
      </c>
      <c r="G150" s="19">
        <v>2179.9009999999998</v>
      </c>
      <c r="H150" s="10">
        <f t="shared" si="36"/>
        <v>2.3775001317773898E-2</v>
      </c>
      <c r="I150" s="10">
        <f t="shared" si="37"/>
        <v>0.66552223576273151</v>
      </c>
      <c r="J150" s="10">
        <f t="shared" si="38"/>
        <v>1.0347520369044283</v>
      </c>
      <c r="K150" s="4">
        <f t="shared" si="31"/>
        <v>-0.6176497702300302</v>
      </c>
      <c r="L150" s="10">
        <f t="shared" si="32"/>
        <v>0.66552223576273151</v>
      </c>
      <c r="M150" s="19">
        <v>316.58</v>
      </c>
      <c r="N150" s="19">
        <v>-88.936000000000007</v>
      </c>
      <c r="O150" s="19">
        <v>-134.87899999999999</v>
      </c>
      <c r="P150" s="11">
        <v>1.9E-2</v>
      </c>
      <c r="Q150" s="11">
        <v>0</v>
      </c>
      <c r="R150" s="12">
        <f t="shared" si="33"/>
        <v>8.3021066812054498E-2</v>
      </c>
      <c r="S150" s="12">
        <f t="shared" si="34"/>
        <v>-2.3322893417135889E-2</v>
      </c>
      <c r="T150" s="12">
        <f t="shared" si="35"/>
        <v>-3.5371149379439949E-2</v>
      </c>
      <c r="U150" s="12">
        <f t="shared" si="15"/>
        <v>1.5774002694290354E-3</v>
      </c>
      <c r="V150" s="12">
        <f t="shared" si="6"/>
        <v>-4.4313497492558186E-4</v>
      </c>
      <c r="W150" s="12">
        <f t="shared" si="7"/>
        <v>-6.7205183820935903E-4</v>
      </c>
      <c r="X150" s="12">
        <f t="shared" si="8"/>
        <v>0</v>
      </c>
      <c r="Y150" s="12">
        <f t="shared" si="9"/>
        <v>0</v>
      </c>
      <c r="Z150" s="12">
        <f t="shared" si="10"/>
        <v>0</v>
      </c>
      <c r="AA150" s="39"/>
    </row>
    <row r="151" spans="1:27" ht="15.5">
      <c r="A151" s="8" t="s">
        <v>46</v>
      </c>
      <c r="B151" s="9">
        <v>2021</v>
      </c>
      <c r="C151" s="19">
        <v>42.015000000000001</v>
      </c>
      <c r="D151" s="19">
        <v>2894.7869999999998</v>
      </c>
      <c r="E151" s="19">
        <v>4203.902</v>
      </c>
      <c r="F151" s="19">
        <v>2854.02</v>
      </c>
      <c r="G151" s="19">
        <v>2662.4270000000001</v>
      </c>
      <c r="H151" s="10">
        <f t="shared" si="36"/>
        <v>9.9942862607168299E-3</v>
      </c>
      <c r="I151" s="10">
        <f t="shared" si="37"/>
        <v>0.68859526221115519</v>
      </c>
      <c r="J151" s="10">
        <f t="shared" si="38"/>
        <v>1.0719617852433136</v>
      </c>
      <c r="K151" s="4">
        <f t="shared" si="31"/>
        <v>-0.42426914071061378</v>
      </c>
      <c r="L151" s="10">
        <f t="shared" si="32"/>
        <v>0.68859526221115519</v>
      </c>
      <c r="M151" s="19">
        <v>-271.428</v>
      </c>
      <c r="N151" s="19">
        <v>-8.7579999999999991</v>
      </c>
      <c r="O151" s="19">
        <v>206.72800000000001</v>
      </c>
      <c r="P151" s="11">
        <v>1.9E-2</v>
      </c>
      <c r="Q151" s="11">
        <v>0</v>
      </c>
      <c r="R151" s="12">
        <f t="shared" si="33"/>
        <v>-6.4565729648312448E-2</v>
      </c>
      <c r="S151" s="12">
        <f t="shared" si="34"/>
        <v>-2.0833026079104602E-3</v>
      </c>
      <c r="T151" s="12">
        <f t="shared" si="35"/>
        <v>4.9175266216957482E-2</v>
      </c>
      <c r="U151" s="12">
        <f t="shared" si="15"/>
        <v>-1.2267488633179364E-3</v>
      </c>
      <c r="V151" s="12">
        <f t="shared" si="6"/>
        <v>-3.9582749550298743E-5</v>
      </c>
      <c r="W151" s="12">
        <f t="shared" si="7"/>
        <v>9.343300581221921E-4</v>
      </c>
      <c r="X151" s="12">
        <f t="shared" si="8"/>
        <v>0</v>
      </c>
      <c r="Y151" s="12">
        <f t="shared" si="9"/>
        <v>0</v>
      </c>
      <c r="Z151" s="12">
        <f t="shared" si="10"/>
        <v>0</v>
      </c>
      <c r="AA151" s="39"/>
    </row>
    <row r="152" spans="1:27" ht="15.5">
      <c r="A152" s="8" t="s">
        <v>47</v>
      </c>
      <c r="B152" s="9">
        <v>2017</v>
      </c>
      <c r="C152" s="19">
        <v>245.79300000000001</v>
      </c>
      <c r="D152" s="19">
        <v>269.95600000000002</v>
      </c>
      <c r="E152" s="19">
        <v>1088.826</v>
      </c>
      <c r="F152" s="19">
        <v>986.05100000000004</v>
      </c>
      <c r="G152" s="19">
        <v>263.93400000000003</v>
      </c>
      <c r="H152" s="10">
        <f t="shared" si="36"/>
        <v>0.2257413030181131</v>
      </c>
      <c r="I152" s="10">
        <f t="shared" si="37"/>
        <v>0.2479330949114</v>
      </c>
      <c r="J152" s="10">
        <f t="shared" si="38"/>
        <v>3.7359756605818117</v>
      </c>
      <c r="K152" s="4">
        <f t="shared" si="31"/>
        <v>-3.9175611252288554</v>
      </c>
      <c r="L152" s="10">
        <f t="shared" si="32"/>
        <v>0.2479330949114</v>
      </c>
      <c r="M152" s="19">
        <v>253.673</v>
      </c>
      <c r="N152" s="19">
        <v>-98.567999999999998</v>
      </c>
      <c r="O152" s="19">
        <v>-152.935</v>
      </c>
      <c r="P152" s="11">
        <v>0.2034</v>
      </c>
      <c r="Q152" s="11">
        <v>1.83E-3</v>
      </c>
      <c r="R152" s="12">
        <f t="shared" si="33"/>
        <v>0.23297845569448195</v>
      </c>
      <c r="S152" s="12">
        <f t="shared" si="34"/>
        <v>-9.0526861041158091E-2</v>
      </c>
      <c r="T152" s="12">
        <f t="shared" si="35"/>
        <v>-0.1404586224061512</v>
      </c>
      <c r="U152" s="12">
        <f t="shared" si="15"/>
        <v>4.7387817888257626E-2</v>
      </c>
      <c r="V152" s="12">
        <f t="shared" si="6"/>
        <v>-1.8413163535771555E-2</v>
      </c>
      <c r="W152" s="12">
        <f t="shared" si="7"/>
        <v>-2.8569283797411155E-2</v>
      </c>
      <c r="X152" s="12">
        <f t="shared" si="8"/>
        <v>4.2635057392090194E-4</v>
      </c>
      <c r="Y152" s="12">
        <f t="shared" si="9"/>
        <v>-1.6566415570531932E-4</v>
      </c>
      <c r="Z152" s="12">
        <f t="shared" si="10"/>
        <v>-2.5703927900325673E-4</v>
      </c>
      <c r="AA152" s="39"/>
    </row>
    <row r="153" spans="1:27" ht="15.5">
      <c r="A153" s="8" t="s">
        <v>47</v>
      </c>
      <c r="B153" s="9">
        <v>2018</v>
      </c>
      <c r="C153" s="19">
        <v>254.255</v>
      </c>
      <c r="D153" s="19">
        <v>285.37599999999998</v>
      </c>
      <c r="E153" s="19">
        <v>1127.7929999999999</v>
      </c>
      <c r="F153" s="19">
        <v>883.21199999999999</v>
      </c>
      <c r="G153" s="19">
        <v>238.256</v>
      </c>
      <c r="H153" s="10">
        <f t="shared" si="36"/>
        <v>0.22544474030252007</v>
      </c>
      <c r="I153" s="10">
        <f t="shared" si="37"/>
        <v>0.25303934321280591</v>
      </c>
      <c r="J153" s="10">
        <f t="shared" si="38"/>
        <v>3.7069874420791082</v>
      </c>
      <c r="K153" s="4">
        <f t="shared" si="31"/>
        <v>-3.8870050248166628</v>
      </c>
      <c r="L153" s="10">
        <f t="shared" si="32"/>
        <v>0.25303934321280591</v>
      </c>
      <c r="M153" s="19">
        <v>106.911</v>
      </c>
      <c r="N153" s="19">
        <v>-200.08099999999999</v>
      </c>
      <c r="O153" s="19">
        <v>-222.136</v>
      </c>
      <c r="P153" s="11">
        <v>0.20130000000000001</v>
      </c>
      <c r="Q153" s="11">
        <v>1.7899999999999999E-3</v>
      </c>
      <c r="R153" s="12">
        <f t="shared" si="33"/>
        <v>9.4796651513176636E-2</v>
      </c>
      <c r="S153" s="12">
        <f t="shared" si="34"/>
        <v>-0.17740932954895092</v>
      </c>
      <c r="T153" s="12">
        <f t="shared" si="35"/>
        <v>-0.19696522322802146</v>
      </c>
      <c r="U153" s="12">
        <f t="shared" si="15"/>
        <v>1.9082565949602458E-2</v>
      </c>
      <c r="V153" s="12">
        <f t="shared" si="6"/>
        <v>-3.5712498038203817E-2</v>
      </c>
      <c r="W153" s="12">
        <f t="shared" si="7"/>
        <v>-3.9649099435800722E-2</v>
      </c>
      <c r="X153" s="12">
        <f t="shared" si="8"/>
        <v>1.6968600620858616E-4</v>
      </c>
      <c r="Y153" s="12">
        <f t="shared" si="9"/>
        <v>-3.1756269989262212E-4</v>
      </c>
      <c r="Z153" s="12">
        <f t="shared" si="10"/>
        <v>-3.5256774957815841E-4</v>
      </c>
      <c r="AA153" s="39"/>
    </row>
    <row r="154" spans="1:27" ht="15.5">
      <c r="A154" s="8" t="s">
        <v>47</v>
      </c>
      <c r="B154" s="9">
        <v>2019</v>
      </c>
      <c r="C154" s="19">
        <v>251.14400000000001</v>
      </c>
      <c r="D154" s="19">
        <v>329.24700000000001</v>
      </c>
      <c r="E154" s="19">
        <v>1264.9939999999999</v>
      </c>
      <c r="F154" s="19">
        <v>741.64300000000003</v>
      </c>
      <c r="G154" s="19">
        <v>217.286</v>
      </c>
      <c r="H154" s="10">
        <f t="shared" si="36"/>
        <v>0.19853374798615647</v>
      </c>
      <c r="I154" s="10">
        <f t="shared" si="37"/>
        <v>0.26027554280889875</v>
      </c>
      <c r="J154" s="10">
        <f t="shared" si="38"/>
        <v>3.4132111594856549</v>
      </c>
      <c r="K154" s="4">
        <f t="shared" si="31"/>
        <v>-3.7234841165649235</v>
      </c>
      <c r="L154" s="10">
        <f t="shared" si="32"/>
        <v>0.26027554280889875</v>
      </c>
      <c r="M154" s="19">
        <v>-119.383</v>
      </c>
      <c r="N154" s="19">
        <v>134.107</v>
      </c>
      <c r="O154" s="19">
        <v>-30.242000000000001</v>
      </c>
      <c r="P154" s="11">
        <v>0.152</v>
      </c>
      <c r="Q154" s="11">
        <v>5.0000000000000001E-4</v>
      </c>
      <c r="R154" s="12">
        <f t="shared" si="33"/>
        <v>-9.4374360668904367E-2</v>
      </c>
      <c r="S154" s="12">
        <f t="shared" si="34"/>
        <v>0.1060139415681023</v>
      </c>
      <c r="T154" s="12">
        <f t="shared" si="35"/>
        <v>-2.3906832759681074E-2</v>
      </c>
      <c r="U154" s="12">
        <f t="shared" si="15"/>
        <v>-1.4344902821673463E-2</v>
      </c>
      <c r="V154" s="12">
        <f t="shared" si="6"/>
        <v>1.611411911835155E-2</v>
      </c>
      <c r="W154" s="12">
        <f t="shared" si="7"/>
        <v>-3.6338385794715232E-3</v>
      </c>
      <c r="X154" s="12">
        <f t="shared" si="8"/>
        <v>-4.7187180334452185E-5</v>
      </c>
      <c r="Y154" s="12">
        <f t="shared" si="9"/>
        <v>5.3006970784051149E-5</v>
      </c>
      <c r="Z154" s="12">
        <f t="shared" si="10"/>
        <v>-1.1953416379840538E-5</v>
      </c>
      <c r="AA154" s="39"/>
    </row>
    <row r="155" spans="1:27" ht="15.5">
      <c r="A155" s="8" t="s">
        <v>47</v>
      </c>
      <c r="B155" s="9">
        <v>2020</v>
      </c>
      <c r="C155" s="19">
        <v>180.26599999999999</v>
      </c>
      <c r="D155" s="19">
        <v>294.64699999999999</v>
      </c>
      <c r="E155" s="19">
        <v>1299.057</v>
      </c>
      <c r="F155" s="19">
        <v>779.69899999999996</v>
      </c>
      <c r="G155" s="19">
        <v>242.51</v>
      </c>
      <c r="H155" s="10">
        <f t="shared" si="36"/>
        <v>0.13876681315754427</v>
      </c>
      <c r="I155" s="10">
        <f t="shared" si="37"/>
        <v>0.22681606734731424</v>
      </c>
      <c r="J155" s="10">
        <f t="shared" si="38"/>
        <v>3.2151210259370746</v>
      </c>
      <c r="K155" s="4">
        <f t="shared" ref="K155:K218" si="39">-4.3 -4.5*(C155/E155)+5.7*(D155/E155)-0.004*(F155/G155)</f>
        <v>-3.6444595594330065</v>
      </c>
      <c r="L155" s="10">
        <f t="shared" si="32"/>
        <v>0.22681606734731424</v>
      </c>
      <c r="M155" s="19">
        <v>290.39699999999999</v>
      </c>
      <c r="N155" s="19">
        <v>-158.76499999999999</v>
      </c>
      <c r="O155" s="19">
        <v>-170.85900000000001</v>
      </c>
      <c r="P155" s="11">
        <v>0.1181</v>
      </c>
      <c r="Q155" s="11">
        <v>8.7000000000000001E-5</v>
      </c>
      <c r="R155" s="12">
        <f t="shared" si="33"/>
        <v>0.22354446340691747</v>
      </c>
      <c r="S155" s="12">
        <f t="shared" si="34"/>
        <v>-0.12221557637578642</v>
      </c>
      <c r="T155" s="12">
        <f t="shared" si="35"/>
        <v>-0.13152540650641195</v>
      </c>
      <c r="U155" s="12">
        <f t="shared" si="15"/>
        <v>2.6400601128356953E-2</v>
      </c>
      <c r="V155" s="12">
        <f t="shared" si="6"/>
        <v>-1.4433659569980377E-2</v>
      </c>
      <c r="W155" s="12">
        <f t="shared" si="7"/>
        <v>-1.5533150508407251E-2</v>
      </c>
      <c r="X155" s="12">
        <f t="shared" si="8"/>
        <v>1.944836831640182E-5</v>
      </c>
      <c r="Y155" s="12">
        <f t="shared" si="9"/>
        <v>-1.0632755144693418E-5</v>
      </c>
      <c r="Z155" s="12">
        <f t="shared" si="10"/>
        <v>-1.144271036605784E-5</v>
      </c>
      <c r="AA155" s="39"/>
    </row>
    <row r="156" spans="1:27" ht="15.5">
      <c r="A156" s="8" t="s">
        <v>47</v>
      </c>
      <c r="B156" s="9">
        <v>2021</v>
      </c>
      <c r="C156" s="19">
        <v>218.053</v>
      </c>
      <c r="D156" s="19">
        <v>296.13099999999997</v>
      </c>
      <c r="E156" s="19">
        <v>1455.8420000000001</v>
      </c>
      <c r="F156" s="19">
        <v>935.73199999999997</v>
      </c>
      <c r="G156" s="19">
        <v>296.13099999999997</v>
      </c>
      <c r="H156" s="10">
        <f t="shared" si="36"/>
        <v>0.1497779291983608</v>
      </c>
      <c r="I156" s="10">
        <f t="shared" si="37"/>
        <v>0.20340874902633663</v>
      </c>
      <c r="J156" s="10">
        <f t="shared" si="38"/>
        <v>3.1598583059524334</v>
      </c>
      <c r="K156" s="4">
        <f t="shared" si="39"/>
        <v>-3.8272102451663144</v>
      </c>
      <c r="L156" s="10">
        <f t="shared" si="32"/>
        <v>0.20340874902633663</v>
      </c>
      <c r="M156" s="19">
        <v>141.88999999999999</v>
      </c>
      <c r="N156" s="19">
        <v>24.15</v>
      </c>
      <c r="O156" s="19">
        <v>-98.981999999999999</v>
      </c>
      <c r="P156" s="11">
        <v>8.8999999999999999E-3</v>
      </c>
      <c r="Q156" s="11">
        <v>9.3999999999999994E-5</v>
      </c>
      <c r="R156" s="12">
        <f t="shared" si="33"/>
        <v>9.7462499364628835E-2</v>
      </c>
      <c r="S156" s="12">
        <f t="shared" si="34"/>
        <v>1.6588338569707425E-2</v>
      </c>
      <c r="T156" s="12">
        <f t="shared" si="35"/>
        <v>-6.7989520840860476E-2</v>
      </c>
      <c r="U156" s="12">
        <f t="shared" si="15"/>
        <v>8.6741624434519661E-4</v>
      </c>
      <c r="V156" s="12">
        <f t="shared" si="6"/>
        <v>1.4763621327039609E-4</v>
      </c>
      <c r="W156" s="12">
        <f t="shared" si="7"/>
        <v>-6.0510673548365825E-4</v>
      </c>
      <c r="X156" s="12">
        <f t="shared" si="8"/>
        <v>9.1614749402751091E-6</v>
      </c>
      <c r="Y156" s="12">
        <f t="shared" si="9"/>
        <v>1.5593038255524978E-6</v>
      </c>
      <c r="Z156" s="12">
        <f t="shared" si="10"/>
        <v>-6.3910149590408846E-6</v>
      </c>
      <c r="AA156" s="39"/>
    </row>
    <row r="157" spans="1:27" ht="15.5">
      <c r="A157" s="8" t="s">
        <v>48</v>
      </c>
      <c r="B157" s="9">
        <v>2017</v>
      </c>
      <c r="C157" s="19">
        <v>1652.6790000000001</v>
      </c>
      <c r="D157" s="19">
        <v>8570.6299999999992</v>
      </c>
      <c r="E157" s="19">
        <v>15877.317999999999</v>
      </c>
      <c r="F157" s="19">
        <v>14323.046</v>
      </c>
      <c r="G157" s="19">
        <v>8559.7170000000006</v>
      </c>
      <c r="H157" s="10">
        <f t="shared" si="36"/>
        <v>0.10409056491782807</v>
      </c>
      <c r="I157" s="10">
        <f t="shared" si="37"/>
        <v>0.53980338492936908</v>
      </c>
      <c r="J157" s="10">
        <f t="shared" si="38"/>
        <v>1.6733083582085715</v>
      </c>
      <c r="K157" s="4">
        <f t="shared" si="39"/>
        <v>-1.6982214814656564</v>
      </c>
      <c r="L157" s="10">
        <f t="shared" si="32"/>
        <v>0.53980338492936908</v>
      </c>
      <c r="M157" s="19">
        <v>1107.559</v>
      </c>
      <c r="N157" s="19">
        <v>-1059.2460000000001</v>
      </c>
      <c r="O157" s="19">
        <v>-403.82499999999999</v>
      </c>
      <c r="P157" s="11">
        <v>0.42399999999999999</v>
      </c>
      <c r="Q157" s="11">
        <v>2.7300000000000001E-2</v>
      </c>
      <c r="R157" s="12">
        <f t="shared" si="33"/>
        <v>6.9757310397133829E-2</v>
      </c>
      <c r="S157" s="12">
        <f t="shared" si="34"/>
        <v>-6.6714416124940001E-2</v>
      </c>
      <c r="T157" s="12">
        <f t="shared" si="35"/>
        <v>-2.5434081499154958E-2</v>
      </c>
      <c r="U157" s="12">
        <f t="shared" si="15"/>
        <v>2.9577099608384741E-2</v>
      </c>
      <c r="V157" s="12">
        <f t="shared" si="6"/>
        <v>-2.8286912436974558E-2</v>
      </c>
      <c r="W157" s="12">
        <f t="shared" si="7"/>
        <v>-1.0784050555641701E-2</v>
      </c>
      <c r="X157" s="12">
        <f t="shared" si="8"/>
        <v>1.9043745738417535E-3</v>
      </c>
      <c r="Y157" s="12">
        <f t="shared" si="9"/>
        <v>-1.8213035602108621E-3</v>
      </c>
      <c r="Z157" s="12">
        <f t="shared" si="10"/>
        <v>-6.9435042492693038E-4</v>
      </c>
      <c r="AA157" s="39"/>
    </row>
    <row r="158" spans="1:27" ht="15.5">
      <c r="A158" s="8" t="s">
        <v>48</v>
      </c>
      <c r="B158" s="9">
        <v>2018</v>
      </c>
      <c r="C158" s="19">
        <v>1510.4069999999999</v>
      </c>
      <c r="D158" s="19">
        <v>8860.5679999999993</v>
      </c>
      <c r="E158" s="19">
        <v>16823.061000000002</v>
      </c>
      <c r="F158" s="19">
        <v>15323.459000000001</v>
      </c>
      <c r="G158" s="19">
        <v>8851.3719999999994</v>
      </c>
      <c r="H158" s="10">
        <f t="shared" si="36"/>
        <v>8.9781936830639786E-2</v>
      </c>
      <c r="I158" s="10">
        <f t="shared" si="37"/>
        <v>0.52669178337996858</v>
      </c>
      <c r="J158" s="10">
        <f t="shared" si="38"/>
        <v>1.7311959095154967</v>
      </c>
      <c r="K158" s="4">
        <f t="shared" si="39"/>
        <v>-1.7088003341101203</v>
      </c>
      <c r="L158" s="10">
        <f t="shared" si="32"/>
        <v>0.52669178337996858</v>
      </c>
      <c r="M158" s="19">
        <v>-933.89</v>
      </c>
      <c r="N158" s="19">
        <v>1021.147</v>
      </c>
      <c r="O158" s="19">
        <v>-755.53399999999999</v>
      </c>
      <c r="P158" s="11">
        <v>0.4713</v>
      </c>
      <c r="Q158" s="11">
        <v>4.65E-2</v>
      </c>
      <c r="R158" s="12">
        <f t="shared" si="33"/>
        <v>-5.5512489671172199E-2</v>
      </c>
      <c r="S158" s="12">
        <f t="shared" si="34"/>
        <v>6.0699238979160804E-2</v>
      </c>
      <c r="T158" s="12">
        <f t="shared" si="35"/>
        <v>-4.4910614067202155E-2</v>
      </c>
      <c r="U158" s="12">
        <f t="shared" si="15"/>
        <v>-2.6163036382023459E-2</v>
      </c>
      <c r="V158" s="12">
        <f t="shared" si="6"/>
        <v>2.8607551330878486E-2</v>
      </c>
      <c r="W158" s="12">
        <f t="shared" si="7"/>
        <v>-2.1166372409872375E-2</v>
      </c>
      <c r="X158" s="12">
        <f t="shared" si="8"/>
        <v>-2.5813307697095072E-3</v>
      </c>
      <c r="Y158" s="12">
        <f t="shared" si="9"/>
        <v>2.8225146125309773E-3</v>
      </c>
      <c r="Z158" s="12">
        <f t="shared" si="10"/>
        <v>-2.0883435541249004E-3</v>
      </c>
      <c r="AA158" s="39"/>
    </row>
    <row r="159" spans="1:27" ht="15.5">
      <c r="A159" s="8" t="s">
        <v>48</v>
      </c>
      <c r="B159" s="9">
        <v>2019</v>
      </c>
      <c r="C159" s="19">
        <v>710.91600000000005</v>
      </c>
      <c r="D159" s="19">
        <v>7729.3130000000001</v>
      </c>
      <c r="E159" s="19">
        <v>16198.834000000001</v>
      </c>
      <c r="F159" s="19">
        <v>14727.405000000001</v>
      </c>
      <c r="G159" s="19">
        <v>7710.2830000000004</v>
      </c>
      <c r="H159" s="10">
        <f t="shared" si="36"/>
        <v>4.3886862474175614E-2</v>
      </c>
      <c r="I159" s="10">
        <f t="shared" si="37"/>
        <v>0.47715242961314375</v>
      </c>
      <c r="J159" s="10">
        <f t="shared" si="38"/>
        <v>1.9100991494086534</v>
      </c>
      <c r="K159" s="4">
        <f t="shared" si="39"/>
        <v>-1.7853624289365051</v>
      </c>
      <c r="L159" s="10">
        <f t="shared" si="32"/>
        <v>0.47715242961314375</v>
      </c>
      <c r="M159" s="19">
        <v>-338.91300000000001</v>
      </c>
      <c r="N159" s="19">
        <v>769.16499999999996</v>
      </c>
      <c r="O159" s="19">
        <v>-182.548</v>
      </c>
      <c r="P159" s="11">
        <v>0.47599999999999998</v>
      </c>
      <c r="Q159" s="11">
        <v>3.6900000000000002E-2</v>
      </c>
      <c r="R159" s="12">
        <f t="shared" si="33"/>
        <v>-2.0922061427384217E-2</v>
      </c>
      <c r="S159" s="12">
        <f t="shared" si="34"/>
        <v>4.7482738572418234E-2</v>
      </c>
      <c r="T159" s="12">
        <f t="shared" si="35"/>
        <v>-1.1269206166320366E-2</v>
      </c>
      <c r="U159" s="12">
        <f t="shared" si="15"/>
        <v>-9.958901239434886E-3</v>
      </c>
      <c r="V159" s="12">
        <f t="shared" si="6"/>
        <v>2.260178356047108E-2</v>
      </c>
      <c r="W159" s="12">
        <f t="shared" si="7"/>
        <v>-5.3641421351684941E-3</v>
      </c>
      <c r="X159" s="12">
        <f t="shared" si="8"/>
        <v>-7.7202406667047768E-4</v>
      </c>
      <c r="Y159" s="12">
        <f t="shared" si="9"/>
        <v>1.7521130533222329E-3</v>
      </c>
      <c r="Z159" s="12">
        <f t="shared" si="10"/>
        <v>-4.1583370753722152E-4</v>
      </c>
      <c r="AA159" s="39"/>
    </row>
    <row r="160" spans="1:27" ht="15.5">
      <c r="A160" s="8" t="s">
        <v>48</v>
      </c>
      <c r="B160" s="9">
        <v>2020</v>
      </c>
      <c r="C160" s="19">
        <v>334.55399999999997</v>
      </c>
      <c r="D160" s="19">
        <v>5758.7439999999997</v>
      </c>
      <c r="E160" s="19">
        <v>14157.413</v>
      </c>
      <c r="F160" s="19">
        <v>12867.742</v>
      </c>
      <c r="G160" s="19">
        <v>5753.1689999999999</v>
      </c>
      <c r="H160" s="10">
        <f t="shared" si="36"/>
        <v>2.3631012247788487E-2</v>
      </c>
      <c r="I160" s="10">
        <f t="shared" si="37"/>
        <v>0.40676527554857655</v>
      </c>
      <c r="J160" s="10">
        <f t="shared" si="38"/>
        <v>2.2366354960196722</v>
      </c>
      <c r="K160" s="4">
        <f t="shared" si="39"/>
        <v>-2.0967240264722404</v>
      </c>
      <c r="L160" s="10">
        <f t="shared" si="32"/>
        <v>0.40676527554857655</v>
      </c>
      <c r="M160" s="19">
        <v>-566.84400000000005</v>
      </c>
      <c r="N160" s="19">
        <v>1391.605</v>
      </c>
      <c r="O160" s="19">
        <v>-229.107</v>
      </c>
      <c r="P160" s="11">
        <v>0.46200000000000002</v>
      </c>
      <c r="Q160" s="11">
        <v>2.4000000000000001E-4</v>
      </c>
      <c r="R160" s="12">
        <f t="shared" si="33"/>
        <v>-4.003867090689521E-2</v>
      </c>
      <c r="S160" s="12">
        <f t="shared" si="34"/>
        <v>9.8295147566861266E-2</v>
      </c>
      <c r="T160" s="12">
        <f t="shared" si="35"/>
        <v>-1.6182829447724666E-2</v>
      </c>
      <c r="U160" s="12">
        <f t="shared" si="15"/>
        <v>-1.8497865958985588E-2</v>
      </c>
      <c r="V160" s="12">
        <f t="shared" si="6"/>
        <v>4.5412358175889907E-2</v>
      </c>
      <c r="W160" s="12">
        <f t="shared" si="7"/>
        <v>-7.4764672048487956E-3</v>
      </c>
      <c r="X160" s="12">
        <f t="shared" si="8"/>
        <v>-9.609281017654851E-6</v>
      </c>
      <c r="Y160" s="12">
        <f t="shared" si="9"/>
        <v>2.3590835416046704E-5</v>
      </c>
      <c r="Z160" s="12">
        <f t="shared" si="10"/>
        <v>-3.8838790674539196E-6</v>
      </c>
      <c r="AA160" s="39"/>
    </row>
    <row r="161" spans="1:27" ht="15.5">
      <c r="A161" s="8" t="s">
        <v>48</v>
      </c>
      <c r="B161" s="9">
        <v>2021</v>
      </c>
      <c r="C161" s="19">
        <v>24.11</v>
      </c>
      <c r="D161" s="19">
        <v>5677.0510000000004</v>
      </c>
      <c r="E161" s="19">
        <v>13924.611999999999</v>
      </c>
      <c r="F161" s="19">
        <v>12751.058999999999</v>
      </c>
      <c r="G161" s="19">
        <v>5674.5069999999996</v>
      </c>
      <c r="H161" s="10">
        <f t="shared" si="36"/>
        <v>1.7314665572010193E-3</v>
      </c>
      <c r="I161" s="10">
        <f t="shared" si="37"/>
        <v>0.40769904396618023</v>
      </c>
      <c r="J161" s="10">
        <f t="shared" si="38"/>
        <v>2.2470778518732994</v>
      </c>
      <c r="K161" s="4">
        <f t="shared" si="39"/>
        <v>-1.9928953603076702</v>
      </c>
      <c r="L161" s="10">
        <f t="shared" si="32"/>
        <v>0.40769904396618023</v>
      </c>
      <c r="M161" s="19">
        <v>421.16399999999999</v>
      </c>
      <c r="N161" s="19">
        <v>-680.53399999999999</v>
      </c>
      <c r="O161" s="19">
        <v>-252.73599999999999</v>
      </c>
      <c r="P161" s="11">
        <v>0.46500000000000002</v>
      </c>
      <c r="Q161" s="11">
        <v>2.2899999999999999E-3</v>
      </c>
      <c r="R161" s="12">
        <f t="shared" si="33"/>
        <v>3.0246013318001249E-2</v>
      </c>
      <c r="S161" s="12">
        <f t="shared" si="34"/>
        <v>-4.887274417412852E-2</v>
      </c>
      <c r="T161" s="12">
        <f t="shared" si="35"/>
        <v>-1.815030824557266E-2</v>
      </c>
      <c r="U161" s="12">
        <f t="shared" si="15"/>
        <v>1.4064396192870582E-2</v>
      </c>
      <c r="V161" s="12">
        <f t="shared" si="6"/>
        <v>-2.2725826040969763E-2</v>
      </c>
      <c r="W161" s="12">
        <f t="shared" si="7"/>
        <v>-8.4398933341912879E-3</v>
      </c>
      <c r="X161" s="12">
        <f t="shared" si="8"/>
        <v>6.9263370498222858E-5</v>
      </c>
      <c r="Y161" s="12">
        <f t="shared" si="9"/>
        <v>-1.1191858415875431E-4</v>
      </c>
      <c r="Z161" s="12">
        <f t="shared" si="10"/>
        <v>-4.1564205882361388E-5</v>
      </c>
      <c r="AA161" s="39"/>
    </row>
    <row r="162" spans="1:27" ht="15.5">
      <c r="A162" s="8" t="s">
        <v>49</v>
      </c>
      <c r="B162" s="9">
        <v>2017</v>
      </c>
      <c r="C162" s="19">
        <v>153.90799999999999</v>
      </c>
      <c r="D162" s="19">
        <v>2893.3090000000002</v>
      </c>
      <c r="E162" s="19">
        <v>4302.3040000000001</v>
      </c>
      <c r="F162" s="19">
        <v>678.774</v>
      </c>
      <c r="G162" s="19">
        <v>688.48199999999997</v>
      </c>
      <c r="H162" s="10">
        <f t="shared" si="36"/>
        <v>3.5773390257871129E-2</v>
      </c>
      <c r="I162" s="10">
        <f t="shared" si="37"/>
        <v>0.67250222206520049</v>
      </c>
      <c r="J162" s="10">
        <f t="shared" si="38"/>
        <v>0.98589941349229182</v>
      </c>
      <c r="K162" s="4">
        <f t="shared" si="39"/>
        <v>-0.63166118804274618</v>
      </c>
      <c r="L162" s="10">
        <f t="shared" si="32"/>
        <v>0.67250222206520049</v>
      </c>
      <c r="M162" s="19">
        <v>143.18</v>
      </c>
      <c r="N162" s="19">
        <v>-613.06500000000005</v>
      </c>
      <c r="O162" s="19">
        <v>487.10700000000003</v>
      </c>
      <c r="P162" s="11">
        <v>0.27950000000000003</v>
      </c>
      <c r="Q162" s="11">
        <v>9.9570000000000006E-2</v>
      </c>
      <c r="R162" s="12">
        <f t="shared" si="33"/>
        <v>3.3279842614561871E-2</v>
      </c>
      <c r="S162" s="12">
        <f t="shared" si="34"/>
        <v>-0.14249690398446974</v>
      </c>
      <c r="T162" s="12">
        <f t="shared" si="35"/>
        <v>0.11322003280102941</v>
      </c>
      <c r="U162" s="12">
        <f t="shared" si="15"/>
        <v>9.3017160107700444E-3</v>
      </c>
      <c r="V162" s="12">
        <f t="shared" si="6"/>
        <v>-3.9827884663659295E-2</v>
      </c>
      <c r="W162" s="12">
        <f t="shared" si="7"/>
        <v>3.1644999167887725E-2</v>
      </c>
      <c r="X162" s="12">
        <f t="shared" si="8"/>
        <v>3.3136739291319255E-3</v>
      </c>
      <c r="Y162" s="12">
        <f t="shared" si="9"/>
        <v>-1.4188416729733653E-2</v>
      </c>
      <c r="Z162" s="12">
        <f t="shared" si="10"/>
        <v>1.1273318665998499E-2</v>
      </c>
      <c r="AA162" s="39"/>
    </row>
    <row r="163" spans="1:27" ht="15.5">
      <c r="A163" s="8" t="s">
        <v>49</v>
      </c>
      <c r="B163" s="9">
        <v>2018</v>
      </c>
      <c r="C163" s="19">
        <v>128.47</v>
      </c>
      <c r="D163" s="19">
        <v>2960.1709999999998</v>
      </c>
      <c r="E163" s="19">
        <v>4430.28</v>
      </c>
      <c r="F163" s="19">
        <v>667.20799999999997</v>
      </c>
      <c r="G163" s="19">
        <v>671.625</v>
      </c>
      <c r="H163" s="10">
        <f t="shared" si="36"/>
        <v>2.8998167158734888E-2</v>
      </c>
      <c r="I163" s="10">
        <f t="shared" si="37"/>
        <v>0.66816792618073806</v>
      </c>
      <c r="J163" s="10">
        <f t="shared" si="38"/>
        <v>0.9934234133631118</v>
      </c>
      <c r="K163" s="4">
        <f t="shared" si="39"/>
        <v>-0.62590826663755217</v>
      </c>
      <c r="L163" s="10">
        <f t="shared" si="32"/>
        <v>0.66816792618073806</v>
      </c>
      <c r="M163" s="19">
        <v>97.391000000000005</v>
      </c>
      <c r="N163" s="19">
        <v>-19.923999999999999</v>
      </c>
      <c r="O163" s="19">
        <v>-23.949000000000002</v>
      </c>
      <c r="P163" s="11">
        <v>0.28560000000000002</v>
      </c>
      <c r="Q163" s="11">
        <v>0.1002</v>
      </c>
      <c r="R163" s="12">
        <f t="shared" si="33"/>
        <v>2.1983034932329337E-2</v>
      </c>
      <c r="S163" s="12">
        <f t="shared" si="34"/>
        <v>-4.4972326805529225E-3</v>
      </c>
      <c r="T163" s="12">
        <f t="shared" si="35"/>
        <v>-5.4057531352420174E-3</v>
      </c>
      <c r="U163" s="12">
        <f t="shared" si="15"/>
        <v>6.2783547766732594E-3</v>
      </c>
      <c r="V163" s="12">
        <f t="shared" si="6"/>
        <v>-1.2844096535659147E-3</v>
      </c>
      <c r="W163" s="12">
        <f t="shared" si="7"/>
        <v>-1.5438830954251203E-3</v>
      </c>
      <c r="X163" s="12">
        <f t="shared" si="8"/>
        <v>2.2027001002193993E-3</v>
      </c>
      <c r="Y163" s="12">
        <f t="shared" si="9"/>
        <v>-4.5062271459140284E-4</v>
      </c>
      <c r="Z163" s="12">
        <f t="shared" si="10"/>
        <v>-5.4165646415125016E-4</v>
      </c>
      <c r="AA163" s="39"/>
    </row>
    <row r="164" spans="1:27" ht="15.5">
      <c r="A164" s="8" t="s">
        <v>49</v>
      </c>
      <c r="B164" s="9">
        <v>2019</v>
      </c>
      <c r="C164" s="19">
        <v>83.988</v>
      </c>
      <c r="D164" s="19">
        <v>3069.9940000000001</v>
      </c>
      <c r="E164" s="19">
        <v>4526.6440000000002</v>
      </c>
      <c r="F164" s="19">
        <v>492.37400000000002</v>
      </c>
      <c r="G164" s="19">
        <v>759.90700000000004</v>
      </c>
      <c r="H164" s="10">
        <f t="shared" si="36"/>
        <v>1.8554142980981052E-2</v>
      </c>
      <c r="I164" s="10">
        <f t="shared" si="37"/>
        <v>0.67820531060096623</v>
      </c>
      <c r="J164" s="10">
        <f t="shared" si="38"/>
        <v>0.64793981368772757</v>
      </c>
      <c r="K164" s="4">
        <f t="shared" si="39"/>
        <v>-0.52031513224365789</v>
      </c>
      <c r="L164" s="10">
        <f t="shared" si="32"/>
        <v>0.67820531060096623</v>
      </c>
      <c r="M164" s="19">
        <v>101.977</v>
      </c>
      <c r="N164" s="19">
        <v>-283.322</v>
      </c>
      <c r="O164" s="19">
        <v>-59.716000000000001</v>
      </c>
      <c r="P164" s="11">
        <v>0.18770000000000001</v>
      </c>
      <c r="Q164" s="11">
        <v>8.5870000000000002E-2</v>
      </c>
      <c r="R164" s="12">
        <f t="shared" si="33"/>
        <v>2.2528168771390019E-2</v>
      </c>
      <c r="S164" s="12">
        <f t="shared" si="34"/>
        <v>-6.2589856856426082E-2</v>
      </c>
      <c r="T164" s="12">
        <f t="shared" si="35"/>
        <v>-1.3192113185839223E-2</v>
      </c>
      <c r="U164" s="12">
        <f t="shared" si="15"/>
        <v>4.2285372783899067E-3</v>
      </c>
      <c r="V164" s="12">
        <f t="shared" si="6"/>
        <v>-1.1748116131951177E-2</v>
      </c>
      <c r="W164" s="12">
        <f t="shared" si="7"/>
        <v>-2.4761596449820221E-3</v>
      </c>
      <c r="X164" s="12">
        <f t="shared" si="8"/>
        <v>1.934493852399261E-3</v>
      </c>
      <c r="Y164" s="12">
        <f t="shared" si="9"/>
        <v>-5.374591008261308E-3</v>
      </c>
      <c r="Z164" s="12">
        <f t="shared" si="10"/>
        <v>-1.132806759268014E-3</v>
      </c>
      <c r="AA164" s="39"/>
    </row>
    <row r="165" spans="1:27" ht="15.5">
      <c r="A165" s="8" t="s">
        <v>49</v>
      </c>
      <c r="B165" s="9">
        <v>2020</v>
      </c>
      <c r="C165" s="19">
        <v>101.319</v>
      </c>
      <c r="D165" s="19">
        <v>3182.0659999999998</v>
      </c>
      <c r="E165" s="19">
        <v>4531.2309999999998</v>
      </c>
      <c r="F165" s="19">
        <v>666.10599999999999</v>
      </c>
      <c r="G165" s="19">
        <v>673.93399999999997</v>
      </c>
      <c r="H165" s="10">
        <f t="shared" si="36"/>
        <v>2.2360148930831381E-2</v>
      </c>
      <c r="I165" s="10">
        <f t="shared" si="37"/>
        <v>0.70225199289111506</v>
      </c>
      <c r="J165" s="10">
        <f t="shared" si="38"/>
        <v>0.98838461926538801</v>
      </c>
      <c r="K165" s="4">
        <f t="shared" si="39"/>
        <v>-0.40173784918644656</v>
      </c>
      <c r="L165" s="10">
        <f t="shared" si="32"/>
        <v>0.70225199289111506</v>
      </c>
      <c r="M165" s="19">
        <v>302.05</v>
      </c>
      <c r="N165" s="19">
        <v>-111.843</v>
      </c>
      <c r="O165" s="19">
        <v>-89.411000000000001</v>
      </c>
      <c r="P165" s="11">
        <v>5.0500000000000003E-2</v>
      </c>
      <c r="Q165" s="11">
        <v>8.5870000000000002E-2</v>
      </c>
      <c r="R165" s="12">
        <f t="shared" si="33"/>
        <v>6.6659589855383672E-2</v>
      </c>
      <c r="S165" s="12">
        <f t="shared" si="34"/>
        <v>-2.4682696600548507E-2</v>
      </c>
      <c r="T165" s="12">
        <f t="shared" si="35"/>
        <v>-1.973216549763188E-2</v>
      </c>
      <c r="U165" s="12">
        <f t="shared" si="15"/>
        <v>3.3663092876968755E-3</v>
      </c>
      <c r="V165" s="12">
        <f t="shared" si="6"/>
        <v>-1.2464761783276997E-3</v>
      </c>
      <c r="W165" s="12">
        <f t="shared" si="7"/>
        <v>-9.9647435763040989E-4</v>
      </c>
      <c r="X165" s="12">
        <f t="shared" si="8"/>
        <v>5.7240589808817957E-3</v>
      </c>
      <c r="Y165" s="12">
        <f t="shared" si="9"/>
        <v>-2.1195031570891004E-3</v>
      </c>
      <c r="Z165" s="12">
        <f t="shared" si="10"/>
        <v>-1.6944010512816496E-3</v>
      </c>
      <c r="AA165" s="39"/>
    </row>
    <row r="166" spans="1:27" ht="15.5">
      <c r="A166" s="8" t="s">
        <v>49</v>
      </c>
      <c r="B166" s="9">
        <v>2021</v>
      </c>
      <c r="C166" s="19">
        <v>-13.18</v>
      </c>
      <c r="D166" s="19">
        <v>3500.2930000000001</v>
      </c>
      <c r="E166" s="19">
        <v>4755.3509999999997</v>
      </c>
      <c r="F166" s="19">
        <v>484.42399999999998</v>
      </c>
      <c r="G166" s="19">
        <v>560.50400000000002</v>
      </c>
      <c r="H166" s="10">
        <f t="shared" si="36"/>
        <v>-2.7716145453826647E-3</v>
      </c>
      <c r="I166" s="10">
        <f t="shared" si="37"/>
        <v>0.73607458208658005</v>
      </c>
      <c r="J166" s="10">
        <f t="shared" si="38"/>
        <v>0.86426501862609362</v>
      </c>
      <c r="K166" s="4">
        <f t="shared" si="39"/>
        <v>-9.5359676726775991E-2</v>
      </c>
      <c r="L166" s="10">
        <f t="shared" si="32"/>
        <v>0.73607458208658005</v>
      </c>
      <c r="M166" s="19">
        <v>257.916</v>
      </c>
      <c r="N166" s="19">
        <v>-383.84100000000001</v>
      </c>
      <c r="O166" s="19">
        <v>159.41300000000001</v>
      </c>
      <c r="P166" s="11">
        <v>1.21E-2</v>
      </c>
      <c r="Q166" s="11">
        <v>5.2699999999999997E-2</v>
      </c>
      <c r="R166" s="12">
        <f t="shared" si="33"/>
        <v>5.4237005848779621E-2</v>
      </c>
      <c r="S166" s="12">
        <f t="shared" si="34"/>
        <v>-8.071770096466066E-2</v>
      </c>
      <c r="T166" s="12">
        <f t="shared" si="35"/>
        <v>3.3522867186880634E-2</v>
      </c>
      <c r="U166" s="12">
        <f t="shared" si="15"/>
        <v>6.5626777077023343E-4</v>
      </c>
      <c r="V166" s="12">
        <f t="shared" si="6"/>
        <v>-9.7668418167239394E-4</v>
      </c>
      <c r="W166" s="12">
        <f t="shared" si="7"/>
        <v>4.0562669296125567E-4</v>
      </c>
      <c r="X166" s="12">
        <f t="shared" si="8"/>
        <v>2.858290208230686E-3</v>
      </c>
      <c r="Y166" s="12">
        <f t="shared" si="9"/>
        <v>-4.2538228408376165E-3</v>
      </c>
      <c r="Z166" s="12">
        <f t="shared" si="10"/>
        <v>1.7666551007486093E-3</v>
      </c>
      <c r="AA166" s="39"/>
    </row>
    <row r="167" spans="1:27" ht="15.5">
      <c r="A167" s="8" t="s">
        <v>51</v>
      </c>
      <c r="B167" s="9">
        <v>2017</v>
      </c>
      <c r="C167" s="19">
        <v>75.338999999999999</v>
      </c>
      <c r="D167" s="19">
        <v>819.73800000000006</v>
      </c>
      <c r="E167" s="19">
        <v>1244.42</v>
      </c>
      <c r="F167" s="19">
        <v>816.16499999999996</v>
      </c>
      <c r="G167" s="19">
        <v>256.04399999999998</v>
      </c>
      <c r="H167" s="10">
        <f t="shared" si="36"/>
        <v>6.054145706433519E-2</v>
      </c>
      <c r="I167" s="10">
        <f t="shared" si="37"/>
        <v>0.6587309750727246</v>
      </c>
      <c r="J167" s="10">
        <f t="shared" si="38"/>
        <v>3.1875966630735344</v>
      </c>
      <c r="K167" s="4">
        <f t="shared" si="39"/>
        <v>-0.83042038552727238</v>
      </c>
      <c r="L167" s="10">
        <f t="shared" si="32"/>
        <v>0.6587309750727246</v>
      </c>
      <c r="M167" s="19">
        <v>-79.686999999999998</v>
      </c>
      <c r="N167" s="19">
        <v>-199.85599999999999</v>
      </c>
      <c r="O167" s="19">
        <v>-16.035</v>
      </c>
      <c r="P167" s="11">
        <v>9.5500000000000002E-2</v>
      </c>
      <c r="Q167" s="11">
        <v>6.4999999999999997E-3</v>
      </c>
      <c r="R167" s="12">
        <f t="shared" si="33"/>
        <v>-6.4035454267851691E-2</v>
      </c>
      <c r="S167" s="12">
        <f t="shared" si="34"/>
        <v>-0.16060172610533419</v>
      </c>
      <c r="T167" s="12">
        <f t="shared" si="35"/>
        <v>-1.2885520965590395E-2</v>
      </c>
      <c r="U167" s="12">
        <f t="shared" si="15"/>
        <v>-6.1153858825798366E-3</v>
      </c>
      <c r="V167" s="12">
        <f t="shared" si="6"/>
        <v>-1.5337464843059414E-2</v>
      </c>
      <c r="W167" s="12">
        <f t="shared" si="7"/>
        <v>-1.2305672522138827E-3</v>
      </c>
      <c r="X167" s="12">
        <f t="shared" si="8"/>
        <v>-4.1623045274103598E-4</v>
      </c>
      <c r="Y167" s="12">
        <f t="shared" si="9"/>
        <v>-1.0439112196846722E-3</v>
      </c>
      <c r="Z167" s="12">
        <f t="shared" si="10"/>
        <v>-8.3755886276337571E-5</v>
      </c>
      <c r="AA167" s="39"/>
    </row>
    <row r="168" spans="1:27" ht="15.5">
      <c r="A168" s="8" t="s">
        <v>51</v>
      </c>
      <c r="B168" s="9">
        <v>2018</v>
      </c>
      <c r="C168" s="19">
        <v>94.36</v>
      </c>
      <c r="D168" s="19">
        <v>1116.203</v>
      </c>
      <c r="E168" s="19">
        <v>1590.547</v>
      </c>
      <c r="F168" s="19">
        <v>1037.991</v>
      </c>
      <c r="G168" s="19">
        <v>466.75599999999997</v>
      </c>
      <c r="H168" s="10">
        <f t="shared" si="36"/>
        <v>5.9325502484365439E-2</v>
      </c>
      <c r="I168" s="10">
        <f t="shared" si="37"/>
        <v>0.70177303782912415</v>
      </c>
      <c r="J168" s="10">
        <f t="shared" si="38"/>
        <v>2.2238407219189469</v>
      </c>
      <c r="K168" s="4">
        <f t="shared" si="39"/>
        <v>-0.5757538084413123</v>
      </c>
      <c r="L168" s="10">
        <f t="shared" si="32"/>
        <v>0.70177303782912415</v>
      </c>
      <c r="M168" s="19">
        <v>458.03399999999999</v>
      </c>
      <c r="N168" s="19">
        <v>-422.71300000000002</v>
      </c>
      <c r="O168" s="19">
        <v>-47.671999999999997</v>
      </c>
      <c r="P168" s="11">
        <v>1.72E-2</v>
      </c>
      <c r="Q168" s="11">
        <v>6.6E-3</v>
      </c>
      <c r="R168" s="12">
        <f t="shared" si="33"/>
        <v>0.28797262828448328</v>
      </c>
      <c r="S168" s="12">
        <f t="shared" si="34"/>
        <v>-0.26576580258238203</v>
      </c>
      <c r="T168" s="12">
        <f t="shared" si="35"/>
        <v>-2.9972078787989288E-2</v>
      </c>
      <c r="U168" s="12">
        <f t="shared" si="15"/>
        <v>4.9531292064931122E-3</v>
      </c>
      <c r="V168" s="12">
        <f t="shared" si="6"/>
        <v>-4.5711718044169711E-3</v>
      </c>
      <c r="W168" s="12">
        <f t="shared" si="7"/>
        <v>-5.155197551534158E-4</v>
      </c>
      <c r="X168" s="12">
        <f t="shared" si="8"/>
        <v>1.9006193466775897E-3</v>
      </c>
      <c r="Y168" s="12">
        <f t="shared" si="9"/>
        <v>-1.7540542970437213E-3</v>
      </c>
      <c r="Z168" s="12">
        <f t="shared" si="10"/>
        <v>-1.9781572000072929E-4</v>
      </c>
      <c r="AA168" s="39"/>
    </row>
    <row r="169" spans="1:27" ht="15.5">
      <c r="A169" s="8" t="s">
        <v>51</v>
      </c>
      <c r="B169" s="9">
        <v>2019</v>
      </c>
      <c r="C169" s="19">
        <v>375.19099999999997</v>
      </c>
      <c r="D169" s="19">
        <v>1301.5129999999999</v>
      </c>
      <c r="E169" s="19">
        <v>2098.6439999999998</v>
      </c>
      <c r="F169" s="19">
        <v>1439.075</v>
      </c>
      <c r="G169" s="19">
        <v>657.05899999999997</v>
      </c>
      <c r="H169" s="10">
        <f t="shared" si="36"/>
        <v>0.17877782034494655</v>
      </c>
      <c r="I169" s="10">
        <f t="shared" si="37"/>
        <v>0.62016854692839762</v>
      </c>
      <c r="J169" s="10">
        <f t="shared" si="38"/>
        <v>2.1901762246617125</v>
      </c>
      <c r="K169" s="4">
        <f t="shared" si="39"/>
        <v>-1.5783001789590394</v>
      </c>
      <c r="L169" s="10">
        <f t="shared" si="32"/>
        <v>0.62016854692839762</v>
      </c>
      <c r="M169" s="19">
        <v>540.56899999999996</v>
      </c>
      <c r="N169" s="19">
        <v>-558.83399999999995</v>
      </c>
      <c r="O169" s="19">
        <v>-16.062000000000001</v>
      </c>
      <c r="P169" s="11">
        <v>5.91E-2</v>
      </c>
      <c r="Q169" s="11">
        <v>6.7000000000000002E-3</v>
      </c>
      <c r="R169" s="12">
        <f t="shared" si="33"/>
        <v>0.25758013269520702</v>
      </c>
      <c r="S169" s="12">
        <f t="shared" si="34"/>
        <v>-0.26628337154848558</v>
      </c>
      <c r="T169" s="12">
        <f t="shared" si="35"/>
        <v>-7.6535134115171526E-3</v>
      </c>
      <c r="U169" s="12">
        <f t="shared" si="15"/>
        <v>1.5222985842286735E-2</v>
      </c>
      <c r="V169" s="12">
        <f t="shared" si="6"/>
        <v>-1.5737347258515499E-2</v>
      </c>
      <c r="W169" s="12">
        <f t="shared" si="7"/>
        <v>-4.5232264262066372E-4</v>
      </c>
      <c r="X169" s="12">
        <f t="shared" si="8"/>
        <v>1.7257868890578872E-3</v>
      </c>
      <c r="Y169" s="12">
        <f t="shared" si="9"/>
        <v>-1.7840985893748534E-3</v>
      </c>
      <c r="Z169" s="12">
        <f t="shared" si="10"/>
        <v>-5.1278539857164925E-5</v>
      </c>
      <c r="AA169" s="39"/>
    </row>
    <row r="170" spans="1:27" ht="15.5">
      <c r="A170" s="8" t="s">
        <v>51</v>
      </c>
      <c r="B170" s="9">
        <v>2020</v>
      </c>
      <c r="C170" s="19">
        <v>268.12599999999998</v>
      </c>
      <c r="D170" s="19">
        <v>1034.2190000000001</v>
      </c>
      <c r="E170" s="19">
        <v>2003.6130000000001</v>
      </c>
      <c r="F170" s="19">
        <v>1260.07</v>
      </c>
      <c r="G170" s="19">
        <v>415.34500000000003</v>
      </c>
      <c r="H170" s="10">
        <f t="shared" si="36"/>
        <v>0.13382125190842742</v>
      </c>
      <c r="I170" s="10">
        <f t="shared" si="37"/>
        <v>0.51617702620216577</v>
      </c>
      <c r="J170" s="10">
        <f t="shared" si="38"/>
        <v>3.0337911856408524</v>
      </c>
      <c r="K170" s="4">
        <f t="shared" si="39"/>
        <v>-1.9721217489781417</v>
      </c>
      <c r="L170" s="10">
        <f t="shared" si="32"/>
        <v>0.51617702620216577</v>
      </c>
      <c r="M170" s="19">
        <v>-299.42200000000003</v>
      </c>
      <c r="N170" s="19">
        <v>351.791</v>
      </c>
      <c r="O170" s="19">
        <v>-95.762</v>
      </c>
      <c r="P170" s="11">
        <v>3.9699999999999999E-2</v>
      </c>
      <c r="Q170" s="11">
        <v>1.09E-2</v>
      </c>
      <c r="R170" s="12">
        <f t="shared" si="33"/>
        <v>-0.14944103477068676</v>
      </c>
      <c r="S170" s="12">
        <f t="shared" si="34"/>
        <v>0.17557831776895039</v>
      </c>
      <c r="T170" s="12">
        <f t="shared" si="35"/>
        <v>-4.7794658948609334E-2</v>
      </c>
      <c r="U170" s="12">
        <f t="shared" si="15"/>
        <v>-5.9328090803962641E-3</v>
      </c>
      <c r="V170" s="12">
        <f t="shared" si="6"/>
        <v>6.9704592154273305E-3</v>
      </c>
      <c r="W170" s="12">
        <f t="shared" si="7"/>
        <v>-1.8974479602597905E-3</v>
      </c>
      <c r="X170" s="12">
        <f t="shared" si="8"/>
        <v>-1.6289072790004857E-3</v>
      </c>
      <c r="Y170" s="12">
        <f t="shared" si="9"/>
        <v>1.9138036636815593E-3</v>
      </c>
      <c r="Z170" s="12">
        <f t="shared" si="10"/>
        <v>-5.2096178253984175E-4</v>
      </c>
      <c r="AA170" s="39"/>
    </row>
    <row r="171" spans="1:27" ht="15.5">
      <c r="A171" s="8" t="s">
        <v>51</v>
      </c>
      <c r="B171" s="9">
        <v>2021</v>
      </c>
      <c r="C171" s="19">
        <v>242.714</v>
      </c>
      <c r="D171" s="19">
        <v>689.01599999999996</v>
      </c>
      <c r="E171" s="19">
        <v>1786.0119999999999</v>
      </c>
      <c r="F171" s="19">
        <v>861.452</v>
      </c>
      <c r="G171" s="19">
        <v>94.203999999999994</v>
      </c>
      <c r="H171" s="10">
        <f t="shared" si="36"/>
        <v>0.13589718322161329</v>
      </c>
      <c r="I171" s="10">
        <f t="shared" si="37"/>
        <v>0.38578464198448836</v>
      </c>
      <c r="J171" s="10">
        <f t="shared" si="38"/>
        <v>9.1445373869474764</v>
      </c>
      <c r="K171" s="4">
        <f t="shared" si="39"/>
        <v>-2.7491430147334652</v>
      </c>
      <c r="L171" s="10">
        <f t="shared" si="32"/>
        <v>0.38578464198448836</v>
      </c>
      <c r="M171" s="19">
        <v>-371.298</v>
      </c>
      <c r="N171" s="19">
        <v>457.84100000000001</v>
      </c>
      <c r="O171" s="19">
        <v>-105.625</v>
      </c>
      <c r="P171" s="11">
        <v>2.52E-2</v>
      </c>
      <c r="Q171" s="11">
        <v>7.4999999999999997E-3</v>
      </c>
      <c r="R171" s="12">
        <f t="shared" si="33"/>
        <v>-0.20789222020904677</v>
      </c>
      <c r="S171" s="12">
        <f t="shared" si="34"/>
        <v>0.25634822162449078</v>
      </c>
      <c r="T171" s="12">
        <f t="shared" si="35"/>
        <v>-5.9140140155833222E-2</v>
      </c>
      <c r="U171" s="12">
        <f t="shared" si="15"/>
        <v>-5.2388839492679782E-3</v>
      </c>
      <c r="V171" s="12">
        <f t="shared" si="6"/>
        <v>6.4599751849371678E-3</v>
      </c>
      <c r="W171" s="12">
        <f t="shared" si="7"/>
        <v>-1.4903315319269971E-3</v>
      </c>
      <c r="X171" s="12">
        <f t="shared" si="8"/>
        <v>-1.5591916515678508E-3</v>
      </c>
      <c r="Y171" s="12">
        <f t="shared" si="9"/>
        <v>1.9226116621836808E-3</v>
      </c>
      <c r="Z171" s="12">
        <f t="shared" si="10"/>
        <v>-4.4355105116874912E-4</v>
      </c>
      <c r="AA171" s="39"/>
    </row>
    <row r="172" spans="1:27" ht="15.5">
      <c r="A172" s="8" t="s">
        <v>52</v>
      </c>
      <c r="B172" s="9">
        <v>2017</v>
      </c>
      <c r="C172" s="19">
        <v>27.260999999999999</v>
      </c>
      <c r="D172" s="19">
        <v>348.17500000000001</v>
      </c>
      <c r="E172" s="19">
        <v>721.80799999999999</v>
      </c>
      <c r="F172" s="19">
        <v>106.15600000000001</v>
      </c>
      <c r="G172" s="19">
        <v>153.995</v>
      </c>
      <c r="H172" s="10">
        <f t="shared" si="36"/>
        <v>3.7767661206304169E-2</v>
      </c>
      <c r="I172" s="10">
        <f t="shared" si="37"/>
        <v>0.48236511648527036</v>
      </c>
      <c r="J172" s="10">
        <f t="shared" si="38"/>
        <v>0.68934705672262087</v>
      </c>
      <c r="K172" s="4">
        <f t="shared" si="39"/>
        <v>-1.7232306996892177</v>
      </c>
      <c r="L172" s="10">
        <f t="shared" si="32"/>
        <v>0.48236511648527036</v>
      </c>
      <c r="M172" s="19">
        <v>-10.935</v>
      </c>
      <c r="N172" s="19">
        <v>43.99</v>
      </c>
      <c r="O172" s="19">
        <v>-26.065000000000001</v>
      </c>
      <c r="P172" s="11">
        <v>3.8800000000000001E-2</v>
      </c>
      <c r="Q172" s="11">
        <v>0.38163000000000002</v>
      </c>
      <c r="R172" s="12">
        <f t="shared" si="33"/>
        <v>-1.5149458027619534E-2</v>
      </c>
      <c r="S172" s="12">
        <f t="shared" si="34"/>
        <v>6.0944184603107757E-2</v>
      </c>
      <c r="T172" s="12">
        <f t="shared" si="35"/>
        <v>-3.6110710881564076E-2</v>
      </c>
      <c r="U172" s="12">
        <f t="shared" si="15"/>
        <v>-5.87798971471638E-4</v>
      </c>
      <c r="V172" s="12">
        <f t="shared" si="6"/>
        <v>2.3646343626005811E-3</v>
      </c>
      <c r="W172" s="12">
        <f t="shared" si="7"/>
        <v>-1.4010955822046861E-3</v>
      </c>
      <c r="X172" s="12">
        <f t="shared" si="8"/>
        <v>-5.7814876670804431E-3</v>
      </c>
      <c r="Y172" s="12">
        <f t="shared" si="9"/>
        <v>2.3258129170084015E-2</v>
      </c>
      <c r="Z172" s="12">
        <f t="shared" si="10"/>
        <v>-1.3780930593731299E-2</v>
      </c>
      <c r="AA172" s="39"/>
    </row>
    <row r="173" spans="1:27" ht="15.5">
      <c r="A173" s="8" t="s">
        <v>52</v>
      </c>
      <c r="B173" s="9">
        <v>2018</v>
      </c>
      <c r="C173" s="19">
        <v>9.0039999999999996</v>
      </c>
      <c r="D173" s="19">
        <v>364.33600000000001</v>
      </c>
      <c r="E173" s="19">
        <v>726.12800000000004</v>
      </c>
      <c r="F173" s="19">
        <v>97.963999999999999</v>
      </c>
      <c r="G173" s="19">
        <v>121.666</v>
      </c>
      <c r="H173" s="10">
        <f t="shared" si="36"/>
        <v>1.2400017627746071E-2</v>
      </c>
      <c r="I173" s="10">
        <f t="shared" si="37"/>
        <v>0.50175175726593657</v>
      </c>
      <c r="J173" s="10">
        <f t="shared" si="38"/>
        <v>0.8051879736327322</v>
      </c>
      <c r="K173" s="4">
        <f t="shared" si="39"/>
        <v>-1.4990358148035496</v>
      </c>
      <c r="L173" s="10">
        <f t="shared" si="32"/>
        <v>0.50175175726593657</v>
      </c>
      <c r="M173" s="19">
        <v>-8.15</v>
      </c>
      <c r="N173" s="19">
        <v>-2.1669999999999998</v>
      </c>
      <c r="O173" s="19">
        <v>4.1589999999999998</v>
      </c>
      <c r="P173" s="11">
        <v>2.7699999999999999E-2</v>
      </c>
      <c r="Q173" s="11">
        <v>0.32319999999999999</v>
      </c>
      <c r="R173" s="12">
        <f t="shared" si="33"/>
        <v>-1.1223916444483617E-2</v>
      </c>
      <c r="S173" s="12">
        <f t="shared" si="34"/>
        <v>-2.9843223233369321E-3</v>
      </c>
      <c r="T173" s="12">
        <f t="shared" si="35"/>
        <v>5.7276403058413939E-3</v>
      </c>
      <c r="U173" s="12">
        <f t="shared" si="15"/>
        <v>-3.109024855121962E-4</v>
      </c>
      <c r="V173" s="12">
        <f t="shared" si="6"/>
        <v>-8.2665728356433009E-5</v>
      </c>
      <c r="W173" s="12">
        <f t="shared" si="7"/>
        <v>1.5865563647180661E-4</v>
      </c>
      <c r="X173" s="12">
        <f t="shared" si="8"/>
        <v>-3.6275697948571048E-3</v>
      </c>
      <c r="Y173" s="12">
        <f t="shared" si="9"/>
        <v>-9.6453297490249645E-4</v>
      </c>
      <c r="Z173" s="12">
        <f t="shared" si="10"/>
        <v>1.8511733468479384E-3</v>
      </c>
      <c r="AA173" s="39"/>
    </row>
    <row r="174" spans="1:27" ht="15.5">
      <c r="A174" s="8" t="s">
        <v>52</v>
      </c>
      <c r="B174" s="9">
        <v>2019</v>
      </c>
      <c r="C174" s="19">
        <v>609</v>
      </c>
      <c r="D174" s="19">
        <v>262.35500000000002</v>
      </c>
      <c r="E174" s="19">
        <v>624.01800000000003</v>
      </c>
      <c r="F174" s="19">
        <v>28.725000000000001</v>
      </c>
      <c r="G174" s="19">
        <v>84.545000000000002</v>
      </c>
      <c r="H174" s="10">
        <f t="shared" si="36"/>
        <v>0.97593338653692674</v>
      </c>
      <c r="I174" s="10">
        <f t="shared" si="37"/>
        <v>0.42042857738078071</v>
      </c>
      <c r="J174" s="10">
        <f t="shared" si="38"/>
        <v>0.33975989118221067</v>
      </c>
      <c r="K174" s="4">
        <f t="shared" si="39"/>
        <v>-6.2966163879104506</v>
      </c>
      <c r="L174" s="10">
        <f t="shared" si="32"/>
        <v>0.42042857738078071</v>
      </c>
      <c r="M174" s="19">
        <v>12.718</v>
      </c>
      <c r="N174" s="19">
        <v>76.878</v>
      </c>
      <c r="O174" s="19">
        <v>-89.545000000000002</v>
      </c>
      <c r="P174" s="11">
        <v>5.4999999999999997E-3</v>
      </c>
      <c r="Q174" s="11">
        <v>0.1477</v>
      </c>
      <c r="R174" s="12">
        <f t="shared" si="33"/>
        <v>2.0380822348073292E-2</v>
      </c>
      <c r="S174" s="12">
        <f t="shared" si="34"/>
        <v>0.12319836927780929</v>
      </c>
      <c r="T174" s="12">
        <f t="shared" si="35"/>
        <v>-0.14349746321420215</v>
      </c>
      <c r="U174" s="12">
        <f t="shared" si="15"/>
        <v>1.120945229144031E-4</v>
      </c>
      <c r="V174" s="12">
        <f t="shared" si="6"/>
        <v>6.7759103102795111E-4</v>
      </c>
      <c r="W174" s="12">
        <f t="shared" si="7"/>
        <v>-7.892360476781118E-4</v>
      </c>
      <c r="X174" s="12">
        <f t="shared" si="8"/>
        <v>3.0102474608104252E-3</v>
      </c>
      <c r="Y174" s="12">
        <f t="shared" si="9"/>
        <v>1.8196399142332433E-2</v>
      </c>
      <c r="Z174" s="12">
        <f t="shared" si="10"/>
        <v>-2.1194575316737657E-2</v>
      </c>
      <c r="AA174" s="39"/>
    </row>
    <row r="175" spans="1:27" ht="15.5">
      <c r="A175" s="8" t="s">
        <v>52</v>
      </c>
      <c r="B175" s="9">
        <v>2020</v>
      </c>
      <c r="C175" s="19">
        <v>-33.137</v>
      </c>
      <c r="D175" s="19">
        <v>285.25099999999998</v>
      </c>
      <c r="E175" s="19">
        <v>613.53599999999994</v>
      </c>
      <c r="F175" s="19">
        <v>10.601000000000001</v>
      </c>
      <c r="G175" s="19">
        <v>80.891999999999996</v>
      </c>
      <c r="H175" s="10">
        <f t="shared" si="36"/>
        <v>-5.400987065143692E-2</v>
      </c>
      <c r="I175" s="10">
        <f t="shared" si="37"/>
        <v>0.464929523287957</v>
      </c>
      <c r="J175" s="10">
        <f t="shared" si="38"/>
        <v>0.13105127824753995</v>
      </c>
      <c r="K175" s="4">
        <f t="shared" si="39"/>
        <v>-1.4073815044401692</v>
      </c>
      <c r="L175" s="10">
        <f t="shared" si="32"/>
        <v>0.464929523287957</v>
      </c>
      <c r="M175" s="19">
        <v>-756</v>
      </c>
      <c r="N175" s="19">
        <v>-21.727</v>
      </c>
      <c r="O175" s="19">
        <v>20.92</v>
      </c>
      <c r="P175" s="11">
        <v>5.4999999999999997E-3</v>
      </c>
      <c r="Q175" s="11">
        <v>0.27960000000000002</v>
      </c>
      <c r="R175" s="12">
        <f t="shared" si="33"/>
        <v>-1.2322015334063527</v>
      </c>
      <c r="S175" s="12">
        <f t="shared" si="34"/>
        <v>-3.5412754915766967E-2</v>
      </c>
      <c r="T175" s="12">
        <f t="shared" si="35"/>
        <v>3.4097428675741934E-2</v>
      </c>
      <c r="U175" s="12">
        <f t="shared" si="15"/>
        <v>-6.7771084337349399E-3</v>
      </c>
      <c r="V175" s="12">
        <f t="shared" si="6"/>
        <v>-1.9477015203671832E-4</v>
      </c>
      <c r="W175" s="12">
        <f t="shared" si="7"/>
        <v>1.8753585771658063E-4</v>
      </c>
      <c r="X175" s="12">
        <f t="shared" si="8"/>
        <v>-0.34452354874041624</v>
      </c>
      <c r="Y175" s="12">
        <f t="shared" si="9"/>
        <v>-9.9014062744484446E-3</v>
      </c>
      <c r="Z175" s="12">
        <f t="shared" si="10"/>
        <v>9.5336410577374457E-3</v>
      </c>
      <c r="AA175" s="39"/>
    </row>
    <row r="176" spans="1:27" ht="15.5">
      <c r="A176" s="8" t="s">
        <v>52</v>
      </c>
      <c r="B176" s="9">
        <v>2021</v>
      </c>
      <c r="C176" s="19">
        <v>34.981999999999999</v>
      </c>
      <c r="D176" s="19">
        <v>263.82400000000001</v>
      </c>
      <c r="E176" s="19">
        <v>1127.0920000000001</v>
      </c>
      <c r="F176" s="19">
        <v>203.46299999999999</v>
      </c>
      <c r="G176" s="19">
        <v>59.393999999999998</v>
      </c>
      <c r="H176" s="10">
        <f t="shared" si="36"/>
        <v>3.1037395350157749E-2</v>
      </c>
      <c r="I176" s="10">
        <f t="shared" si="37"/>
        <v>0.23407494685438276</v>
      </c>
      <c r="J176" s="10">
        <f t="shared" si="38"/>
        <v>3.4256490554601475</v>
      </c>
      <c r="K176" s="4">
        <f t="shared" si="39"/>
        <v>-3.1191436782275681</v>
      </c>
      <c r="L176" s="10">
        <f t="shared" si="32"/>
        <v>0.23407494685438276</v>
      </c>
      <c r="M176" s="19">
        <v>-105.718</v>
      </c>
      <c r="N176" s="19">
        <v>-347.28800000000001</v>
      </c>
      <c r="O176" s="19">
        <v>457.86399999999998</v>
      </c>
      <c r="P176" s="11">
        <v>0</v>
      </c>
      <c r="Q176" s="11">
        <v>1E-4</v>
      </c>
      <c r="R176" s="12">
        <f t="shared" si="33"/>
        <v>-9.3797134572865384E-2</v>
      </c>
      <c r="S176" s="12">
        <f t="shared" si="34"/>
        <v>-0.30812746430637428</v>
      </c>
      <c r="T176" s="12">
        <f t="shared" si="35"/>
        <v>0.40623480603180567</v>
      </c>
      <c r="U176" s="12">
        <f t="shared" si="15"/>
        <v>0</v>
      </c>
      <c r="V176" s="12">
        <f t="shared" si="6"/>
        <v>0</v>
      </c>
      <c r="W176" s="12">
        <f t="shared" si="7"/>
        <v>0</v>
      </c>
      <c r="X176" s="12">
        <f t="shared" si="8"/>
        <v>-9.3797134572865387E-6</v>
      </c>
      <c r="Y176" s="12">
        <f t="shared" si="9"/>
        <v>-3.0812746430637429E-5</v>
      </c>
      <c r="Z176" s="12">
        <f t="shared" si="10"/>
        <v>4.0623480603180571E-5</v>
      </c>
      <c r="AA176" s="39"/>
    </row>
    <row r="177" spans="1:27" ht="15.5">
      <c r="A177" s="8" t="s">
        <v>53</v>
      </c>
      <c r="B177" s="9">
        <v>2017</v>
      </c>
      <c r="C177" s="19">
        <v>25.363</v>
      </c>
      <c r="D177" s="19">
        <v>846.49199999999996</v>
      </c>
      <c r="E177" s="19">
        <v>1322.056</v>
      </c>
      <c r="F177" s="19">
        <v>747.88900000000001</v>
      </c>
      <c r="G177" s="19">
        <v>612.99</v>
      </c>
      <c r="H177" s="10">
        <f t="shared" si="36"/>
        <v>1.918451260763538E-2</v>
      </c>
      <c r="I177" s="10">
        <f t="shared" si="37"/>
        <v>0.64028452652535139</v>
      </c>
      <c r="J177" s="10">
        <f t="shared" si="38"/>
        <v>1.2200672115368929</v>
      </c>
      <c r="K177" s="4">
        <f t="shared" si="39"/>
        <v>-0.74158877438600346</v>
      </c>
      <c r="L177" s="10">
        <f t="shared" si="32"/>
        <v>0.64028452652535139</v>
      </c>
      <c r="M177" s="19">
        <v>-125.173</v>
      </c>
      <c r="N177" s="19">
        <v>44.828000000000003</v>
      </c>
      <c r="O177" s="19">
        <v>161.68</v>
      </c>
      <c r="P177" s="11">
        <v>0</v>
      </c>
      <c r="Q177" s="11">
        <v>1.0660000000000001E-3</v>
      </c>
      <c r="R177" s="12">
        <f t="shared" si="33"/>
        <v>-9.4680558160925105E-2</v>
      </c>
      <c r="S177" s="12">
        <f t="shared" si="34"/>
        <v>3.3907792105629414E-2</v>
      </c>
      <c r="T177" s="12">
        <f t="shared" si="35"/>
        <v>0.12229436574547523</v>
      </c>
      <c r="U177" s="12">
        <f t="shared" si="15"/>
        <v>0</v>
      </c>
      <c r="V177" s="12">
        <f t="shared" si="6"/>
        <v>0</v>
      </c>
      <c r="W177" s="12">
        <f t="shared" si="7"/>
        <v>0</v>
      </c>
      <c r="X177" s="12">
        <f t="shared" si="8"/>
        <v>-1.0092947499954617E-4</v>
      </c>
      <c r="Y177" s="12">
        <f t="shared" si="9"/>
        <v>3.6145706384600959E-5</v>
      </c>
      <c r="Z177" s="12">
        <f t="shared" si="10"/>
        <v>1.303657938846766E-4</v>
      </c>
      <c r="AA177" s="39"/>
    </row>
    <row r="178" spans="1:27" ht="15.5">
      <c r="A178" s="8" t="s">
        <v>53</v>
      </c>
      <c r="B178" s="9">
        <v>2018</v>
      </c>
      <c r="C178" s="19">
        <v>51.512999999999998</v>
      </c>
      <c r="D178" s="19">
        <v>840.33199999999999</v>
      </c>
      <c r="E178" s="19">
        <v>1367.4090000000001</v>
      </c>
      <c r="F178" s="19">
        <v>722.86300000000006</v>
      </c>
      <c r="G178" s="19">
        <v>655.84799999999996</v>
      </c>
      <c r="H178" s="10">
        <f t="shared" si="36"/>
        <v>3.7671976709236221E-2</v>
      </c>
      <c r="I178" s="10">
        <f t="shared" si="37"/>
        <v>0.6145432712524197</v>
      </c>
      <c r="J178" s="10">
        <f t="shared" si="38"/>
        <v>1.1021806882082434</v>
      </c>
      <c r="K178" s="4">
        <f t="shared" si="39"/>
        <v>-0.97103597180560375</v>
      </c>
      <c r="L178" s="10">
        <f t="shared" si="32"/>
        <v>0.6145432712524197</v>
      </c>
      <c r="M178" s="19">
        <v>-23.626999999999999</v>
      </c>
      <c r="N178" s="19">
        <v>-63.292999999999999</v>
      </c>
      <c r="O178" s="19">
        <v>6.4349999999999996</v>
      </c>
      <c r="P178" s="11">
        <v>0</v>
      </c>
      <c r="Q178" s="11">
        <v>5.1999999999999997E-5</v>
      </c>
      <c r="R178" s="12">
        <f t="shared" si="33"/>
        <v>-1.7278663516182794E-2</v>
      </c>
      <c r="S178" s="12">
        <f t="shared" si="34"/>
        <v>-4.6286809579284612E-2</v>
      </c>
      <c r="T178" s="12">
        <f t="shared" si="35"/>
        <v>4.705980434529829E-3</v>
      </c>
      <c r="U178" s="12">
        <f t="shared" si="15"/>
        <v>0</v>
      </c>
      <c r="V178" s="12">
        <f t="shared" si="6"/>
        <v>0</v>
      </c>
      <c r="W178" s="12">
        <f t="shared" si="7"/>
        <v>0</v>
      </c>
      <c r="X178" s="12">
        <f t="shared" si="8"/>
        <v>-8.9849050284150523E-7</v>
      </c>
      <c r="Y178" s="12">
        <f t="shared" si="9"/>
        <v>-2.4069140981227998E-6</v>
      </c>
      <c r="Z178" s="12">
        <f t="shared" si="10"/>
        <v>2.4471098259555108E-7</v>
      </c>
      <c r="AA178" s="39"/>
    </row>
    <row r="179" spans="1:27" ht="15.5">
      <c r="A179" s="8" t="s">
        <v>53</v>
      </c>
      <c r="B179" s="9">
        <v>2019</v>
      </c>
      <c r="C179" s="19">
        <v>62.271000000000001</v>
      </c>
      <c r="D179" s="19">
        <v>986.00199999999995</v>
      </c>
      <c r="E179" s="19">
        <v>1575.35</v>
      </c>
      <c r="F179" s="19">
        <v>1101.385</v>
      </c>
      <c r="G179" s="19">
        <v>854.23400000000004</v>
      </c>
      <c r="H179" s="10">
        <f t="shared" si="36"/>
        <v>3.9528358777414549E-2</v>
      </c>
      <c r="I179" s="10">
        <f t="shared" si="37"/>
        <v>0.6258939283333862</v>
      </c>
      <c r="J179" s="10">
        <f t="shared" si="38"/>
        <v>1.2893247049403325</v>
      </c>
      <c r="K179" s="4">
        <f t="shared" si="39"/>
        <v>-0.9154395218178254</v>
      </c>
      <c r="L179" s="10">
        <f t="shared" si="32"/>
        <v>0.6258939283333862</v>
      </c>
      <c r="M179" s="19">
        <v>-39.786999999999999</v>
      </c>
      <c r="N179" s="19">
        <v>-1.321</v>
      </c>
      <c r="O179" s="19">
        <v>126.779</v>
      </c>
      <c r="P179" s="11">
        <v>2.0000000000000002E-5</v>
      </c>
      <c r="Q179" s="11">
        <v>4.8999999999999998E-5</v>
      </c>
      <c r="R179" s="12">
        <f t="shared" si="33"/>
        <v>-2.5255974862728917E-2</v>
      </c>
      <c r="S179" s="12">
        <f t="shared" si="34"/>
        <v>-8.3854381566001205E-4</v>
      </c>
      <c r="T179" s="12">
        <f t="shared" si="35"/>
        <v>8.0476719459167803E-2</v>
      </c>
      <c r="U179" s="12">
        <f t="shared" si="15"/>
        <v>-5.0511949725457833E-7</v>
      </c>
      <c r="V179" s="12">
        <f t="shared" si="6"/>
        <v>-1.6770876313200241E-8</v>
      </c>
      <c r="W179" s="12">
        <f t="shared" si="7"/>
        <v>1.6095343891833563E-6</v>
      </c>
      <c r="X179" s="12">
        <f t="shared" si="8"/>
        <v>-1.2375427682737169E-6</v>
      </c>
      <c r="Y179" s="12">
        <f t="shared" si="9"/>
        <v>-4.1088646967340588E-8</v>
      </c>
      <c r="Z179" s="12">
        <f t="shared" si="10"/>
        <v>3.9433592534992223E-6</v>
      </c>
      <c r="AA179" s="39"/>
    </row>
    <row r="180" spans="1:27" ht="15.5">
      <c r="A180" s="8" t="s">
        <v>53</v>
      </c>
      <c r="B180" s="9">
        <v>2020</v>
      </c>
      <c r="C180" s="19">
        <v>51.92</v>
      </c>
      <c r="D180" s="19">
        <v>992.89300000000003</v>
      </c>
      <c r="E180" s="19">
        <v>1639.1659999999999</v>
      </c>
      <c r="F180" s="19">
        <v>1095.7750000000001</v>
      </c>
      <c r="G180" s="19">
        <v>841.36699999999996</v>
      </c>
      <c r="H180" s="10">
        <f t="shared" si="36"/>
        <v>3.1674644300821272E-2</v>
      </c>
      <c r="I180" s="10">
        <f t="shared" si="37"/>
        <v>0.60573059714513355</v>
      </c>
      <c r="J180" s="10">
        <f t="shared" si="38"/>
        <v>1.3023745880216364</v>
      </c>
      <c r="K180" s="4">
        <f t="shared" si="39"/>
        <v>-0.99508099397852101</v>
      </c>
      <c r="L180" s="10">
        <f t="shared" si="32"/>
        <v>0.60573059714513355</v>
      </c>
      <c r="M180" s="19">
        <v>114.26300000000001</v>
      </c>
      <c r="N180" s="19">
        <v>40.713999999999999</v>
      </c>
      <c r="O180" s="19">
        <v>19.608000000000001</v>
      </c>
      <c r="P180" s="11">
        <v>1E-4</v>
      </c>
      <c r="Q180" s="11">
        <v>0</v>
      </c>
      <c r="R180" s="12">
        <f t="shared" si="33"/>
        <v>6.9708010049012739E-2</v>
      </c>
      <c r="S180" s="12">
        <f t="shared" si="34"/>
        <v>2.4838240910316587E-2</v>
      </c>
      <c r="T180" s="12">
        <f t="shared" si="35"/>
        <v>1.1962180767536662E-2</v>
      </c>
      <c r="U180" s="12">
        <f t="shared" si="15"/>
        <v>6.9708010049012745E-6</v>
      </c>
      <c r="V180" s="12">
        <f t="shared" si="6"/>
        <v>2.4838240910316588E-6</v>
      </c>
      <c r="W180" s="12">
        <f t="shared" si="7"/>
        <v>1.1962180767536662E-6</v>
      </c>
      <c r="X180" s="12">
        <f t="shared" si="8"/>
        <v>0</v>
      </c>
      <c r="Y180" s="12">
        <f t="shared" si="9"/>
        <v>0</v>
      </c>
      <c r="Z180" s="12">
        <f t="shared" si="10"/>
        <v>0</v>
      </c>
      <c r="AA180" s="39"/>
    </row>
    <row r="181" spans="1:27" ht="15.5">
      <c r="A181" s="8" t="s">
        <v>53</v>
      </c>
      <c r="B181" s="9">
        <v>2021</v>
      </c>
      <c r="C181" s="19">
        <v>34.659999999999997</v>
      </c>
      <c r="D181" s="19">
        <v>942.68700000000001</v>
      </c>
      <c r="E181" s="19">
        <v>1626.2470000000001</v>
      </c>
      <c r="F181" s="19">
        <v>1151.8800000000001</v>
      </c>
      <c r="G181" s="19">
        <v>868.49599999999998</v>
      </c>
      <c r="H181" s="10">
        <f t="shared" si="36"/>
        <v>2.1312875596388493E-2</v>
      </c>
      <c r="I181" s="10">
        <f t="shared" si="37"/>
        <v>0.57967024689361457</v>
      </c>
      <c r="J181" s="10">
        <f t="shared" si="38"/>
        <v>1.3262928096387319</v>
      </c>
      <c r="K181" s="4">
        <f t="shared" si="39"/>
        <v>-1.0970927041287</v>
      </c>
      <c r="L181" s="10">
        <f t="shared" si="32"/>
        <v>0.57967024689361457</v>
      </c>
      <c r="M181" s="19">
        <v>95.808000000000007</v>
      </c>
      <c r="N181" s="19">
        <v>-155.58000000000001</v>
      </c>
      <c r="O181" s="19">
        <v>-178.42099999999999</v>
      </c>
      <c r="P181" s="11">
        <v>1E-4</v>
      </c>
      <c r="Q181" s="11">
        <v>0</v>
      </c>
      <c r="R181" s="12">
        <f t="shared" si="33"/>
        <v>5.8913559871286464E-2</v>
      </c>
      <c r="S181" s="12">
        <f t="shared" si="34"/>
        <v>-9.5668124214833297E-2</v>
      </c>
      <c r="T181" s="12">
        <f t="shared" si="35"/>
        <v>-0.10971334612761775</v>
      </c>
      <c r="U181" s="12">
        <f t="shared" si="15"/>
        <v>5.8913559871286462E-6</v>
      </c>
      <c r="V181" s="12">
        <f t="shared" si="6"/>
        <v>-9.5668124214833294E-6</v>
      </c>
      <c r="W181" s="12">
        <f t="shared" si="7"/>
        <v>-1.0971334612761777E-5</v>
      </c>
      <c r="X181" s="12">
        <f t="shared" si="8"/>
        <v>0</v>
      </c>
      <c r="Y181" s="12">
        <f t="shared" si="9"/>
        <v>0</v>
      </c>
      <c r="Z181" s="12">
        <f t="shared" si="10"/>
        <v>0</v>
      </c>
      <c r="AA181" s="39"/>
    </row>
    <row r="182" spans="1:27" ht="15.5">
      <c r="A182" s="8" t="s">
        <v>54</v>
      </c>
      <c r="B182" s="9">
        <v>2017</v>
      </c>
      <c r="C182" s="19">
        <v>200.10499999999999</v>
      </c>
      <c r="D182" s="19">
        <v>4486.5990000000002</v>
      </c>
      <c r="E182" s="19">
        <v>6989.2150000000001</v>
      </c>
      <c r="F182" s="19">
        <v>3327.953</v>
      </c>
      <c r="G182" s="19">
        <v>3462.415</v>
      </c>
      <c r="H182" s="10">
        <f t="shared" si="36"/>
        <v>2.8630540053496707E-2</v>
      </c>
      <c r="I182" s="10">
        <f t="shared" si="37"/>
        <v>0.64193174769984895</v>
      </c>
      <c r="J182" s="10">
        <f t="shared" si="38"/>
        <v>0.96116525604238656</v>
      </c>
      <c r="K182" s="4">
        <f t="shared" si="39"/>
        <v>-0.77367112937576543</v>
      </c>
      <c r="L182" s="10">
        <f t="shared" si="32"/>
        <v>0.64193174769984895</v>
      </c>
      <c r="M182" s="19">
        <v>81.537999999999997</v>
      </c>
      <c r="N182" s="19">
        <v>-935.25400000000002</v>
      </c>
      <c r="O182" s="19">
        <v>799.82399999999996</v>
      </c>
      <c r="P182" s="11">
        <v>0.27</v>
      </c>
      <c r="Q182" s="11">
        <v>0.04</v>
      </c>
      <c r="R182" s="12">
        <f t="shared" si="33"/>
        <v>1.1666260087863945E-2</v>
      </c>
      <c r="S182" s="12">
        <f t="shared" si="34"/>
        <v>-0.13381388324726023</v>
      </c>
      <c r="T182" s="12">
        <f t="shared" si="35"/>
        <v>0.1144368859736036</v>
      </c>
      <c r="U182" s="12">
        <f t="shared" si="15"/>
        <v>3.1498902237232654E-3</v>
      </c>
      <c r="V182" s="12">
        <f t="shared" si="6"/>
        <v>-3.6129748476760266E-2</v>
      </c>
      <c r="W182" s="12">
        <f t="shared" si="7"/>
        <v>3.0897959212872975E-2</v>
      </c>
      <c r="X182" s="12">
        <f t="shared" si="8"/>
        <v>4.666504035145578E-4</v>
      </c>
      <c r="Y182" s="12">
        <f t="shared" si="9"/>
        <v>-5.3525553298904094E-3</v>
      </c>
      <c r="Z182" s="12">
        <f t="shared" si="10"/>
        <v>4.5774754389441442E-3</v>
      </c>
      <c r="AA182" s="39"/>
    </row>
    <row r="183" spans="1:27" ht="15.5">
      <c r="A183" s="8" t="s">
        <v>54</v>
      </c>
      <c r="B183" s="9">
        <v>2018</v>
      </c>
      <c r="C183" s="19">
        <v>360.23500000000001</v>
      </c>
      <c r="D183" s="19">
        <v>5603.4849999999997</v>
      </c>
      <c r="E183" s="19">
        <v>8350.0130000000008</v>
      </c>
      <c r="F183" s="19">
        <v>3771.11</v>
      </c>
      <c r="G183" s="19">
        <v>4075.3020000000001</v>
      </c>
      <c r="H183" s="10">
        <f t="shared" si="36"/>
        <v>4.3141849000714126E-2</v>
      </c>
      <c r="I183" s="10">
        <f t="shared" si="37"/>
        <v>0.67107500311676149</v>
      </c>
      <c r="J183" s="10">
        <f t="shared" si="38"/>
        <v>0.92535718825255164</v>
      </c>
      <c r="K183" s="4">
        <f t="shared" si="39"/>
        <v>-0.67271223149068304</v>
      </c>
      <c r="L183" s="10">
        <f t="shared" si="32"/>
        <v>0.67107500311676149</v>
      </c>
      <c r="M183" s="19">
        <v>228.66900000000001</v>
      </c>
      <c r="N183" s="19">
        <v>-854.60400000000004</v>
      </c>
      <c r="O183" s="19">
        <v>550.08199999999999</v>
      </c>
      <c r="P183" s="11">
        <v>0.27760000000000001</v>
      </c>
      <c r="Q183" s="11">
        <v>3.9E-2</v>
      </c>
      <c r="R183" s="12">
        <f t="shared" si="33"/>
        <v>2.7385466345980537E-2</v>
      </c>
      <c r="S183" s="12">
        <f t="shared" si="34"/>
        <v>-0.1023476250875298</v>
      </c>
      <c r="T183" s="12">
        <f t="shared" si="35"/>
        <v>6.5877981267813593E-2</v>
      </c>
      <c r="U183" s="12">
        <f t="shared" si="15"/>
        <v>7.6022054576441976E-3</v>
      </c>
      <c r="V183" s="12">
        <f t="shared" si="6"/>
        <v>-2.8411700724298276E-2</v>
      </c>
      <c r="W183" s="12">
        <f t="shared" si="7"/>
        <v>1.8287727599945056E-2</v>
      </c>
      <c r="X183" s="12">
        <f t="shared" si="8"/>
        <v>1.0680331874932409E-3</v>
      </c>
      <c r="Y183" s="12">
        <f t="shared" si="9"/>
        <v>-3.9915573784136621E-3</v>
      </c>
      <c r="Z183" s="12">
        <f t="shared" si="10"/>
        <v>2.5692412694447303E-3</v>
      </c>
      <c r="AA183" s="39"/>
    </row>
    <row r="184" spans="1:27" ht="15.5">
      <c r="A184" s="8" t="s">
        <v>54</v>
      </c>
      <c r="B184" s="9">
        <v>2019</v>
      </c>
      <c r="C184" s="19">
        <v>305.13</v>
      </c>
      <c r="D184" s="19">
        <v>6565.9669999999996</v>
      </c>
      <c r="E184" s="19">
        <v>9591.9240000000009</v>
      </c>
      <c r="F184" s="19">
        <v>4377.8630000000003</v>
      </c>
      <c r="G184" s="19">
        <v>4819.6769999999997</v>
      </c>
      <c r="H184" s="10">
        <f t="shared" si="36"/>
        <v>3.1811136118259482E-2</v>
      </c>
      <c r="I184" s="10">
        <f t="shared" si="37"/>
        <v>0.68453075733293955</v>
      </c>
      <c r="J184" s="10">
        <f t="shared" si="38"/>
        <v>0.90833120144773194</v>
      </c>
      <c r="K184" s="4">
        <f t="shared" si="39"/>
        <v>-0.54495812054020298</v>
      </c>
      <c r="L184" s="10">
        <f t="shared" ref="L184:L247" si="40">D184/E184</f>
        <v>0.68453075733293955</v>
      </c>
      <c r="M184" s="19">
        <v>494.51100000000002</v>
      </c>
      <c r="N184" s="19">
        <v>-874.10199999999998</v>
      </c>
      <c r="O184" s="19">
        <v>394.87400000000002</v>
      </c>
      <c r="P184" s="11">
        <v>0.26629999999999998</v>
      </c>
      <c r="Q184" s="11">
        <v>3.9E-2</v>
      </c>
      <c r="R184" s="12">
        <f t="shared" si="33"/>
        <v>5.1554933087459821E-2</v>
      </c>
      <c r="S184" s="12">
        <f t="shared" si="34"/>
        <v>-9.1128953899134307E-2</v>
      </c>
      <c r="T184" s="12">
        <f t="shared" si="35"/>
        <v>4.1167340358409847E-2</v>
      </c>
      <c r="U184" s="12">
        <f t="shared" si="15"/>
        <v>1.3729078681190549E-2</v>
      </c>
      <c r="V184" s="12">
        <f t="shared" si="6"/>
        <v>-2.4267640423339464E-2</v>
      </c>
      <c r="W184" s="12">
        <f t="shared" si="7"/>
        <v>1.0962862737444541E-2</v>
      </c>
      <c r="X184" s="12">
        <f t="shared" si="8"/>
        <v>2.0106423904109332E-3</v>
      </c>
      <c r="Y184" s="12">
        <f t="shared" si="9"/>
        <v>-3.5540292020662381E-3</v>
      </c>
      <c r="Z184" s="12">
        <f t="shared" si="10"/>
        <v>1.6055262739779841E-3</v>
      </c>
      <c r="AA184" s="39"/>
    </row>
    <row r="185" spans="1:27" ht="15.5">
      <c r="A185" s="8" t="s">
        <v>54</v>
      </c>
      <c r="B185" s="9">
        <v>2020</v>
      </c>
      <c r="C185" s="19">
        <v>1400.296</v>
      </c>
      <c r="D185" s="19">
        <v>5894.3109999999997</v>
      </c>
      <c r="E185" s="19">
        <v>10101.271000000001</v>
      </c>
      <c r="F185" s="19">
        <v>4653.09</v>
      </c>
      <c r="G185" s="19">
        <v>4254.585</v>
      </c>
      <c r="H185" s="10">
        <f t="shared" si="36"/>
        <v>0.13862572343618937</v>
      </c>
      <c r="I185" s="10">
        <f t="shared" si="37"/>
        <v>0.58352171721756596</v>
      </c>
      <c r="J185" s="10">
        <f t="shared" si="38"/>
        <v>1.0936648345255766</v>
      </c>
      <c r="K185" s="4">
        <f t="shared" si="39"/>
        <v>-1.6021166266608278</v>
      </c>
      <c r="L185" s="10">
        <f t="shared" si="40"/>
        <v>0.58352171721756596</v>
      </c>
      <c r="M185" s="19">
        <v>2169.0659999999998</v>
      </c>
      <c r="N185" s="19">
        <v>-584.09500000000003</v>
      </c>
      <c r="O185" s="19">
        <v>-1517.72</v>
      </c>
      <c r="P185" s="11">
        <v>2.1000000000000001E-2</v>
      </c>
      <c r="Q185" s="11">
        <v>3.6900000000000002E-2</v>
      </c>
      <c r="R185" s="12">
        <f t="shared" si="33"/>
        <v>0.21473198768748999</v>
      </c>
      <c r="S185" s="12">
        <f t="shared" si="34"/>
        <v>-5.7823911466190737E-2</v>
      </c>
      <c r="T185" s="12">
        <f t="shared" si="35"/>
        <v>-0.15025039918243951</v>
      </c>
      <c r="U185" s="12">
        <f t="shared" si="15"/>
        <v>4.5093717414372899E-3</v>
      </c>
      <c r="V185" s="12">
        <f t="shared" si="6"/>
        <v>-1.2143021407900055E-3</v>
      </c>
      <c r="W185" s="12">
        <f t="shared" si="7"/>
        <v>-3.15525838283123E-3</v>
      </c>
      <c r="X185" s="12">
        <f t="shared" si="8"/>
        <v>7.9236103456683821E-3</v>
      </c>
      <c r="Y185" s="12">
        <f t="shared" si="9"/>
        <v>-2.1337023331024383E-3</v>
      </c>
      <c r="Z185" s="12">
        <f t="shared" si="10"/>
        <v>-5.544239729832018E-3</v>
      </c>
      <c r="AA185" s="39"/>
    </row>
    <row r="186" spans="1:27" ht="15.5">
      <c r="A186" s="8" t="s">
        <v>54</v>
      </c>
      <c r="B186" s="9">
        <v>2021</v>
      </c>
      <c r="C186" s="19">
        <v>829.55700000000002</v>
      </c>
      <c r="D186" s="19">
        <v>6176.6310000000003</v>
      </c>
      <c r="E186" s="19">
        <v>10862.554</v>
      </c>
      <c r="F186" s="19">
        <v>5637.4669999999996</v>
      </c>
      <c r="G186" s="19">
        <v>5171.6980000000003</v>
      </c>
      <c r="H186" s="10">
        <f t="shared" si="36"/>
        <v>7.6368504128955308E-2</v>
      </c>
      <c r="I186" s="10">
        <f t="shared" si="37"/>
        <v>0.56861682804983071</v>
      </c>
      <c r="J186" s="10">
        <f t="shared" si="38"/>
        <v>1.0900611365938226</v>
      </c>
      <c r="K186" s="4">
        <f t="shared" si="39"/>
        <v>-1.4069025932426387</v>
      </c>
      <c r="L186" s="10">
        <f t="shared" si="40"/>
        <v>0.56861682804983071</v>
      </c>
      <c r="M186" s="19">
        <v>586.37199999999996</v>
      </c>
      <c r="N186" s="19">
        <v>-272.18700000000001</v>
      </c>
      <c r="O186" s="19">
        <v>-346.714</v>
      </c>
      <c r="P186" s="11">
        <v>2.93E-2</v>
      </c>
      <c r="Q186" s="11">
        <v>3.7100000000000001E-2</v>
      </c>
      <c r="R186" s="12">
        <f t="shared" si="33"/>
        <v>5.398104350045118E-2</v>
      </c>
      <c r="S186" s="12">
        <f t="shared" si="34"/>
        <v>-2.5057366803423946E-2</v>
      </c>
      <c r="T186" s="12">
        <f t="shared" si="35"/>
        <v>-3.1918276309604539E-2</v>
      </c>
      <c r="U186" s="12">
        <f t="shared" si="15"/>
        <v>1.5816445745632196E-3</v>
      </c>
      <c r="V186" s="12">
        <f t="shared" si="6"/>
        <v>-7.3418084734032157E-4</v>
      </c>
      <c r="W186" s="12">
        <f t="shared" si="7"/>
        <v>-9.3520549587141298E-4</v>
      </c>
      <c r="X186" s="12">
        <f t="shared" si="8"/>
        <v>2.0026967138667387E-3</v>
      </c>
      <c r="Y186" s="12">
        <f t="shared" si="9"/>
        <v>-9.2962830840702848E-4</v>
      </c>
      <c r="Z186" s="12">
        <f t="shared" si="10"/>
        <v>-1.1841680510863285E-3</v>
      </c>
      <c r="AA186" s="39"/>
    </row>
    <row r="187" spans="1:27" ht="15.5">
      <c r="A187" s="8" t="s">
        <v>55</v>
      </c>
      <c r="B187" s="9">
        <v>2017</v>
      </c>
      <c r="C187" s="19">
        <v>28.245999999999999</v>
      </c>
      <c r="D187" s="19">
        <v>366.71899999999999</v>
      </c>
      <c r="E187" s="19">
        <v>617.04200000000003</v>
      </c>
      <c r="F187" s="19">
        <v>449.49200000000002</v>
      </c>
      <c r="G187" s="19">
        <v>366.62</v>
      </c>
      <c r="H187" s="10">
        <f t="shared" si="36"/>
        <v>4.5776462542258062E-2</v>
      </c>
      <c r="I187" s="10">
        <f t="shared" si="37"/>
        <v>0.59431772877697142</v>
      </c>
      <c r="J187" s="10">
        <f t="shared" si="38"/>
        <v>1.2260433146036769</v>
      </c>
      <c r="K187" s="4">
        <f t="shared" si="39"/>
        <v>-1.1232872006698382</v>
      </c>
      <c r="L187" s="10">
        <f t="shared" si="40"/>
        <v>0.59431772877697142</v>
      </c>
      <c r="M187" s="19">
        <v>51.072000000000003</v>
      </c>
      <c r="N187" s="19">
        <v>-53.128</v>
      </c>
      <c r="O187" s="19">
        <v>29.687999999999999</v>
      </c>
      <c r="P187" s="11">
        <v>3.1699999999999999E-2</v>
      </c>
      <c r="Q187" s="11">
        <v>0.01</v>
      </c>
      <c r="R187" s="12">
        <f t="shared" si="33"/>
        <v>8.2769082169447131E-2</v>
      </c>
      <c r="S187" s="12">
        <f t="shared" si="34"/>
        <v>-8.6101108190366288E-2</v>
      </c>
      <c r="T187" s="12">
        <f t="shared" si="35"/>
        <v>4.8113418535529182E-2</v>
      </c>
      <c r="U187" s="12">
        <f t="shared" si="15"/>
        <v>2.623779904771474E-3</v>
      </c>
      <c r="V187" s="12">
        <f t="shared" si="6"/>
        <v>-2.7294051296346111E-3</v>
      </c>
      <c r="W187" s="12">
        <f t="shared" si="7"/>
        <v>1.525195367576275E-3</v>
      </c>
      <c r="X187" s="12">
        <f t="shared" si="8"/>
        <v>8.2769082169447132E-4</v>
      </c>
      <c r="Y187" s="12">
        <f t="shared" si="9"/>
        <v>-8.6101108190366285E-4</v>
      </c>
      <c r="Z187" s="12">
        <f t="shared" si="10"/>
        <v>4.811341853552918E-4</v>
      </c>
      <c r="AA187" s="39"/>
    </row>
    <row r="188" spans="1:27" ht="15.5">
      <c r="A188" s="8" t="s">
        <v>55</v>
      </c>
      <c r="B188" s="9">
        <v>2018</v>
      </c>
      <c r="C188" s="19">
        <v>21.178999999999998</v>
      </c>
      <c r="D188" s="19">
        <v>377.59100000000001</v>
      </c>
      <c r="E188" s="19">
        <v>617.39499999999998</v>
      </c>
      <c r="F188" s="19">
        <v>443.92200000000003</v>
      </c>
      <c r="G188" s="19">
        <v>377.21800000000002</v>
      </c>
      <c r="H188" s="10">
        <f t="shared" si="36"/>
        <v>3.4303808744806805E-2</v>
      </c>
      <c r="I188" s="10">
        <f t="shared" si="37"/>
        <v>0.61158739542756257</v>
      </c>
      <c r="J188" s="10">
        <f t="shared" si="38"/>
        <v>1.176831434343006</v>
      </c>
      <c r="K188" s="4">
        <f t="shared" si="39"/>
        <v>-0.97302631115189531</v>
      </c>
      <c r="L188" s="10">
        <f t="shared" si="40"/>
        <v>0.61158739542756257</v>
      </c>
      <c r="M188" s="19">
        <v>-3.9369999999999998</v>
      </c>
      <c r="N188" s="19">
        <v>-1.105</v>
      </c>
      <c r="O188" s="19">
        <v>-17.167999999999999</v>
      </c>
      <c r="P188" s="11">
        <v>3.8100000000000002E-2</v>
      </c>
      <c r="Q188" s="11">
        <v>7.0000000000000001E-3</v>
      </c>
      <c r="R188" s="12">
        <f t="shared" si="33"/>
        <v>-6.376792814972586E-3</v>
      </c>
      <c r="S188" s="12">
        <f t="shared" si="34"/>
        <v>-1.7897780189343937E-3</v>
      </c>
      <c r="T188" s="12">
        <f t="shared" si="35"/>
        <v>-2.7807157492367122E-2</v>
      </c>
      <c r="U188" s="12">
        <f t="shared" si="15"/>
        <v>-2.4295580625045553E-4</v>
      </c>
      <c r="V188" s="12">
        <f t="shared" si="6"/>
        <v>-6.8190542521400399E-5</v>
      </c>
      <c r="W188" s="12">
        <f t="shared" si="7"/>
        <v>-1.0594527004591874E-3</v>
      </c>
      <c r="X188" s="12">
        <f t="shared" si="8"/>
        <v>-4.4637549704808101E-5</v>
      </c>
      <c r="Y188" s="12">
        <f t="shared" si="9"/>
        <v>-1.2528446132540755E-5</v>
      </c>
      <c r="Z188" s="12">
        <f t="shared" si="10"/>
        <v>-1.9465010244656985E-4</v>
      </c>
      <c r="AA188" s="39"/>
    </row>
    <row r="189" spans="1:27" ht="15.5">
      <c r="A189" s="8" t="s">
        <v>55</v>
      </c>
      <c r="B189" s="9">
        <v>2019</v>
      </c>
      <c r="C189" s="19">
        <v>25.638999999999999</v>
      </c>
      <c r="D189" s="19">
        <v>476.12</v>
      </c>
      <c r="E189" s="19">
        <v>713.98400000000004</v>
      </c>
      <c r="F189" s="19">
        <v>543.58100000000002</v>
      </c>
      <c r="G189" s="19">
        <v>466.57</v>
      </c>
      <c r="H189" s="10">
        <f t="shared" si="36"/>
        <v>3.5909768286124057E-2</v>
      </c>
      <c r="I189" s="10">
        <f t="shared" si="37"/>
        <v>0.66684967730369304</v>
      </c>
      <c r="J189" s="10">
        <f t="shared" si="38"/>
        <v>1.1650577619649785</v>
      </c>
      <c r="K189" s="4">
        <f t="shared" si="39"/>
        <v>-0.66521102770436757</v>
      </c>
      <c r="L189" s="10">
        <f t="shared" si="40"/>
        <v>0.66684967730369304</v>
      </c>
      <c r="M189" s="19">
        <v>-79.278000000000006</v>
      </c>
      <c r="N189" s="19">
        <v>-27.838999999999999</v>
      </c>
      <c r="O189" s="19">
        <v>92.942999999999998</v>
      </c>
      <c r="P189" s="11">
        <v>3.6299999999999999E-2</v>
      </c>
      <c r="Q189" s="11">
        <v>8.4000000000000005E-2</v>
      </c>
      <c r="R189" s="12">
        <f t="shared" si="33"/>
        <v>-0.11103610164933668</v>
      </c>
      <c r="S189" s="12">
        <f t="shared" si="34"/>
        <v>-3.8991069827895297E-2</v>
      </c>
      <c r="T189" s="12">
        <f t="shared" si="35"/>
        <v>0.13017518599856578</v>
      </c>
      <c r="U189" s="12">
        <f t="shared" si="15"/>
        <v>-4.0306104898709212E-3</v>
      </c>
      <c r="V189" s="12">
        <f t="shared" si="6"/>
        <v>-1.4153758347525993E-3</v>
      </c>
      <c r="W189" s="12">
        <f t="shared" si="7"/>
        <v>4.7253592517479378E-3</v>
      </c>
      <c r="X189" s="12">
        <f t="shared" si="8"/>
        <v>-9.3270325385442811E-3</v>
      </c>
      <c r="Y189" s="12">
        <f t="shared" si="9"/>
        <v>-3.2752498655432053E-3</v>
      </c>
      <c r="Z189" s="12">
        <f t="shared" si="10"/>
        <v>1.0934715623879527E-2</v>
      </c>
      <c r="AA189" s="39"/>
    </row>
    <row r="190" spans="1:27" ht="15.5">
      <c r="A190" s="8" t="s">
        <v>55</v>
      </c>
      <c r="B190" s="9">
        <v>2020</v>
      </c>
      <c r="C190" s="19">
        <v>14.262</v>
      </c>
      <c r="D190" s="19">
        <v>650.38</v>
      </c>
      <c r="E190" s="19">
        <v>897.60599999999999</v>
      </c>
      <c r="F190" s="19">
        <v>701.63800000000003</v>
      </c>
      <c r="G190" s="19">
        <v>628.41800000000001</v>
      </c>
      <c r="H190" s="10">
        <f t="shared" si="36"/>
        <v>1.5888931223721769E-2</v>
      </c>
      <c r="I190" s="10">
        <f t="shared" si="37"/>
        <v>0.72457180544693334</v>
      </c>
      <c r="J190" s="10">
        <f t="shared" si="38"/>
        <v>1.1165148038407557</v>
      </c>
      <c r="K190" s="4">
        <f t="shared" si="39"/>
        <v>-0.24590695867459</v>
      </c>
      <c r="L190" s="10">
        <f t="shared" si="40"/>
        <v>0.72457180544693334</v>
      </c>
      <c r="M190" s="19">
        <v>-93.314999999999998</v>
      </c>
      <c r="N190" s="19">
        <v>-4.9000000000000004</v>
      </c>
      <c r="O190" s="19">
        <v>98.1</v>
      </c>
      <c r="P190" s="11">
        <v>3.5799999999999998E-2</v>
      </c>
      <c r="Q190" s="11">
        <v>8.1799999999999998E-2</v>
      </c>
      <c r="R190" s="12">
        <f t="shared" si="33"/>
        <v>-0.10395986657843197</v>
      </c>
      <c r="S190" s="12">
        <f t="shared" si="34"/>
        <v>-5.4589652921214881E-3</v>
      </c>
      <c r="T190" s="12">
        <f t="shared" si="35"/>
        <v>0.109290713297371</v>
      </c>
      <c r="U190" s="12">
        <f t="shared" si="15"/>
        <v>-3.7217632235078645E-3</v>
      </c>
      <c r="V190" s="12">
        <f t="shared" si="6"/>
        <v>-1.9543095745794926E-4</v>
      </c>
      <c r="W190" s="12">
        <f t="shared" si="7"/>
        <v>3.9126075360458815E-3</v>
      </c>
      <c r="X190" s="12">
        <f t="shared" si="8"/>
        <v>-8.5039170861157341E-3</v>
      </c>
      <c r="Y190" s="12">
        <f t="shared" si="9"/>
        <v>-4.4654336089553772E-4</v>
      </c>
      <c r="Z190" s="12">
        <f t="shared" si="10"/>
        <v>8.9399803477249479E-3</v>
      </c>
      <c r="AA190" s="39"/>
    </row>
    <row r="191" spans="1:27" ht="15.5">
      <c r="A191" s="8" t="s">
        <v>55</v>
      </c>
      <c r="B191" s="9">
        <v>2021</v>
      </c>
      <c r="C191" s="19">
        <v>12.744999999999999</v>
      </c>
      <c r="D191" s="19">
        <v>587.43499999999995</v>
      </c>
      <c r="E191" s="19">
        <v>786.99099999999999</v>
      </c>
      <c r="F191" s="19">
        <v>613.423</v>
      </c>
      <c r="G191" s="19">
        <v>568.54</v>
      </c>
      <c r="H191" s="10">
        <f t="shared" si="36"/>
        <v>1.6194594347330529E-2</v>
      </c>
      <c r="I191" s="10">
        <f t="shared" si="37"/>
        <v>0.74643166186144438</v>
      </c>
      <c r="J191" s="10">
        <f t="shared" si="38"/>
        <v>1.0789443135047667</v>
      </c>
      <c r="K191" s="4">
        <f t="shared" si="39"/>
        <v>-0.12253097920677332</v>
      </c>
      <c r="L191" s="10">
        <f t="shared" si="40"/>
        <v>0.74643166186144438</v>
      </c>
      <c r="M191" s="19">
        <v>-37.582000000000001</v>
      </c>
      <c r="N191" s="19">
        <v>77.194000000000003</v>
      </c>
      <c r="O191" s="19">
        <v>-52.343000000000004</v>
      </c>
      <c r="P191" s="11">
        <v>2.8000000000000001E-2</v>
      </c>
      <c r="Q191" s="11">
        <v>0.20050000000000001</v>
      </c>
      <c r="R191" s="12">
        <f t="shared" si="33"/>
        <v>-4.7754040389280182E-2</v>
      </c>
      <c r="S191" s="12">
        <f t="shared" si="34"/>
        <v>9.808752577856672E-2</v>
      </c>
      <c r="T191" s="12">
        <f t="shared" si="35"/>
        <v>-6.6510290460754962E-2</v>
      </c>
      <c r="U191" s="12">
        <f t="shared" si="15"/>
        <v>-1.3371131308998452E-3</v>
      </c>
      <c r="V191" s="12">
        <f t="shared" si="6"/>
        <v>2.7464507217998682E-3</v>
      </c>
      <c r="W191" s="12">
        <f t="shared" si="7"/>
        <v>-1.862288132901139E-3</v>
      </c>
      <c r="X191" s="12">
        <f t="shared" si="8"/>
        <v>-9.5746850980506764E-3</v>
      </c>
      <c r="Y191" s="12">
        <f t="shared" si="9"/>
        <v>1.9666548918602627E-2</v>
      </c>
      <c r="Z191" s="12">
        <f t="shared" si="10"/>
        <v>-1.3335313237381371E-2</v>
      </c>
      <c r="AA191" s="39"/>
    </row>
    <row r="192" spans="1:27" ht="15.5">
      <c r="A192" s="8" t="s">
        <v>56</v>
      </c>
      <c r="B192" s="9">
        <v>2017</v>
      </c>
      <c r="C192" s="19">
        <v>7.0270000000000001</v>
      </c>
      <c r="D192" s="19">
        <v>256.25700000000001</v>
      </c>
      <c r="E192" s="19">
        <v>344.93299999999999</v>
      </c>
      <c r="F192" s="19">
        <v>326.46800000000002</v>
      </c>
      <c r="G192" s="19">
        <v>230.31100000000001</v>
      </c>
      <c r="H192" s="10">
        <f t="shared" si="36"/>
        <v>2.0372072257510879E-2</v>
      </c>
      <c r="I192" s="10">
        <f t="shared" si="37"/>
        <v>0.74291818990934477</v>
      </c>
      <c r="J192" s="10">
        <f t="shared" si="38"/>
        <v>1.4175093677679311</v>
      </c>
      <c r="K192" s="4">
        <f t="shared" si="39"/>
        <v>-0.16271068014660525</v>
      </c>
      <c r="L192" s="10">
        <f t="shared" si="40"/>
        <v>0.74291818990934477</v>
      </c>
      <c r="M192" s="19">
        <v>-17.010999999999999</v>
      </c>
      <c r="N192" s="19">
        <v>-6.3540000000000001</v>
      </c>
      <c r="O192" s="19">
        <v>27.952000000000002</v>
      </c>
      <c r="P192" s="11">
        <v>3.0000000000000001E-3</v>
      </c>
      <c r="Q192" s="11">
        <v>9.4700000000000006E-2</v>
      </c>
      <c r="R192" s="12">
        <f t="shared" si="33"/>
        <v>-4.9316823846949985E-2</v>
      </c>
      <c r="S192" s="12">
        <f t="shared" si="34"/>
        <v>-1.8420968709865395E-2</v>
      </c>
      <c r="T192" s="12">
        <f t="shared" si="35"/>
        <v>8.1036027286458534E-2</v>
      </c>
      <c r="U192" s="12">
        <f t="shared" si="15"/>
        <v>-1.4795047154084995E-4</v>
      </c>
      <c r="V192" s="12">
        <f t="shared" si="6"/>
        <v>-5.5262906129596189E-5</v>
      </c>
      <c r="W192" s="12">
        <f t="shared" si="7"/>
        <v>2.4310808185937561E-4</v>
      </c>
      <c r="X192" s="12">
        <f t="shared" si="8"/>
        <v>-4.6703032183061637E-3</v>
      </c>
      <c r="Y192" s="12">
        <f t="shared" si="9"/>
        <v>-1.744465736824253E-3</v>
      </c>
      <c r="Z192" s="12">
        <f t="shared" si="10"/>
        <v>7.674111784027624E-3</v>
      </c>
      <c r="AA192" s="39"/>
    </row>
    <row r="193" spans="1:27" ht="15.5">
      <c r="A193" s="8" t="s">
        <v>56</v>
      </c>
      <c r="B193" s="9">
        <v>2018</v>
      </c>
      <c r="C193" s="19">
        <v>13.811999999999999</v>
      </c>
      <c r="D193" s="19">
        <v>204.589</v>
      </c>
      <c r="E193" s="19">
        <v>348.97800000000001</v>
      </c>
      <c r="F193" s="19">
        <v>314.07900000000001</v>
      </c>
      <c r="G193" s="19">
        <v>188.197</v>
      </c>
      <c r="H193" s="10">
        <f t="shared" si="36"/>
        <v>3.9578426147206983E-2</v>
      </c>
      <c r="I193" s="10">
        <f t="shared" si="37"/>
        <v>0.58625185541781999</v>
      </c>
      <c r="J193" s="10">
        <f t="shared" si="38"/>
        <v>1.6688842011296674</v>
      </c>
      <c r="K193" s="4">
        <f t="shared" si="39"/>
        <v>-1.1431428785853757</v>
      </c>
      <c r="L193" s="10">
        <f t="shared" si="40"/>
        <v>0.58625185541781999</v>
      </c>
      <c r="M193" s="19">
        <v>27.879000000000001</v>
      </c>
      <c r="N193" s="19">
        <v>-14.353999999999999</v>
      </c>
      <c r="O193" s="19">
        <v>-11.461</v>
      </c>
      <c r="P193" s="11">
        <v>1.2999999999999999E-3</v>
      </c>
      <c r="Q193" s="11">
        <v>3.5700000000000003E-2</v>
      </c>
      <c r="R193" s="12">
        <f t="shared" si="33"/>
        <v>7.9887557381840696E-2</v>
      </c>
      <c r="S193" s="12">
        <f t="shared" si="34"/>
        <v>-4.1131532646757098E-2</v>
      </c>
      <c r="T193" s="12">
        <f t="shared" si="35"/>
        <v>-3.2841611792147354E-2</v>
      </c>
      <c r="U193" s="12">
        <f t="shared" si="15"/>
        <v>1.038538245963929E-4</v>
      </c>
      <c r="V193" s="12">
        <f t="shared" si="6"/>
        <v>-5.3470992440784224E-5</v>
      </c>
      <c r="W193" s="12">
        <f t="shared" si="7"/>
        <v>-4.2694095329791561E-5</v>
      </c>
      <c r="X193" s="12">
        <f t="shared" si="8"/>
        <v>2.851985798531713E-3</v>
      </c>
      <c r="Y193" s="12">
        <f t="shared" si="9"/>
        <v>-1.4683957154892286E-3</v>
      </c>
      <c r="Z193" s="12">
        <f t="shared" si="10"/>
        <v>-1.1724455409796606E-3</v>
      </c>
      <c r="AA193" s="39"/>
    </row>
    <row r="194" spans="1:27" ht="15.5">
      <c r="A194" s="8" t="s">
        <v>56</v>
      </c>
      <c r="B194" s="9">
        <v>2019</v>
      </c>
      <c r="C194" s="19">
        <v>25.632999999999999</v>
      </c>
      <c r="D194" s="19">
        <v>321.46300000000002</v>
      </c>
      <c r="E194" s="19">
        <v>659.20600000000002</v>
      </c>
      <c r="F194" s="19">
        <v>533.98199999999997</v>
      </c>
      <c r="G194" s="19">
        <v>305.42700000000002</v>
      </c>
      <c r="H194" s="10">
        <f t="shared" si="36"/>
        <v>3.8884658210028428E-2</v>
      </c>
      <c r="I194" s="10">
        <f t="shared" si="37"/>
        <v>0.48765181142161934</v>
      </c>
      <c r="J194" s="10">
        <f t="shared" si="38"/>
        <v>1.7483130175131862</v>
      </c>
      <c r="K194" s="4">
        <f t="shared" si="39"/>
        <v>-1.7023588889119499</v>
      </c>
      <c r="L194" s="10">
        <f t="shared" si="40"/>
        <v>0.48765181142161934</v>
      </c>
      <c r="M194" s="19">
        <v>-189.13399999999999</v>
      </c>
      <c r="N194" s="19">
        <v>-3.6150000000000002</v>
      </c>
      <c r="O194" s="19">
        <v>208.708</v>
      </c>
      <c r="P194" s="11">
        <v>8.0000000000000004E-4</v>
      </c>
      <c r="Q194" s="11">
        <v>1.8200000000000001E-2</v>
      </c>
      <c r="R194" s="12">
        <f t="shared" ref="R194:R257" si="41">M194/E194</f>
        <v>-0.28691183029280676</v>
      </c>
      <c r="S194" s="12">
        <f t="shared" ref="S194:S257" si="42">N194/E194</f>
        <v>-5.4838699890474296E-3</v>
      </c>
      <c r="T194" s="12">
        <f t="shared" ref="T194:T257" si="43">O194/E194</f>
        <v>0.31660512798730595</v>
      </c>
      <c r="U194" s="12">
        <f t="shared" si="15"/>
        <v>-2.2952946423424541E-4</v>
      </c>
      <c r="V194" s="12">
        <f t="shared" si="6"/>
        <v>-4.3870959912379437E-6</v>
      </c>
      <c r="W194" s="12">
        <f t="shared" si="7"/>
        <v>2.5328410238984475E-4</v>
      </c>
      <c r="X194" s="12">
        <f t="shared" si="8"/>
        <v>-5.2217953113290836E-3</v>
      </c>
      <c r="Y194" s="12">
        <f t="shared" si="9"/>
        <v>-9.9806433800663224E-5</v>
      </c>
      <c r="Z194" s="12">
        <f t="shared" si="10"/>
        <v>5.7622133293689683E-3</v>
      </c>
      <c r="AA194" s="39"/>
    </row>
    <row r="195" spans="1:27" ht="15.5">
      <c r="A195" s="8" t="s">
        <v>56</v>
      </c>
      <c r="B195" s="9">
        <v>2020</v>
      </c>
      <c r="C195" s="19">
        <v>32.216999999999999</v>
      </c>
      <c r="D195" s="19">
        <v>252.84299999999999</v>
      </c>
      <c r="E195" s="19">
        <v>622.33299999999997</v>
      </c>
      <c r="F195" s="19">
        <v>511.57799999999997</v>
      </c>
      <c r="G195" s="19">
        <v>244.92099999999999</v>
      </c>
      <c r="H195" s="10">
        <f t="shared" ref="H195:H258" si="44">C195/E195</f>
        <v>5.1768104857045985E-2</v>
      </c>
      <c r="I195" s="10">
        <f t="shared" ref="I195:I258" si="45">D195/E195</f>
        <v>0.40628248863550542</v>
      </c>
      <c r="J195" s="10">
        <f t="shared" ref="J195:J258" si="46">F195/G195</f>
        <v>2.0887469837212813</v>
      </c>
      <c r="K195" s="4">
        <f t="shared" si="39"/>
        <v>-2.2255012745692113</v>
      </c>
      <c r="L195" s="10">
        <f t="shared" si="40"/>
        <v>0.40628248863550542</v>
      </c>
      <c r="M195" s="19">
        <v>42.427</v>
      </c>
      <c r="N195" s="19">
        <v>8.6940000000000008</v>
      </c>
      <c r="O195" s="19">
        <v>-36.552</v>
      </c>
      <c r="P195" s="11">
        <v>2.3999999999999998E-3</v>
      </c>
      <c r="Q195" s="11">
        <v>1.9199999999999998E-2</v>
      </c>
      <c r="R195" s="12">
        <f t="shared" si="41"/>
        <v>6.8174112573172241E-2</v>
      </c>
      <c r="S195" s="12">
        <f t="shared" si="42"/>
        <v>1.3970012838785668E-2</v>
      </c>
      <c r="T195" s="12">
        <f t="shared" si="43"/>
        <v>-5.873382899508784E-2</v>
      </c>
      <c r="U195" s="12">
        <f t="shared" si="15"/>
        <v>1.6361787017561336E-4</v>
      </c>
      <c r="V195" s="12">
        <f t="shared" si="6"/>
        <v>3.3528030813085598E-5</v>
      </c>
      <c r="W195" s="12">
        <f t="shared" si="7"/>
        <v>-1.4096118958821079E-4</v>
      </c>
      <c r="X195" s="12">
        <f t="shared" si="8"/>
        <v>1.3089429614049069E-3</v>
      </c>
      <c r="Y195" s="12">
        <f t="shared" si="9"/>
        <v>2.6822424650468479E-4</v>
      </c>
      <c r="Z195" s="12">
        <f t="shared" si="10"/>
        <v>-1.1276895167056863E-3</v>
      </c>
      <c r="AA195" s="39"/>
    </row>
    <row r="196" spans="1:27" ht="15.5">
      <c r="A196" s="8" t="s">
        <v>56</v>
      </c>
      <c r="B196" s="9">
        <v>2021</v>
      </c>
      <c r="C196" s="19">
        <v>42.466000000000001</v>
      </c>
      <c r="D196" s="19">
        <v>379.73099999999999</v>
      </c>
      <c r="E196" s="19">
        <v>981.69299999999998</v>
      </c>
      <c r="F196" s="19">
        <v>885.27200000000005</v>
      </c>
      <c r="G196" s="19">
        <v>367.88799999999998</v>
      </c>
      <c r="H196" s="10">
        <f t="shared" si="44"/>
        <v>4.3257922792563464E-2</v>
      </c>
      <c r="I196" s="10">
        <f t="shared" si="45"/>
        <v>0.38681237413325753</v>
      </c>
      <c r="J196" s="10">
        <f t="shared" si="46"/>
        <v>2.4063628060714133</v>
      </c>
      <c r="K196" s="4">
        <f t="shared" si="39"/>
        <v>-2.2994555712312534</v>
      </c>
      <c r="L196" s="10">
        <f t="shared" si="40"/>
        <v>0.38681237413325753</v>
      </c>
      <c r="M196" s="19">
        <v>-150.65799999999999</v>
      </c>
      <c r="N196" s="19">
        <v>-813</v>
      </c>
      <c r="O196" s="19">
        <v>301.08800000000002</v>
      </c>
      <c r="P196" s="11">
        <v>1.5E-3</v>
      </c>
      <c r="Q196" s="11">
        <v>1.38E-2</v>
      </c>
      <c r="R196" s="12">
        <f t="shared" si="41"/>
        <v>-0.15346753007304725</v>
      </c>
      <c r="S196" s="12">
        <f t="shared" si="42"/>
        <v>-0.82816114610168357</v>
      </c>
      <c r="T196" s="12">
        <f t="shared" si="43"/>
        <v>0.3067028083117635</v>
      </c>
      <c r="U196" s="12">
        <f t="shared" si="15"/>
        <v>-2.302012951095709E-4</v>
      </c>
      <c r="V196" s="12">
        <f t="shared" si="6"/>
        <v>-1.2422417191525253E-3</v>
      </c>
      <c r="W196" s="12">
        <f t="shared" si="7"/>
        <v>4.6005421246764525E-4</v>
      </c>
      <c r="X196" s="12">
        <f t="shared" si="8"/>
        <v>-2.117851915008052E-3</v>
      </c>
      <c r="Y196" s="12">
        <f t="shared" si="9"/>
        <v>-1.1428623816203232E-2</v>
      </c>
      <c r="Z196" s="12">
        <f t="shared" si="10"/>
        <v>4.2324987547023366E-3</v>
      </c>
      <c r="AA196" s="39"/>
    </row>
    <row r="197" spans="1:27" ht="13">
      <c r="A197" s="8" t="s">
        <v>57</v>
      </c>
      <c r="B197" s="9">
        <v>2017</v>
      </c>
      <c r="C197" s="10">
        <v>74.88</v>
      </c>
      <c r="D197" s="10">
        <v>429.39</v>
      </c>
      <c r="E197" s="10">
        <v>1221.1600000000001</v>
      </c>
      <c r="F197" s="10">
        <v>734.84</v>
      </c>
      <c r="G197" s="10">
        <v>268.55</v>
      </c>
      <c r="H197" s="10">
        <f t="shared" si="44"/>
        <v>6.1318746110255812E-2</v>
      </c>
      <c r="I197" s="10">
        <f t="shared" si="45"/>
        <v>0.35162468472599817</v>
      </c>
      <c r="J197" s="10">
        <f t="shared" si="46"/>
        <v>2.7363247067585181</v>
      </c>
      <c r="K197" s="4">
        <f t="shared" si="39"/>
        <v>-2.5826189533849955</v>
      </c>
      <c r="L197" s="10">
        <f t="shared" si="40"/>
        <v>0.35162468472599817</v>
      </c>
      <c r="M197" s="10">
        <v>49.81</v>
      </c>
      <c r="N197" s="10">
        <v>-271.18</v>
      </c>
      <c r="O197" s="10">
        <v>230.18</v>
      </c>
      <c r="P197" s="11">
        <v>2.9399999999999999E-2</v>
      </c>
      <c r="Q197" s="11">
        <f>ROUND((21300+21300+24504+5200)/56832824,6)%</f>
        <v>1.2719999999999998E-5</v>
      </c>
      <c r="R197" s="12">
        <f t="shared" si="41"/>
        <v>4.078908578728422E-2</v>
      </c>
      <c r="S197" s="12">
        <f t="shared" si="42"/>
        <v>-0.22206754233679452</v>
      </c>
      <c r="T197" s="12">
        <f t="shared" si="43"/>
        <v>0.18849290838219399</v>
      </c>
      <c r="U197" s="12">
        <f t="shared" si="15"/>
        <v>1.199199122146156E-3</v>
      </c>
      <c r="V197" s="12">
        <f t="shared" si="6"/>
        <v>-6.5287857447017582E-3</v>
      </c>
      <c r="W197" s="12">
        <f t="shared" si="7"/>
        <v>5.5416915064365026E-3</v>
      </c>
      <c r="X197" s="12">
        <f t="shared" si="8"/>
        <v>5.1883717121425525E-7</v>
      </c>
      <c r="Y197" s="12">
        <f t="shared" si="9"/>
        <v>-2.8246991385240257E-6</v>
      </c>
      <c r="Z197" s="12">
        <f t="shared" si="10"/>
        <v>2.397629794621507E-6</v>
      </c>
    </row>
    <row r="198" spans="1:27" ht="13">
      <c r="A198" s="8" t="s">
        <v>57</v>
      </c>
      <c r="B198" s="9">
        <v>2018</v>
      </c>
      <c r="C198" s="10">
        <v>12.7</v>
      </c>
      <c r="D198" s="10">
        <v>925.8</v>
      </c>
      <c r="E198" s="10">
        <v>1730.93</v>
      </c>
      <c r="F198" s="10">
        <v>1246.52</v>
      </c>
      <c r="G198" s="10">
        <v>341.62</v>
      </c>
      <c r="H198" s="10">
        <f t="shared" si="44"/>
        <v>7.3370962430600881E-3</v>
      </c>
      <c r="I198" s="10">
        <f t="shared" si="45"/>
        <v>0.53485698439567164</v>
      </c>
      <c r="J198" s="10">
        <f t="shared" si="46"/>
        <v>3.6488495989696155</v>
      </c>
      <c r="K198" s="4">
        <f t="shared" si="39"/>
        <v>-1.29892752043432</v>
      </c>
      <c r="L198" s="10">
        <f t="shared" si="40"/>
        <v>0.53485698439567164</v>
      </c>
      <c r="M198" s="10">
        <v>-63.28</v>
      </c>
      <c r="N198" s="10">
        <v>-463.57</v>
      </c>
      <c r="O198" s="10">
        <v>529.54</v>
      </c>
      <c r="P198" s="11">
        <v>2.9399999999999999E-2</v>
      </c>
      <c r="Q198" s="11">
        <f>ROUND((21300+24504+5200)/56832824,6)%</f>
        <v>8.9700000000000005E-6</v>
      </c>
      <c r="R198" s="12">
        <f t="shared" si="41"/>
        <v>-3.6558381910302556E-2</v>
      </c>
      <c r="S198" s="12">
        <f t="shared" si="42"/>
        <v>-0.26781556735396578</v>
      </c>
      <c r="T198" s="12">
        <f t="shared" si="43"/>
        <v>0.30592802712992434</v>
      </c>
      <c r="U198" s="12">
        <f t="shared" si="15"/>
        <v>-1.074816428162895E-3</v>
      </c>
      <c r="V198" s="12">
        <f t="shared" si="6"/>
        <v>-7.8737776802065944E-3</v>
      </c>
      <c r="W198" s="12">
        <f t="shared" si="7"/>
        <v>8.9942839976197755E-3</v>
      </c>
      <c r="X198" s="12">
        <f t="shared" si="8"/>
        <v>-3.2792868573541396E-7</v>
      </c>
      <c r="Y198" s="12">
        <f t="shared" si="9"/>
        <v>-2.4023056391650733E-6</v>
      </c>
      <c r="Z198" s="12">
        <f t="shared" si="10"/>
        <v>2.7441744033554213E-6</v>
      </c>
    </row>
    <row r="199" spans="1:27" ht="13">
      <c r="A199" s="8" t="s">
        <v>57</v>
      </c>
      <c r="B199" s="9">
        <v>2019</v>
      </c>
      <c r="C199" s="10">
        <v>87</v>
      </c>
      <c r="D199" s="10">
        <v>828.05</v>
      </c>
      <c r="E199" s="10">
        <v>1712.47</v>
      </c>
      <c r="F199" s="10">
        <v>1376.62</v>
      </c>
      <c r="G199" s="10">
        <v>326.64999999999998</v>
      </c>
      <c r="H199" s="10">
        <f t="shared" si="44"/>
        <v>5.0803809701775796E-2</v>
      </c>
      <c r="I199" s="10">
        <f t="shared" si="45"/>
        <v>0.48354131751213159</v>
      </c>
      <c r="J199" s="10">
        <f t="shared" si="46"/>
        <v>4.2143578754018058</v>
      </c>
      <c r="K199" s="4">
        <f t="shared" si="39"/>
        <v>-1.7892890653404478</v>
      </c>
      <c r="L199" s="10">
        <f t="shared" si="40"/>
        <v>0.48354131751213159</v>
      </c>
      <c r="M199" s="10">
        <v>75.58</v>
      </c>
      <c r="N199" s="10">
        <v>18.46</v>
      </c>
      <c r="O199" s="10">
        <v>-102.13</v>
      </c>
      <c r="P199" s="11">
        <v>3.2199999999999999E-2</v>
      </c>
      <c r="Q199" s="11">
        <f t="shared" ref="Q199:Q200" si="47">ROUND((10054)*100/56832824,6)%</f>
        <v>1.7690000000000002E-4</v>
      </c>
      <c r="R199" s="12">
        <f t="shared" si="41"/>
        <v>4.4135079738623156E-2</v>
      </c>
      <c r="S199" s="12">
        <f t="shared" si="42"/>
        <v>1.077975088614691E-2</v>
      </c>
      <c r="T199" s="12">
        <f t="shared" si="43"/>
        <v>-5.9639000975199565E-2</v>
      </c>
      <c r="U199" s="12">
        <f t="shared" si="15"/>
        <v>1.4211495675836656E-3</v>
      </c>
      <c r="V199" s="12">
        <f t="shared" si="6"/>
        <v>3.4710797853393052E-4</v>
      </c>
      <c r="W199" s="12">
        <f t="shared" si="7"/>
        <v>-1.920375831401426E-3</v>
      </c>
      <c r="X199" s="12">
        <f t="shared" si="8"/>
        <v>7.8074956057624366E-6</v>
      </c>
      <c r="Y199" s="12">
        <f t="shared" si="9"/>
        <v>1.9069379317593887E-6</v>
      </c>
      <c r="Z199" s="12">
        <f t="shared" si="10"/>
        <v>-1.0550139272512804E-5</v>
      </c>
    </row>
    <row r="200" spans="1:27" ht="13">
      <c r="A200" s="8" t="s">
        <v>57</v>
      </c>
      <c r="B200" s="9">
        <v>2020</v>
      </c>
      <c r="C200" s="10">
        <v>68.930000000000007</v>
      </c>
      <c r="D200" s="10">
        <v>829.41</v>
      </c>
      <c r="E200" s="10">
        <v>1800.41</v>
      </c>
      <c r="F200" s="10">
        <v>1442.22</v>
      </c>
      <c r="G200" s="10">
        <v>343.58</v>
      </c>
      <c r="H200" s="10">
        <f t="shared" si="44"/>
        <v>3.8285723807354996E-2</v>
      </c>
      <c r="I200" s="10">
        <f t="shared" si="45"/>
        <v>0.46067840103087626</v>
      </c>
      <c r="J200" s="10">
        <f t="shared" si="46"/>
        <v>4.1976250072763257</v>
      </c>
      <c r="K200" s="4">
        <f t="shared" si="39"/>
        <v>-1.8632093712862077</v>
      </c>
      <c r="L200" s="10">
        <f t="shared" si="40"/>
        <v>0.46067840103087626</v>
      </c>
      <c r="M200" s="10">
        <v>93.37</v>
      </c>
      <c r="N200" s="10">
        <v>-66.540000000000006</v>
      </c>
      <c r="O200" s="10">
        <v>0.55000000000000004</v>
      </c>
      <c r="P200" s="11">
        <v>2.53E-2</v>
      </c>
      <c r="Q200" s="11">
        <f t="shared" si="47"/>
        <v>1.7690000000000002E-4</v>
      </c>
      <c r="R200" s="12">
        <f t="shared" si="41"/>
        <v>5.1860409573374955E-2</v>
      </c>
      <c r="S200" s="12">
        <f t="shared" si="42"/>
        <v>-3.6958248398975789E-2</v>
      </c>
      <c r="T200" s="12">
        <f t="shared" si="43"/>
        <v>3.0548597263956544E-4</v>
      </c>
      <c r="U200" s="12">
        <f t="shared" si="15"/>
        <v>1.3120683622063864E-3</v>
      </c>
      <c r="V200" s="12">
        <f t="shared" si="6"/>
        <v>-9.3504368449408748E-4</v>
      </c>
      <c r="W200" s="12">
        <f t="shared" si="7"/>
        <v>7.7287951077810048E-6</v>
      </c>
      <c r="X200" s="12">
        <f t="shared" si="8"/>
        <v>9.1741064535300296E-6</v>
      </c>
      <c r="Y200" s="12">
        <f t="shared" si="9"/>
        <v>-6.5379141417788181E-6</v>
      </c>
      <c r="Z200" s="12">
        <f t="shared" si="10"/>
        <v>5.4040468559939133E-8</v>
      </c>
    </row>
    <row r="201" spans="1:27" ht="13">
      <c r="A201" s="8" t="s">
        <v>57</v>
      </c>
      <c r="B201" s="9">
        <v>2021</v>
      </c>
      <c r="C201" s="10">
        <v>87.76</v>
      </c>
      <c r="D201" s="10">
        <v>759.36</v>
      </c>
      <c r="E201" s="10">
        <v>1781.03</v>
      </c>
      <c r="F201" s="10">
        <v>1261.1600000000001</v>
      </c>
      <c r="G201" s="10">
        <v>652.79999999999995</v>
      </c>
      <c r="H201" s="10">
        <f t="shared" si="44"/>
        <v>4.9274857806999327E-2</v>
      </c>
      <c r="I201" s="10">
        <f t="shared" si="45"/>
        <v>0.42636002762446451</v>
      </c>
      <c r="J201" s="10">
        <f t="shared" si="46"/>
        <v>1.9319240196078433</v>
      </c>
      <c r="K201" s="4">
        <f t="shared" si="39"/>
        <v>-2.0992123987504798</v>
      </c>
      <c r="L201" s="10">
        <f t="shared" si="40"/>
        <v>0.42636002762446451</v>
      </c>
      <c r="M201" s="10">
        <v>38.06</v>
      </c>
      <c r="N201" s="10">
        <v>215.77</v>
      </c>
      <c r="O201" s="10">
        <v>-254.45</v>
      </c>
      <c r="P201" s="11">
        <v>2.4400000000000002E-2</v>
      </c>
      <c r="Q201" s="11">
        <v>1.7000000000000001E-4</v>
      </c>
      <c r="R201" s="12">
        <f t="shared" si="41"/>
        <v>2.1369656883937948E-2</v>
      </c>
      <c r="S201" s="12">
        <f t="shared" si="42"/>
        <v>0.1211489980516892</v>
      </c>
      <c r="T201" s="12">
        <f t="shared" si="43"/>
        <v>-0.14286676810609591</v>
      </c>
      <c r="U201" s="12">
        <f t="shared" si="15"/>
        <v>5.2141962796808591E-4</v>
      </c>
      <c r="V201" s="12">
        <f t="shared" si="6"/>
        <v>2.9560355524612166E-3</v>
      </c>
      <c r="W201" s="12">
        <f t="shared" si="7"/>
        <v>-3.4859491417887404E-3</v>
      </c>
      <c r="X201" s="12">
        <f t="shared" si="8"/>
        <v>3.6328416702694513E-6</v>
      </c>
      <c r="Y201" s="12">
        <f t="shared" si="9"/>
        <v>2.0595329668787164E-5</v>
      </c>
      <c r="Z201" s="12">
        <f t="shared" si="10"/>
        <v>-2.4287350578036307E-5</v>
      </c>
    </row>
    <row r="202" spans="1:27" ht="13">
      <c r="A202" s="8" t="s">
        <v>58</v>
      </c>
      <c r="B202" s="9">
        <v>2017</v>
      </c>
      <c r="C202" s="10">
        <v>641.38</v>
      </c>
      <c r="D202" s="10">
        <v>6302.64</v>
      </c>
      <c r="E202" s="10">
        <v>12456.16</v>
      </c>
      <c r="F202" s="10">
        <v>4838.71</v>
      </c>
      <c r="G202" s="10">
        <v>2525.33</v>
      </c>
      <c r="H202" s="10">
        <f t="shared" si="44"/>
        <v>5.1490989197312813E-2</v>
      </c>
      <c r="I202" s="10">
        <f t="shared" si="45"/>
        <v>0.50598579337452321</v>
      </c>
      <c r="J202" s="10">
        <f t="shared" si="46"/>
        <v>1.9160703749608963</v>
      </c>
      <c r="K202" s="4">
        <f t="shared" si="39"/>
        <v>-1.6552547106529687</v>
      </c>
      <c r="L202" s="10">
        <f t="shared" si="40"/>
        <v>0.50598579337452321</v>
      </c>
      <c r="M202" s="10">
        <v>226.62</v>
      </c>
      <c r="N202" s="10">
        <v>234.16</v>
      </c>
      <c r="O202" s="10">
        <v>-1417.76</v>
      </c>
      <c r="P202" s="11">
        <v>2.9499999999999998E-2</v>
      </c>
      <c r="Q202" s="11">
        <f>(0.00153+0.000548+0.000302+(0.009822+0.010011+0.005667+0.000302))%</f>
        <v>2.8182000000000001E-4</v>
      </c>
      <c r="R202" s="12">
        <f t="shared" si="41"/>
        <v>1.8193407920257931E-2</v>
      </c>
      <c r="S202" s="12">
        <f t="shared" si="42"/>
        <v>1.8798730909044201E-2</v>
      </c>
      <c r="T202" s="12">
        <f t="shared" si="43"/>
        <v>-0.11381998946705887</v>
      </c>
      <c r="U202" s="12">
        <f t="shared" si="15"/>
        <v>5.3670553364760891E-4</v>
      </c>
      <c r="V202" s="12">
        <f t="shared" si="6"/>
        <v>5.5456256181680389E-4</v>
      </c>
      <c r="W202" s="12">
        <f t="shared" si="7"/>
        <v>-3.3576896892782366E-3</v>
      </c>
      <c r="X202" s="12">
        <f t="shared" si="8"/>
        <v>5.1272662200870901E-6</v>
      </c>
      <c r="Y202" s="12">
        <f t="shared" si="9"/>
        <v>5.2978583447868371E-6</v>
      </c>
      <c r="Z202" s="12">
        <f t="shared" si="10"/>
        <v>-3.2076749431606531E-5</v>
      </c>
    </row>
    <row r="203" spans="1:27" ht="13">
      <c r="A203" s="8" t="s">
        <v>58</v>
      </c>
      <c r="B203" s="9">
        <v>2018</v>
      </c>
      <c r="C203" s="10">
        <v>659.06</v>
      </c>
      <c r="D203" s="10">
        <v>4761.71</v>
      </c>
      <c r="E203" s="10">
        <v>11030.59</v>
      </c>
      <c r="F203" s="10">
        <v>4318.3500000000004</v>
      </c>
      <c r="G203" s="10">
        <v>3096.94</v>
      </c>
      <c r="H203" s="10">
        <f t="shared" si="44"/>
        <v>5.9748390611925557E-2</v>
      </c>
      <c r="I203" s="10">
        <f t="shared" si="45"/>
        <v>0.4316822581566353</v>
      </c>
      <c r="J203" s="10">
        <f t="shared" si="46"/>
        <v>1.3943925293999884</v>
      </c>
      <c r="K203" s="4">
        <f t="shared" si="39"/>
        <v>-2.1138564563784437</v>
      </c>
      <c r="L203" s="10">
        <f t="shared" si="40"/>
        <v>0.4316822581566353</v>
      </c>
      <c r="M203" s="10">
        <v>152.9</v>
      </c>
      <c r="N203" s="10">
        <v>-581.02</v>
      </c>
      <c r="O203" s="10">
        <v>-2558.2600000000002</v>
      </c>
      <c r="P203" s="11">
        <v>3.9300000000000002E-2</v>
      </c>
      <c r="Q203" s="11">
        <f>(0.005667+0.000548+0.000302+(0.005667+0.010011+0.000302))%</f>
        <v>2.2497000000000004E-4</v>
      </c>
      <c r="R203" s="12">
        <f t="shared" si="41"/>
        <v>1.386145256056113E-2</v>
      </c>
      <c r="S203" s="12">
        <f t="shared" si="42"/>
        <v>-5.267351973013229E-2</v>
      </c>
      <c r="T203" s="12">
        <f t="shared" si="43"/>
        <v>-0.231924130984834</v>
      </c>
      <c r="U203" s="12">
        <f t="shared" si="15"/>
        <v>5.4475508563005249E-4</v>
      </c>
      <c r="V203" s="12">
        <f t="shared" si="6"/>
        <v>-2.0700693253941989E-3</v>
      </c>
      <c r="W203" s="12">
        <f t="shared" si="7"/>
        <v>-9.1146183477039764E-3</v>
      </c>
      <c r="X203" s="12">
        <f t="shared" si="8"/>
        <v>3.118410982549438E-6</v>
      </c>
      <c r="Y203" s="12">
        <f t="shared" si="9"/>
        <v>-1.1849961733687864E-5</v>
      </c>
      <c r="Z203" s="12">
        <f t="shared" si="10"/>
        <v>-5.2175971747658111E-5</v>
      </c>
    </row>
    <row r="204" spans="1:27" ht="13">
      <c r="A204" s="8" t="s">
        <v>58</v>
      </c>
      <c r="B204" s="9">
        <v>2019</v>
      </c>
      <c r="C204" s="10">
        <v>427.72</v>
      </c>
      <c r="D204" s="10">
        <v>4066.27</v>
      </c>
      <c r="E204" s="10">
        <v>10172.59</v>
      </c>
      <c r="F204" s="10">
        <v>4250.04</v>
      </c>
      <c r="G204" s="10">
        <v>3300</v>
      </c>
      <c r="H204" s="10">
        <f t="shared" si="44"/>
        <v>4.2046322519633646E-2</v>
      </c>
      <c r="I204" s="10">
        <f t="shared" si="45"/>
        <v>0.39972809284557814</v>
      </c>
      <c r="J204" s="10">
        <f t="shared" si="46"/>
        <v>1.287890909090909</v>
      </c>
      <c r="K204" s="4">
        <f t="shared" si="39"/>
        <v>-2.2159098857549191</v>
      </c>
      <c r="L204" s="10">
        <f t="shared" si="40"/>
        <v>0.39972809284557814</v>
      </c>
      <c r="M204" s="10">
        <v>137.08000000000001</v>
      </c>
      <c r="N204" s="10">
        <v>209.64</v>
      </c>
      <c r="O204" s="10">
        <v>-1394.79</v>
      </c>
      <c r="P204" s="11">
        <v>2.4400000000000002E-2</v>
      </c>
      <c r="Q204" s="11">
        <f>ROUND((2900+1600)/529400000,8)%</f>
        <v>8.4999999999999994E-8</v>
      </c>
      <c r="R204" s="12">
        <f t="shared" si="41"/>
        <v>1.3475427595135557E-2</v>
      </c>
      <c r="S204" s="12">
        <f t="shared" si="42"/>
        <v>2.0608320988066951E-2</v>
      </c>
      <c r="T204" s="12">
        <f t="shared" si="43"/>
        <v>-0.13711257408388619</v>
      </c>
      <c r="U204" s="12">
        <f t="shared" si="15"/>
        <v>3.2880043332130762E-4</v>
      </c>
      <c r="V204" s="12">
        <f t="shared" si="6"/>
        <v>5.028430321088336E-4</v>
      </c>
      <c r="W204" s="12">
        <f t="shared" si="7"/>
        <v>-3.3455468076468231E-3</v>
      </c>
      <c r="X204" s="12">
        <f t="shared" si="8"/>
        <v>1.1454113455865223E-9</v>
      </c>
      <c r="Y204" s="12">
        <f t="shared" si="9"/>
        <v>1.7517072839856906E-9</v>
      </c>
      <c r="Z204" s="12">
        <f t="shared" si="10"/>
        <v>-1.1654568797130326E-8</v>
      </c>
    </row>
    <row r="205" spans="1:27" ht="13">
      <c r="A205" s="8" t="s">
        <v>58</v>
      </c>
      <c r="B205" s="9">
        <v>2020</v>
      </c>
      <c r="C205" s="10">
        <v>662.45</v>
      </c>
      <c r="D205" s="10">
        <v>2391.0300000000002</v>
      </c>
      <c r="E205" s="10">
        <v>8717.48</v>
      </c>
      <c r="F205" s="10">
        <v>3978.19</v>
      </c>
      <c r="G205" s="10">
        <v>2050.15</v>
      </c>
      <c r="H205" s="10">
        <f t="shared" si="44"/>
        <v>7.599099739833072E-2</v>
      </c>
      <c r="I205" s="10">
        <f t="shared" si="45"/>
        <v>0.27427995246332659</v>
      </c>
      <c r="J205" s="10">
        <f t="shared" si="46"/>
        <v>1.9404385044996706</v>
      </c>
      <c r="K205" s="4">
        <f t="shared" si="39"/>
        <v>-3.0863255132695251</v>
      </c>
      <c r="L205" s="10">
        <f t="shared" si="40"/>
        <v>0.27427995246332659</v>
      </c>
      <c r="M205" s="10">
        <v>178.06</v>
      </c>
      <c r="N205" s="10">
        <v>-461.48</v>
      </c>
      <c r="O205" s="10">
        <v>-1280.04</v>
      </c>
      <c r="P205" s="11">
        <v>3.2599999999999997E-2</v>
      </c>
      <c r="Q205" s="11">
        <f>ROUND((30000+2900+80001600+1600+5003)/529400000,8)%</f>
        <v>1.5119210999999999E-3</v>
      </c>
      <c r="R205" s="12">
        <f t="shared" si="41"/>
        <v>2.0425627589624525E-2</v>
      </c>
      <c r="S205" s="12">
        <f t="shared" si="42"/>
        <v>-5.2937316747500428E-2</v>
      </c>
      <c r="T205" s="12">
        <f t="shared" si="43"/>
        <v>-0.14683601224206996</v>
      </c>
      <c r="U205" s="12">
        <f t="shared" si="15"/>
        <v>6.6587545942175944E-4</v>
      </c>
      <c r="V205" s="12">
        <f t="shared" si="6"/>
        <v>-1.7257565259685137E-3</v>
      </c>
      <c r="W205" s="12">
        <f t="shared" si="7"/>
        <v>-4.7868539990914803E-3</v>
      </c>
      <c r="X205" s="12">
        <f t="shared" si="8"/>
        <v>3.088193733349546E-5</v>
      </c>
      <c r="Y205" s="12">
        <f t="shared" si="9"/>
        <v>-8.0037046167929268E-5</v>
      </c>
      <c r="Z205" s="12">
        <f t="shared" si="10"/>
        <v>-2.2200446514864387E-4</v>
      </c>
    </row>
    <row r="206" spans="1:27" ht="13">
      <c r="A206" s="8" t="s">
        <v>58</v>
      </c>
      <c r="B206" s="9">
        <v>2021</v>
      </c>
      <c r="C206" s="10">
        <v>1826.12</v>
      </c>
      <c r="D206" s="10">
        <v>3594.02</v>
      </c>
      <c r="E206" s="10">
        <v>11072.12</v>
      </c>
      <c r="F206" s="10">
        <v>7276.29</v>
      </c>
      <c r="G206" s="10">
        <v>3186.61</v>
      </c>
      <c r="H206" s="10">
        <f t="shared" si="44"/>
        <v>0.16492957085002688</v>
      </c>
      <c r="I206" s="10">
        <f t="shared" si="45"/>
        <v>0.32460088944122711</v>
      </c>
      <c r="J206" s="10">
        <f t="shared" si="46"/>
        <v>2.2833952068185313</v>
      </c>
      <c r="K206" s="4">
        <f t="shared" si="39"/>
        <v>-3.2010915798374007</v>
      </c>
      <c r="L206" s="10">
        <f t="shared" si="40"/>
        <v>0.32460088944122711</v>
      </c>
      <c r="M206" s="10">
        <v>256.88</v>
      </c>
      <c r="N206" s="10">
        <v>-2102.23</v>
      </c>
      <c r="O206" s="10">
        <v>-548.99</v>
      </c>
      <c r="P206" s="11">
        <v>5.8500000000000003E-2</v>
      </c>
      <c r="Q206" s="11">
        <f>(0.005667+0.000548+0.001511)%</f>
        <v>7.7260000000000002E-5</v>
      </c>
      <c r="R206" s="12">
        <f t="shared" si="41"/>
        <v>2.3200615600264447E-2</v>
      </c>
      <c r="S206" s="12">
        <f t="shared" si="42"/>
        <v>-0.18986698121046375</v>
      </c>
      <c r="T206" s="12">
        <f t="shared" si="43"/>
        <v>-4.9583097004006454E-2</v>
      </c>
      <c r="U206" s="12">
        <f t="shared" si="15"/>
        <v>1.3572360126154702E-3</v>
      </c>
      <c r="V206" s="12">
        <f t="shared" si="6"/>
        <v>-1.110721840081213E-2</v>
      </c>
      <c r="W206" s="12">
        <f t="shared" si="7"/>
        <v>-2.9006111747343776E-3</v>
      </c>
      <c r="X206" s="12">
        <f t="shared" si="8"/>
        <v>1.7924795612764312E-6</v>
      </c>
      <c r="Y206" s="12">
        <f t="shared" si="9"/>
        <v>-1.466912296832043E-5</v>
      </c>
      <c r="Z206" s="12">
        <f t="shared" si="10"/>
        <v>-3.8307900745295388E-6</v>
      </c>
    </row>
    <row r="207" spans="1:27" ht="13">
      <c r="A207" s="8" t="s">
        <v>59</v>
      </c>
      <c r="B207" s="9">
        <v>2017</v>
      </c>
      <c r="C207" s="10">
        <v>128.4</v>
      </c>
      <c r="D207" s="10">
        <v>220.24</v>
      </c>
      <c r="E207" s="10">
        <v>886.43</v>
      </c>
      <c r="F207" s="10">
        <v>370.85</v>
      </c>
      <c r="G207" s="10">
        <v>220.24</v>
      </c>
      <c r="H207" s="10">
        <f t="shared" si="44"/>
        <v>0.1448506932301479</v>
      </c>
      <c r="I207" s="10">
        <f t="shared" si="45"/>
        <v>0.2484572949922724</v>
      </c>
      <c r="J207" s="10">
        <f t="shared" si="46"/>
        <v>1.6838448964765711</v>
      </c>
      <c r="K207" s="4">
        <f t="shared" si="39"/>
        <v>-3.5423569176656193</v>
      </c>
      <c r="L207" s="10">
        <f t="shared" si="40"/>
        <v>0.2484572949922724</v>
      </c>
      <c r="M207" s="10">
        <v>-42.7</v>
      </c>
      <c r="N207" s="10">
        <v>112.9</v>
      </c>
      <c r="O207" s="10">
        <v>-7.57</v>
      </c>
      <c r="P207" s="11">
        <v>1.38E-2</v>
      </c>
      <c r="Q207" s="11">
        <f>(26.2+0.25+0.02+0.1)%</f>
        <v>0.26569999999999999</v>
      </c>
      <c r="R207" s="12">
        <f t="shared" si="41"/>
        <v>-4.8170752343670686E-2</v>
      </c>
      <c r="S207" s="12">
        <f t="shared" si="42"/>
        <v>0.12736482294146184</v>
      </c>
      <c r="T207" s="12">
        <f t="shared" si="43"/>
        <v>-8.5398734248615243E-3</v>
      </c>
      <c r="U207" s="12">
        <f t="shared" si="15"/>
        <v>-6.6475638234265544E-4</v>
      </c>
      <c r="V207" s="12">
        <f t="shared" si="6"/>
        <v>1.7576345565921733E-3</v>
      </c>
      <c r="W207" s="12">
        <f t="shared" si="7"/>
        <v>-1.1785025326308904E-4</v>
      </c>
      <c r="X207" s="12">
        <f t="shared" si="8"/>
        <v>-1.27989688977133E-2</v>
      </c>
      <c r="Y207" s="12">
        <f t="shared" si="9"/>
        <v>3.3840833455546407E-2</v>
      </c>
      <c r="Z207" s="12">
        <f t="shared" si="10"/>
        <v>-2.269044368985707E-3</v>
      </c>
    </row>
    <row r="208" spans="1:27" ht="13">
      <c r="A208" s="8" t="s">
        <v>59</v>
      </c>
      <c r="B208" s="9">
        <v>2018</v>
      </c>
      <c r="C208" s="10">
        <v>872.81</v>
      </c>
      <c r="D208" s="10">
        <v>1564.57</v>
      </c>
      <c r="E208" s="10">
        <v>4730</v>
      </c>
      <c r="F208" s="10">
        <v>2135.7399999999998</v>
      </c>
      <c r="G208" s="10">
        <v>1564.57</v>
      </c>
      <c r="H208" s="10">
        <f t="shared" si="44"/>
        <v>0.18452642706131078</v>
      </c>
      <c r="I208" s="10">
        <f t="shared" si="45"/>
        <v>0.33077589852008454</v>
      </c>
      <c r="J208" s="10">
        <f t="shared" si="46"/>
        <v>1.3650651616738145</v>
      </c>
      <c r="K208" s="4">
        <f t="shared" si="39"/>
        <v>-3.2504065608581114</v>
      </c>
      <c r="L208" s="10">
        <f t="shared" si="40"/>
        <v>0.33077589852008454</v>
      </c>
      <c r="M208" s="10">
        <v>564.13</v>
      </c>
      <c r="N208" s="10">
        <v>-636.44000000000005</v>
      </c>
      <c r="O208" s="10">
        <v>263.99</v>
      </c>
      <c r="P208" s="11">
        <v>9.5999999999999992E-3</v>
      </c>
      <c r="Q208" s="11">
        <f>(18.57+3.02+0.12+0.13)%</f>
        <v>0.21840000000000001</v>
      </c>
      <c r="R208" s="12">
        <f t="shared" si="41"/>
        <v>0.11926638477801269</v>
      </c>
      <c r="S208" s="12">
        <f t="shared" si="42"/>
        <v>-0.13455391120507401</v>
      </c>
      <c r="T208" s="12">
        <f t="shared" si="43"/>
        <v>5.5811839323467234E-2</v>
      </c>
      <c r="U208" s="12">
        <f t="shared" si="15"/>
        <v>1.1449572938689217E-3</v>
      </c>
      <c r="V208" s="12">
        <f t="shared" si="6"/>
        <v>-1.2917175475687104E-3</v>
      </c>
      <c r="W208" s="12">
        <f t="shared" si="7"/>
        <v>5.3579365750528536E-4</v>
      </c>
      <c r="X208" s="12">
        <f t="shared" si="8"/>
        <v>2.6047778435517973E-2</v>
      </c>
      <c r="Y208" s="12">
        <f t="shared" si="9"/>
        <v>-2.9386574207188165E-2</v>
      </c>
      <c r="Z208" s="12">
        <f t="shared" si="10"/>
        <v>1.2189305708245245E-2</v>
      </c>
    </row>
    <row r="209" spans="1:26" ht="13">
      <c r="A209" s="8" t="s">
        <v>59</v>
      </c>
      <c r="B209" s="9">
        <v>2019</v>
      </c>
      <c r="C209" s="10">
        <v>571.55999999999995</v>
      </c>
      <c r="D209" s="10">
        <v>1270.3</v>
      </c>
      <c r="E209" s="10">
        <v>4721.8599999999997</v>
      </c>
      <c r="F209" s="10">
        <v>2262.98</v>
      </c>
      <c r="G209" s="10">
        <v>1270.2</v>
      </c>
      <c r="H209" s="10">
        <f t="shared" si="44"/>
        <v>0.12104552019754927</v>
      </c>
      <c r="I209" s="10">
        <f t="shared" si="45"/>
        <v>0.26902534170856401</v>
      </c>
      <c r="J209" s="10">
        <f t="shared" si="46"/>
        <v>1.7815934498504171</v>
      </c>
      <c r="K209" s="4">
        <f t="shared" si="39"/>
        <v>-3.3183867669495584</v>
      </c>
      <c r="L209" s="10">
        <f t="shared" si="40"/>
        <v>0.26902534170856401</v>
      </c>
      <c r="M209" s="10">
        <v>846.78</v>
      </c>
      <c r="N209" s="10">
        <v>-478.41</v>
      </c>
      <c r="O209" s="10">
        <v>-514.98</v>
      </c>
      <c r="P209" s="11">
        <v>1.6899999999999998E-2</v>
      </c>
      <c r="Q209" s="11">
        <f t="shared" ref="Q209:Q210" si="48">(17.83+2.92+0.16+0.17)%</f>
        <v>0.21080000000000002</v>
      </c>
      <c r="R209" s="12">
        <f t="shared" si="41"/>
        <v>0.17933187345664633</v>
      </c>
      <c r="S209" s="12">
        <f t="shared" si="42"/>
        <v>-0.10131812463732513</v>
      </c>
      <c r="T209" s="12">
        <f t="shared" si="43"/>
        <v>-0.10906295400541313</v>
      </c>
      <c r="U209" s="12">
        <f t="shared" si="15"/>
        <v>3.0307086614173228E-3</v>
      </c>
      <c r="V209" s="12">
        <f t="shared" si="6"/>
        <v>-1.7122763063707946E-3</v>
      </c>
      <c r="W209" s="12">
        <f t="shared" si="7"/>
        <v>-1.8431639226914817E-3</v>
      </c>
      <c r="X209" s="12">
        <f t="shared" si="8"/>
        <v>3.7803158924661052E-2</v>
      </c>
      <c r="Y209" s="12">
        <f t="shared" si="9"/>
        <v>-2.135786067354814E-2</v>
      </c>
      <c r="Z209" s="12">
        <f t="shared" si="10"/>
        <v>-2.2990470704341091E-2</v>
      </c>
    </row>
    <row r="210" spans="1:26" ht="13">
      <c r="A210" s="8" t="s">
        <v>59</v>
      </c>
      <c r="B210" s="9">
        <v>2020</v>
      </c>
      <c r="C210" s="10">
        <v>948.07</v>
      </c>
      <c r="D210" s="10">
        <v>1808.72</v>
      </c>
      <c r="E210" s="10">
        <v>5876.15</v>
      </c>
      <c r="F210" s="10">
        <v>3433.5</v>
      </c>
      <c r="G210" s="10">
        <v>1808.62</v>
      </c>
      <c r="H210" s="10">
        <f t="shared" si="44"/>
        <v>0.16134203517609322</v>
      </c>
      <c r="I210" s="10">
        <f t="shared" si="45"/>
        <v>0.30780698246300725</v>
      </c>
      <c r="J210" s="10">
        <f t="shared" si="46"/>
        <v>1.8984087315190588</v>
      </c>
      <c r="K210" s="4">
        <f t="shared" si="39"/>
        <v>-3.2791329931793536</v>
      </c>
      <c r="L210" s="10">
        <f t="shared" si="40"/>
        <v>0.30780698246300725</v>
      </c>
      <c r="M210" s="10">
        <v>1072.99</v>
      </c>
      <c r="N210" s="10">
        <v>-1101.07</v>
      </c>
      <c r="O210" s="10">
        <v>182.69</v>
      </c>
      <c r="P210" s="11">
        <v>1.6799999999999999E-2</v>
      </c>
      <c r="Q210" s="11">
        <f t="shared" si="48"/>
        <v>0.21080000000000002</v>
      </c>
      <c r="R210" s="12">
        <f t="shared" si="41"/>
        <v>0.18260085259906572</v>
      </c>
      <c r="S210" s="12">
        <f t="shared" si="42"/>
        <v>-0.18737949167397019</v>
      </c>
      <c r="T210" s="12">
        <f t="shared" si="43"/>
        <v>3.109008449409903E-2</v>
      </c>
      <c r="U210" s="12">
        <f t="shared" si="15"/>
        <v>3.0676943236643038E-3</v>
      </c>
      <c r="V210" s="12">
        <f t="shared" si="6"/>
        <v>-3.147975460122699E-3</v>
      </c>
      <c r="W210" s="12">
        <f t="shared" si="7"/>
        <v>5.2231341950086368E-4</v>
      </c>
      <c r="X210" s="12">
        <f t="shared" si="8"/>
        <v>3.849225972788306E-2</v>
      </c>
      <c r="Y210" s="12">
        <f t="shared" si="9"/>
        <v>-3.949959684487292E-2</v>
      </c>
      <c r="Z210" s="12">
        <f t="shared" si="10"/>
        <v>6.553789811356076E-3</v>
      </c>
    </row>
    <row r="211" spans="1:26" ht="13">
      <c r="A211" s="8" t="s">
        <v>59</v>
      </c>
      <c r="B211" s="9">
        <v>2021</v>
      </c>
      <c r="C211" s="10">
        <v>2513.7800000000002</v>
      </c>
      <c r="D211" s="10">
        <v>2188.39</v>
      </c>
      <c r="E211" s="10">
        <v>8520.39</v>
      </c>
      <c r="F211" s="10">
        <v>5997.35</v>
      </c>
      <c r="G211" s="10">
        <v>2188.29</v>
      </c>
      <c r="H211" s="10">
        <f t="shared" si="44"/>
        <v>0.29503109599443222</v>
      </c>
      <c r="I211" s="10">
        <f t="shared" si="45"/>
        <v>0.25684152955439832</v>
      </c>
      <c r="J211" s="10">
        <f t="shared" si="46"/>
        <v>2.7406559459669424</v>
      </c>
      <c r="K211" s="4">
        <f t="shared" si="39"/>
        <v>-4.1746058372987411</v>
      </c>
      <c r="L211" s="10">
        <f t="shared" si="40"/>
        <v>0.25684152955439832</v>
      </c>
      <c r="M211" s="10">
        <v>2619.5700000000002</v>
      </c>
      <c r="N211" s="10">
        <v>-2240.69</v>
      </c>
      <c r="O211" s="10">
        <v>-537.22</v>
      </c>
      <c r="P211" s="11">
        <v>8.1699999999999995E-2</v>
      </c>
      <c r="Q211" s="11">
        <f>(18.5+2.92+0.16+0.18)%</f>
        <v>0.21760000000000002</v>
      </c>
      <c r="R211" s="12">
        <f t="shared" si="41"/>
        <v>0.30744719431856998</v>
      </c>
      <c r="S211" s="12">
        <f t="shared" si="42"/>
        <v>-0.26297974623227344</v>
      </c>
      <c r="T211" s="12">
        <f t="shared" si="43"/>
        <v>-6.3051104468222707E-2</v>
      </c>
      <c r="U211" s="12">
        <f t="shared" si="15"/>
        <v>2.5118435775827164E-2</v>
      </c>
      <c r="V211" s="12">
        <f t="shared" si="6"/>
        <v>-2.1485445267176738E-2</v>
      </c>
      <c r="W211" s="12">
        <f t="shared" si="7"/>
        <v>-5.1512752350537944E-3</v>
      </c>
      <c r="X211" s="12">
        <f t="shared" si="8"/>
        <v>6.6900509483720838E-2</v>
      </c>
      <c r="Y211" s="12">
        <f t="shared" si="9"/>
        <v>-5.7224392780142706E-2</v>
      </c>
      <c r="Z211" s="12">
        <f t="shared" si="10"/>
        <v>-1.3719920332285262E-2</v>
      </c>
    </row>
    <row r="212" spans="1:26" ht="13">
      <c r="A212" s="8" t="s">
        <v>60</v>
      </c>
      <c r="B212" s="9">
        <v>2017</v>
      </c>
      <c r="C212" s="10">
        <v>78.44</v>
      </c>
      <c r="D212" s="10">
        <v>904.51400799999999</v>
      </c>
      <c r="E212" s="10">
        <v>1593.9489209999999</v>
      </c>
      <c r="F212" s="10">
        <v>1501.8893330000001</v>
      </c>
      <c r="G212" s="10">
        <v>901.91</v>
      </c>
      <c r="H212" s="10">
        <f t="shared" si="44"/>
        <v>4.9211112706666213E-2</v>
      </c>
      <c r="I212" s="10">
        <f t="shared" si="45"/>
        <v>0.56746737369258526</v>
      </c>
      <c r="J212" s="10">
        <f t="shared" si="46"/>
        <v>1.6652319333414645</v>
      </c>
      <c r="K212" s="4">
        <f t="shared" si="39"/>
        <v>-1.2935469048656274</v>
      </c>
      <c r="L212" s="10">
        <f t="shared" si="40"/>
        <v>0.56746737369258526</v>
      </c>
      <c r="M212" s="10">
        <v>-232.35</v>
      </c>
      <c r="N212" s="10">
        <v>-13.98</v>
      </c>
      <c r="O212" s="10">
        <v>247.58</v>
      </c>
      <c r="P212" s="11">
        <v>0.1056</v>
      </c>
      <c r="Q212" s="11">
        <f t="shared" ref="Q212:Q213" si="49">(4.53+3.45+5.6+4.49)%</f>
        <v>0.1807</v>
      </c>
      <c r="R212" s="12">
        <f t="shared" si="41"/>
        <v>-0.14577004127223223</v>
      </c>
      <c r="S212" s="12">
        <f t="shared" si="42"/>
        <v>-8.7706700106985423E-3</v>
      </c>
      <c r="T212" s="12">
        <f t="shared" si="43"/>
        <v>0.15532492712795032</v>
      </c>
      <c r="U212" s="12">
        <f t="shared" si="15"/>
        <v>-1.5393316358347724E-2</v>
      </c>
      <c r="V212" s="12">
        <f t="shared" si="6"/>
        <v>-9.2618275312976602E-4</v>
      </c>
      <c r="W212" s="12">
        <f t="shared" si="7"/>
        <v>1.6402312304711553E-2</v>
      </c>
      <c r="X212" s="12">
        <f t="shared" si="8"/>
        <v>-2.6340646457892362E-2</v>
      </c>
      <c r="Y212" s="12">
        <f t="shared" si="9"/>
        <v>-1.5848600709332265E-3</v>
      </c>
      <c r="Z212" s="12">
        <f t="shared" si="10"/>
        <v>2.8067214332020623E-2</v>
      </c>
    </row>
    <row r="213" spans="1:26" ht="13">
      <c r="A213" s="8" t="s">
        <v>60</v>
      </c>
      <c r="B213" s="9">
        <v>2018</v>
      </c>
      <c r="C213" s="10">
        <v>109.52</v>
      </c>
      <c r="D213" s="10">
        <v>1456.856634</v>
      </c>
      <c r="E213" s="10">
        <v>2223.3361140000002</v>
      </c>
      <c r="F213" s="10">
        <v>2118.3325599999998</v>
      </c>
      <c r="G213" s="10">
        <v>1451.89</v>
      </c>
      <c r="H213" s="10">
        <f t="shared" si="44"/>
        <v>4.9259308707473269E-2</v>
      </c>
      <c r="I213" s="10">
        <f t="shared" si="45"/>
        <v>0.6552570368584405</v>
      </c>
      <c r="J213" s="10">
        <f t="shared" si="46"/>
        <v>1.4590172533731891</v>
      </c>
      <c r="K213" s="4">
        <f t="shared" si="39"/>
        <v>-0.7925378481040114</v>
      </c>
      <c r="L213" s="10">
        <f t="shared" si="40"/>
        <v>0.6552570368584405</v>
      </c>
      <c r="M213" s="10">
        <v>-125.59</v>
      </c>
      <c r="N213" s="10">
        <v>-10.74</v>
      </c>
      <c r="O213" s="10">
        <v>173.46</v>
      </c>
      <c r="P213" s="11">
        <v>0.1077</v>
      </c>
      <c r="Q213" s="11">
        <f t="shared" si="49"/>
        <v>0.1807</v>
      </c>
      <c r="R213" s="12">
        <f t="shared" si="41"/>
        <v>-5.6487185724722139E-2</v>
      </c>
      <c r="S213" s="12">
        <f t="shared" si="42"/>
        <v>-4.8305786661638327E-3</v>
      </c>
      <c r="T213" s="12">
        <f t="shared" si="43"/>
        <v>7.8017893429495208E-2</v>
      </c>
      <c r="U213" s="12">
        <f t="shared" si="15"/>
        <v>-6.0836699025525742E-3</v>
      </c>
      <c r="V213" s="12">
        <f t="shared" si="6"/>
        <v>-5.2025332234584482E-4</v>
      </c>
      <c r="W213" s="12">
        <f t="shared" si="7"/>
        <v>8.4025271223566334E-3</v>
      </c>
      <c r="X213" s="12">
        <f t="shared" si="8"/>
        <v>-1.0207234460457291E-2</v>
      </c>
      <c r="Y213" s="12">
        <f t="shared" si="9"/>
        <v>-8.7288556497580453E-4</v>
      </c>
      <c r="Z213" s="12">
        <f t="shared" si="10"/>
        <v>1.4097833342709785E-2</v>
      </c>
    </row>
    <row r="214" spans="1:26" ht="13">
      <c r="A214" s="8" t="s">
        <v>60</v>
      </c>
      <c r="B214" s="9">
        <v>2019</v>
      </c>
      <c r="C214" s="10">
        <v>163.18</v>
      </c>
      <c r="D214" s="10">
        <v>1480.2067890000001</v>
      </c>
      <c r="E214" s="10">
        <v>2405.055202</v>
      </c>
      <c r="F214" s="10">
        <v>2287.5539650000001</v>
      </c>
      <c r="G214" s="10">
        <v>1475.74</v>
      </c>
      <c r="H214" s="10">
        <f t="shared" si="44"/>
        <v>6.7848754516862023E-2</v>
      </c>
      <c r="I214" s="10">
        <f t="shared" si="45"/>
        <v>0.61545647175544538</v>
      </c>
      <c r="J214" s="10">
        <f t="shared" si="46"/>
        <v>1.5501063635870818</v>
      </c>
      <c r="K214" s="4">
        <f t="shared" si="39"/>
        <v>-1.1034179317741888</v>
      </c>
      <c r="L214" s="10">
        <f t="shared" si="40"/>
        <v>0.61545647175544538</v>
      </c>
      <c r="M214" s="10">
        <v>286.69</v>
      </c>
      <c r="N214" s="10">
        <v>-1.76</v>
      </c>
      <c r="O214" s="10">
        <v>-225.53</v>
      </c>
      <c r="P214" s="11">
        <v>0.16700000000000001</v>
      </c>
      <c r="Q214" s="11">
        <f>(4.54+4.62+5.64+3.48+0.1+0.09+0.05)%</f>
        <v>0.18520000000000003</v>
      </c>
      <c r="R214" s="12">
        <f t="shared" si="41"/>
        <v>0.11920308513567332</v>
      </c>
      <c r="S214" s="12">
        <f t="shared" si="42"/>
        <v>-7.317919349777985E-4</v>
      </c>
      <c r="T214" s="12">
        <f t="shared" si="43"/>
        <v>-9.3773315395194831E-2</v>
      </c>
      <c r="U214" s="12">
        <f t="shared" si="15"/>
        <v>1.9906915217657445E-2</v>
      </c>
      <c r="V214" s="12">
        <f t="shared" si="6"/>
        <v>-1.2220925314129235E-4</v>
      </c>
      <c r="W214" s="12">
        <f t="shared" si="7"/>
        <v>-1.5660143670997537E-2</v>
      </c>
      <c r="X214" s="12">
        <f t="shared" si="8"/>
        <v>2.2076411367126701E-2</v>
      </c>
      <c r="Y214" s="12">
        <f t="shared" si="9"/>
        <v>-1.3552786635788829E-4</v>
      </c>
      <c r="Z214" s="12">
        <f t="shared" si="10"/>
        <v>-1.7366818011190086E-2</v>
      </c>
    </row>
    <row r="215" spans="1:26" ht="13">
      <c r="A215" s="8" t="s">
        <v>60</v>
      </c>
      <c r="B215" s="9">
        <v>2020</v>
      </c>
      <c r="C215" s="10">
        <v>267.33999999999997</v>
      </c>
      <c r="D215" s="10">
        <v>1910.160836</v>
      </c>
      <c r="E215" s="10">
        <v>3068.7471289999999</v>
      </c>
      <c r="F215" s="10">
        <v>2862.0044870000002</v>
      </c>
      <c r="G215" s="10">
        <v>1905.55</v>
      </c>
      <c r="H215" s="10">
        <f t="shared" si="44"/>
        <v>8.7116985780160056E-2</v>
      </c>
      <c r="I215" s="10">
        <f t="shared" si="45"/>
        <v>0.62245625191752318</v>
      </c>
      <c r="J215" s="10">
        <f t="shared" si="46"/>
        <v>1.5019309317519878</v>
      </c>
      <c r="K215" s="4">
        <f t="shared" si="39"/>
        <v>-1.1500335238078461</v>
      </c>
      <c r="L215" s="10">
        <f t="shared" si="40"/>
        <v>0.62245625191752318</v>
      </c>
      <c r="M215" s="10">
        <v>826.39</v>
      </c>
      <c r="N215" s="10">
        <v>-58.42</v>
      </c>
      <c r="O215" s="10">
        <v>-21.65</v>
      </c>
      <c r="P215" s="11">
        <v>0.28539999999999999</v>
      </c>
      <c r="Q215" s="11">
        <f>(5.46+4.49+3.37)%</f>
        <v>0.13320000000000001</v>
      </c>
      <c r="R215" s="12">
        <f t="shared" si="41"/>
        <v>0.26929230896561113</v>
      </c>
      <c r="S215" s="12">
        <f t="shared" si="42"/>
        <v>-1.9037085020112782E-2</v>
      </c>
      <c r="T215" s="12">
        <f t="shared" si="43"/>
        <v>-7.0549964170736335E-3</v>
      </c>
      <c r="U215" s="12">
        <f t="shared" si="15"/>
        <v>7.6856024978785409E-2</v>
      </c>
      <c r="V215" s="12">
        <f t="shared" si="6"/>
        <v>-5.4331840647401878E-3</v>
      </c>
      <c r="W215" s="12">
        <f t="shared" si="7"/>
        <v>-2.0134959774328149E-3</v>
      </c>
      <c r="X215" s="12">
        <f t="shared" si="8"/>
        <v>3.5869735554219406E-2</v>
      </c>
      <c r="Y215" s="12">
        <f t="shared" si="9"/>
        <v>-2.5357397246790229E-3</v>
      </c>
      <c r="Z215" s="12">
        <f t="shared" si="10"/>
        <v>-9.3972552275420806E-4</v>
      </c>
    </row>
    <row r="216" spans="1:26" ht="13">
      <c r="A216" s="8" t="s">
        <v>60</v>
      </c>
      <c r="B216" s="9">
        <v>2021</v>
      </c>
      <c r="C216" s="10">
        <v>654.9</v>
      </c>
      <c r="D216" s="10">
        <v>4763.5379009999997</v>
      </c>
      <c r="E216" s="10">
        <v>6544.8225679999996</v>
      </c>
      <c r="F216" s="10">
        <v>6255.4963580000003</v>
      </c>
      <c r="G216" s="10">
        <v>4753.3</v>
      </c>
      <c r="H216" s="10">
        <f t="shared" si="44"/>
        <v>0.10006382804050984</v>
      </c>
      <c r="I216" s="10">
        <f t="shared" si="45"/>
        <v>0.72783300868852518</v>
      </c>
      <c r="J216" s="10">
        <f t="shared" si="46"/>
        <v>1.31603230555614</v>
      </c>
      <c r="K216" s="4">
        <f t="shared" si="39"/>
        <v>-0.60690320587992563</v>
      </c>
      <c r="L216" s="10">
        <f t="shared" si="40"/>
        <v>0.72783300868852518</v>
      </c>
      <c r="M216" s="10">
        <v>149.27000000000001</v>
      </c>
      <c r="N216" s="10">
        <v>12.24</v>
      </c>
      <c r="O216" s="10">
        <v>455.43</v>
      </c>
      <c r="P216" s="11">
        <v>0.2707</v>
      </c>
      <c r="Q216" s="11">
        <f>(0.14+0.14+0.07+0.07+0.02+0.02+0.02+0.09+0.09)%</f>
        <v>6.6E-3</v>
      </c>
      <c r="R216" s="12">
        <f t="shared" si="41"/>
        <v>2.2807340985809901E-2</v>
      </c>
      <c r="S216" s="12">
        <f t="shared" si="42"/>
        <v>1.8701805698821813E-3</v>
      </c>
      <c r="T216" s="12">
        <f t="shared" si="43"/>
        <v>6.9586302037699499E-2</v>
      </c>
      <c r="U216" s="12">
        <f t="shared" si="15"/>
        <v>6.1739472048587402E-3</v>
      </c>
      <c r="V216" s="12">
        <f t="shared" si="6"/>
        <v>5.0625788026710647E-4</v>
      </c>
      <c r="W216" s="12">
        <f t="shared" si="7"/>
        <v>1.8837011961605254E-2</v>
      </c>
      <c r="X216" s="12">
        <f t="shared" si="8"/>
        <v>1.5052845050634534E-4</v>
      </c>
      <c r="Y216" s="12">
        <f t="shared" si="9"/>
        <v>1.2343191761222397E-5</v>
      </c>
      <c r="Z216" s="12">
        <f t="shared" si="10"/>
        <v>4.5926959344881667E-4</v>
      </c>
    </row>
    <row r="217" spans="1:26" ht="13">
      <c r="A217" s="8" t="s">
        <v>61</v>
      </c>
      <c r="B217" s="9">
        <v>2017</v>
      </c>
      <c r="C217" s="10">
        <v>58.73</v>
      </c>
      <c r="D217" s="10">
        <v>24.76</v>
      </c>
      <c r="E217" s="10">
        <v>382.55</v>
      </c>
      <c r="F217" s="10">
        <v>191.23</v>
      </c>
      <c r="G217" s="10">
        <v>21.48</v>
      </c>
      <c r="H217" s="10">
        <f t="shared" si="44"/>
        <v>0.15352241537053979</v>
      </c>
      <c r="I217" s="10">
        <f t="shared" si="45"/>
        <v>6.4723565546987327E-2</v>
      </c>
      <c r="J217" s="10">
        <f t="shared" si="46"/>
        <v>8.9027001862197395</v>
      </c>
      <c r="K217" s="4">
        <f t="shared" si="39"/>
        <v>-4.6575373462944798</v>
      </c>
      <c r="L217" s="10">
        <f t="shared" si="40"/>
        <v>6.4723565546987327E-2</v>
      </c>
      <c r="M217" s="10">
        <v>50.65</v>
      </c>
      <c r="N217" s="10">
        <v>22.84</v>
      </c>
      <c r="O217" s="10">
        <v>-37.65</v>
      </c>
      <c r="P217" s="11">
        <v>0.1208</v>
      </c>
      <c r="Q217" s="11">
        <f>(3.94+0.39+1.07+0.35)%</f>
        <v>5.7500000000000002E-2</v>
      </c>
      <c r="R217" s="12">
        <f t="shared" si="41"/>
        <v>0.13240099333420466</v>
      </c>
      <c r="S217" s="12">
        <f t="shared" si="42"/>
        <v>5.9704613775976995E-2</v>
      </c>
      <c r="T217" s="12">
        <f t="shared" si="43"/>
        <v>-9.8418507384655587E-2</v>
      </c>
      <c r="U217" s="12">
        <f t="shared" si="15"/>
        <v>1.5994039994771923E-2</v>
      </c>
      <c r="V217" s="12">
        <f t="shared" si="6"/>
        <v>7.2123173441380212E-3</v>
      </c>
      <c r="W217" s="12">
        <f t="shared" si="7"/>
        <v>-1.1888955692066395E-2</v>
      </c>
      <c r="X217" s="12">
        <f t="shared" si="8"/>
        <v>7.6130571167167685E-3</v>
      </c>
      <c r="Y217" s="12">
        <f t="shared" si="9"/>
        <v>3.4330152921186775E-3</v>
      </c>
      <c r="Z217" s="12">
        <f t="shared" si="10"/>
        <v>-5.6590641746176963E-3</v>
      </c>
    </row>
    <row r="218" spans="1:26" ht="13">
      <c r="A218" s="8" t="s">
        <v>61</v>
      </c>
      <c r="B218" s="9">
        <v>2018</v>
      </c>
      <c r="C218" s="10">
        <v>66.89</v>
      </c>
      <c r="D218" s="10">
        <v>32.869999999999997</v>
      </c>
      <c r="E218" s="10">
        <v>419.26</v>
      </c>
      <c r="F218" s="10">
        <v>223.24</v>
      </c>
      <c r="G218" s="10">
        <v>28.97</v>
      </c>
      <c r="H218" s="10">
        <f t="shared" si="44"/>
        <v>0.15954300434098173</v>
      </c>
      <c r="I218" s="10">
        <f t="shared" si="45"/>
        <v>7.8400038162476746E-2</v>
      </c>
      <c r="J218" s="10">
        <f t="shared" si="46"/>
        <v>7.7059026579219889</v>
      </c>
      <c r="K218" s="4">
        <f t="shared" si="39"/>
        <v>-4.6018869126399888</v>
      </c>
      <c r="L218" s="10">
        <f t="shared" si="40"/>
        <v>7.8400038162476746E-2</v>
      </c>
      <c r="M218" s="10">
        <v>41.65</v>
      </c>
      <c r="N218" s="10">
        <v>9.52</v>
      </c>
      <c r="O218" s="10">
        <v>-30.27</v>
      </c>
      <c r="P218" s="11">
        <v>9.7799999999999998E-2</v>
      </c>
      <c r="Q218" s="11">
        <f>(4.04+0.41+1.24+0.36)%</f>
        <v>6.0500000000000005E-2</v>
      </c>
      <c r="R218" s="12">
        <f t="shared" si="41"/>
        <v>9.9341697276153218E-2</v>
      </c>
      <c r="S218" s="12">
        <f t="shared" si="42"/>
        <v>2.2706673663120736E-2</v>
      </c>
      <c r="T218" s="12">
        <f t="shared" si="43"/>
        <v>-7.2198635691456375E-2</v>
      </c>
      <c r="U218" s="12">
        <f t="shared" si="15"/>
        <v>9.7156179936077839E-3</v>
      </c>
      <c r="V218" s="12">
        <f t="shared" si="6"/>
        <v>2.220712684253208E-3</v>
      </c>
      <c r="W218" s="12">
        <f t="shared" si="7"/>
        <v>-7.0610265706244337E-3</v>
      </c>
      <c r="X218" s="12">
        <f t="shared" si="8"/>
        <v>6.0101726852072705E-3</v>
      </c>
      <c r="Y218" s="12">
        <f t="shared" si="9"/>
        <v>1.3737537566188046E-3</v>
      </c>
      <c r="Z218" s="12">
        <f t="shared" si="10"/>
        <v>-4.3680174593331107E-3</v>
      </c>
    </row>
    <row r="219" spans="1:26" ht="13">
      <c r="A219" s="8" t="s">
        <v>61</v>
      </c>
      <c r="B219" s="9">
        <v>2019</v>
      </c>
      <c r="C219" s="10">
        <v>67.930000000000007</v>
      </c>
      <c r="D219" s="10">
        <v>39.520000000000003</v>
      </c>
      <c r="E219" s="10">
        <v>426.59</v>
      </c>
      <c r="F219" s="10">
        <v>249.77</v>
      </c>
      <c r="G219" s="10">
        <v>34.92</v>
      </c>
      <c r="H219" s="10">
        <f t="shared" si="44"/>
        <v>0.15923955085679461</v>
      </c>
      <c r="I219" s="10">
        <f t="shared" si="45"/>
        <v>9.2641646545863723E-2</v>
      </c>
      <c r="J219" s="10">
        <f t="shared" si="46"/>
        <v>7.1526345933562432</v>
      </c>
      <c r="K219" s="4">
        <f t="shared" ref="K219:K282" si="50">-4.3 -4.5*(C219/E219)+5.7*(D219/E219)-0.004*(F219/G219)</f>
        <v>-4.5171311319175773</v>
      </c>
      <c r="L219" s="10">
        <f t="shared" si="40"/>
        <v>9.2641646545863723E-2</v>
      </c>
      <c r="M219" s="10">
        <v>58.46</v>
      </c>
      <c r="N219" s="10">
        <v>-23.2</v>
      </c>
      <c r="O219" s="10">
        <v>-61.74</v>
      </c>
      <c r="P219" s="11">
        <v>9.6199999999999994E-2</v>
      </c>
      <c r="Q219" s="11">
        <f>(4.04+0.41+1.24+0.28)%</f>
        <v>5.9700000000000003E-2</v>
      </c>
      <c r="R219" s="12">
        <f t="shared" si="41"/>
        <v>0.13704024941981763</v>
      </c>
      <c r="S219" s="12">
        <f t="shared" si="42"/>
        <v>-5.4384772263766146E-2</v>
      </c>
      <c r="T219" s="12">
        <f t="shared" si="43"/>
        <v>-0.1447291310157294</v>
      </c>
      <c r="U219" s="12">
        <f t="shared" si="15"/>
        <v>1.3183271994186455E-2</v>
      </c>
      <c r="V219" s="12">
        <f t="shared" si="6"/>
        <v>-5.2318150917743025E-3</v>
      </c>
      <c r="W219" s="12">
        <f t="shared" si="7"/>
        <v>-1.3922942403713168E-2</v>
      </c>
      <c r="X219" s="12">
        <f t="shared" si="8"/>
        <v>8.1813028903631128E-3</v>
      </c>
      <c r="Y219" s="12">
        <f t="shared" si="9"/>
        <v>-3.2467709041468389E-3</v>
      </c>
      <c r="Z219" s="12">
        <f t="shared" si="10"/>
        <v>-8.6403291216390465E-3</v>
      </c>
    </row>
    <row r="220" spans="1:26" ht="13">
      <c r="A220" s="8" t="s">
        <v>61</v>
      </c>
      <c r="B220" s="9">
        <v>2020</v>
      </c>
      <c r="C220" s="10">
        <v>98.27</v>
      </c>
      <c r="D220" s="10">
        <v>46.75</v>
      </c>
      <c r="E220" s="10">
        <v>475.44</v>
      </c>
      <c r="F220" s="10">
        <v>318.56</v>
      </c>
      <c r="G220" s="10">
        <v>41.66</v>
      </c>
      <c r="H220" s="10">
        <f t="shared" si="44"/>
        <v>0.20669274777048627</v>
      </c>
      <c r="I220" s="10">
        <f t="shared" si="45"/>
        <v>9.8329968029614676E-2</v>
      </c>
      <c r="J220" s="10">
        <f t="shared" si="46"/>
        <v>7.6466634661545854</v>
      </c>
      <c r="K220" s="4">
        <f t="shared" si="50"/>
        <v>-4.7002232010630021</v>
      </c>
      <c r="L220" s="10">
        <f t="shared" si="40"/>
        <v>9.8329968029614676E-2</v>
      </c>
      <c r="M220" s="10">
        <v>105.69</v>
      </c>
      <c r="N220" s="10">
        <v>-86.7</v>
      </c>
      <c r="O220" s="10">
        <v>-51.56</v>
      </c>
      <c r="P220" s="11">
        <v>0.12670000000000001</v>
      </c>
      <c r="Q220" s="11">
        <f>(0.99+0.41+1.24+0.28)%</f>
        <v>2.92E-2</v>
      </c>
      <c r="R220" s="12">
        <f t="shared" si="41"/>
        <v>0.22229934376577487</v>
      </c>
      <c r="S220" s="12">
        <f t="shared" si="42"/>
        <v>-0.18235739525492176</v>
      </c>
      <c r="T220" s="12">
        <f t="shared" si="43"/>
        <v>-0.10844691233383813</v>
      </c>
      <c r="U220" s="12">
        <f t="shared" si="15"/>
        <v>2.8165326855123678E-2</v>
      </c>
      <c r="V220" s="12">
        <f t="shared" si="6"/>
        <v>-2.3104681978798589E-2</v>
      </c>
      <c r="W220" s="12">
        <f t="shared" si="7"/>
        <v>-1.3740223792697293E-2</v>
      </c>
      <c r="X220" s="12">
        <f t="shared" si="8"/>
        <v>6.4911408379606265E-3</v>
      </c>
      <c r="Y220" s="12">
        <f t="shared" si="9"/>
        <v>-5.3248359414437155E-3</v>
      </c>
      <c r="Z220" s="12">
        <f t="shared" si="10"/>
        <v>-3.1666498401480736E-3</v>
      </c>
    </row>
    <row r="221" spans="1:26" ht="13">
      <c r="A221" s="8" t="s">
        <v>61</v>
      </c>
      <c r="B221" s="9">
        <v>2021</v>
      </c>
      <c r="C221" s="10">
        <v>90.25</v>
      </c>
      <c r="D221" s="10">
        <v>62.64</v>
      </c>
      <c r="E221" s="10">
        <v>531.22</v>
      </c>
      <c r="F221" s="10">
        <v>393.9</v>
      </c>
      <c r="G221" s="10">
        <v>57.11</v>
      </c>
      <c r="H221" s="10">
        <f t="shared" si="44"/>
        <v>0.16989194683935091</v>
      </c>
      <c r="I221" s="10">
        <f t="shared" si="45"/>
        <v>0.11791724709160047</v>
      </c>
      <c r="J221" s="10">
        <f t="shared" si="46"/>
        <v>6.8972158991420063</v>
      </c>
      <c r="K221" s="4">
        <f t="shared" si="50"/>
        <v>-4.4199743159515243</v>
      </c>
      <c r="L221" s="10">
        <f t="shared" si="40"/>
        <v>0.11791724709160047</v>
      </c>
      <c r="M221" s="10">
        <v>138.31</v>
      </c>
      <c r="N221" s="10">
        <v>2.72</v>
      </c>
      <c r="O221" s="10">
        <v>-44.18</v>
      </c>
      <c r="P221" s="11">
        <v>0.1391</v>
      </c>
      <c r="Q221" s="11">
        <f>(0.41+1.24+0.14)%</f>
        <v>1.7899999999999999E-2</v>
      </c>
      <c r="R221" s="12">
        <f t="shared" si="41"/>
        <v>0.2603629381423892</v>
      </c>
      <c r="S221" s="12">
        <f t="shared" si="42"/>
        <v>5.1202891457399948E-3</v>
      </c>
      <c r="T221" s="12">
        <f t="shared" si="43"/>
        <v>-8.3167049433379769E-2</v>
      </c>
      <c r="U221" s="12">
        <f t="shared" si="15"/>
        <v>3.6216484695606337E-2</v>
      </c>
      <c r="V221" s="12">
        <f t="shared" si="6"/>
        <v>7.1223222017243327E-4</v>
      </c>
      <c r="W221" s="12">
        <f t="shared" si="7"/>
        <v>-1.1568536576183126E-2</v>
      </c>
      <c r="X221" s="12">
        <f t="shared" si="8"/>
        <v>4.6604965927487668E-3</v>
      </c>
      <c r="Y221" s="12">
        <f t="shared" si="9"/>
        <v>9.1653175708745905E-5</v>
      </c>
      <c r="Z221" s="12">
        <f t="shared" si="10"/>
        <v>-1.4886901848574978E-3</v>
      </c>
    </row>
    <row r="222" spans="1:26" ht="13">
      <c r="A222" s="8" t="s">
        <v>62</v>
      </c>
      <c r="B222" s="9">
        <v>2017</v>
      </c>
      <c r="C222" s="10">
        <v>80.25</v>
      </c>
      <c r="D222" s="10">
        <v>578.82000000000005</v>
      </c>
      <c r="E222" s="10">
        <v>1289.95</v>
      </c>
      <c r="F222" s="10">
        <v>563.71</v>
      </c>
      <c r="G222" s="10">
        <v>330.06</v>
      </c>
      <c r="H222" s="10">
        <f t="shared" si="44"/>
        <v>6.221171363231133E-2</v>
      </c>
      <c r="I222" s="10">
        <f t="shared" si="45"/>
        <v>0.44871506647544479</v>
      </c>
      <c r="J222" s="10">
        <f t="shared" si="46"/>
        <v>1.7079015936496396</v>
      </c>
      <c r="K222" s="4">
        <f t="shared" si="50"/>
        <v>-2.0291084388099638</v>
      </c>
      <c r="L222" s="10">
        <f t="shared" si="40"/>
        <v>0.44871506647544479</v>
      </c>
      <c r="M222" s="10">
        <v>9.99</v>
      </c>
      <c r="N222" s="10">
        <v>-347.78</v>
      </c>
      <c r="O222" s="10">
        <v>414.28</v>
      </c>
      <c r="P222" s="11">
        <v>0.36199999999999999</v>
      </c>
      <c r="Q222" s="11">
        <f>(5.72+5.58+8.3+2.35+0.07)%</f>
        <v>0.22020000000000003</v>
      </c>
      <c r="R222" s="12">
        <f t="shared" si="41"/>
        <v>7.7444862203961389E-3</v>
      </c>
      <c r="S222" s="12">
        <f t="shared" si="42"/>
        <v>-0.26960734912205897</v>
      </c>
      <c r="T222" s="12">
        <f t="shared" si="43"/>
        <v>0.32115973487344468</v>
      </c>
      <c r="U222" s="12">
        <f t="shared" si="15"/>
        <v>2.803504011783402E-3</v>
      </c>
      <c r="V222" s="12">
        <f t="shared" si="6"/>
        <v>-9.7597860382185347E-2</v>
      </c>
      <c r="W222" s="12">
        <f t="shared" si="7"/>
        <v>0.11625982402418697</v>
      </c>
      <c r="X222" s="12">
        <f t="shared" si="8"/>
        <v>1.7053358657312301E-3</v>
      </c>
      <c r="Y222" s="12">
        <f t="shared" si="9"/>
        <v>-5.9367538276677394E-2</v>
      </c>
      <c r="Z222" s="12">
        <f t="shared" si="10"/>
        <v>7.0719373619132525E-2</v>
      </c>
    </row>
    <row r="223" spans="1:26" ht="13">
      <c r="A223" s="8" t="s">
        <v>62</v>
      </c>
      <c r="B223" s="9">
        <v>2018</v>
      </c>
      <c r="C223" s="10">
        <v>134.12</v>
      </c>
      <c r="D223" s="10">
        <v>970.27</v>
      </c>
      <c r="E223" s="10">
        <v>1812.24</v>
      </c>
      <c r="F223" s="10">
        <v>564.54</v>
      </c>
      <c r="G223" s="10">
        <v>411.95</v>
      </c>
      <c r="H223" s="10">
        <f t="shared" si="44"/>
        <v>7.4007857678894631E-2</v>
      </c>
      <c r="I223" s="10">
        <f t="shared" si="45"/>
        <v>0.53539818125634575</v>
      </c>
      <c r="J223" s="10">
        <f t="shared" si="46"/>
        <v>1.3704090302221144</v>
      </c>
      <c r="K223" s="4">
        <f t="shared" si="50"/>
        <v>-1.586747362514743</v>
      </c>
      <c r="L223" s="10">
        <f t="shared" si="40"/>
        <v>0.53539818125634575</v>
      </c>
      <c r="M223" s="10">
        <v>-45.32</v>
      </c>
      <c r="N223" s="10">
        <v>-528.61</v>
      </c>
      <c r="O223" s="10">
        <v>491.28</v>
      </c>
      <c r="P223" s="11">
        <v>0.32690000000000002</v>
      </c>
      <c r="Q223" s="11">
        <f>(7.5+2.34+0.07)%</f>
        <v>9.9100000000000008E-2</v>
      </c>
      <c r="R223" s="12">
        <f t="shared" si="41"/>
        <v>-2.500772524610427E-2</v>
      </c>
      <c r="S223" s="12">
        <f t="shared" si="42"/>
        <v>-0.29168873879839313</v>
      </c>
      <c r="T223" s="12">
        <f t="shared" si="43"/>
        <v>0.27108992186465369</v>
      </c>
      <c r="U223" s="12">
        <f t="shared" si="15"/>
        <v>-8.1750253829514872E-3</v>
      </c>
      <c r="V223" s="12">
        <f t="shared" si="6"/>
        <v>-9.5353048713194721E-2</v>
      </c>
      <c r="W223" s="12">
        <f t="shared" si="7"/>
        <v>8.86192954575553E-2</v>
      </c>
      <c r="X223" s="12">
        <f t="shared" si="8"/>
        <v>-2.4782655718889332E-3</v>
      </c>
      <c r="Y223" s="12">
        <f t="shared" si="9"/>
        <v>-2.8906354014920761E-2</v>
      </c>
      <c r="Z223" s="12">
        <f t="shared" si="10"/>
        <v>2.6865011256787183E-2</v>
      </c>
    </row>
    <row r="224" spans="1:26" ht="13">
      <c r="A224" s="8" t="s">
        <v>62</v>
      </c>
      <c r="B224" s="9">
        <v>2019</v>
      </c>
      <c r="C224" s="10">
        <v>181.59</v>
      </c>
      <c r="D224" s="10">
        <v>994.94</v>
      </c>
      <c r="E224" s="10">
        <v>2113.2800000000002</v>
      </c>
      <c r="F224" s="10">
        <v>875.29</v>
      </c>
      <c r="G224" s="10">
        <v>554.94000000000005</v>
      </c>
      <c r="H224" s="10">
        <f t="shared" si="44"/>
        <v>8.592803603876438E-2</v>
      </c>
      <c r="I224" s="10">
        <f t="shared" si="45"/>
        <v>0.47080367958812841</v>
      </c>
      <c r="J224" s="10">
        <f t="shared" si="46"/>
        <v>1.577269614733124</v>
      </c>
      <c r="K224" s="4">
        <f t="shared" si="50"/>
        <v>-2.0094042669810399</v>
      </c>
      <c r="L224" s="10">
        <f t="shared" si="40"/>
        <v>0.47080367958812841</v>
      </c>
      <c r="M224" s="10">
        <v>192.42</v>
      </c>
      <c r="N224" s="10">
        <v>-18.829999999999998</v>
      </c>
      <c r="O224" s="10">
        <v>-45.78</v>
      </c>
      <c r="P224" s="11">
        <v>0.35299999999999998</v>
      </c>
      <c r="Q224" s="11">
        <f>(6.23+6.36+5.35+2.6+0.07)%</f>
        <v>0.20610000000000001</v>
      </c>
      <c r="R224" s="12">
        <f t="shared" si="41"/>
        <v>9.105277104784977E-2</v>
      </c>
      <c r="S224" s="12">
        <f t="shared" si="42"/>
        <v>-8.9103195033313123E-3</v>
      </c>
      <c r="T224" s="12">
        <f t="shared" si="43"/>
        <v>-2.1663007268322227E-2</v>
      </c>
      <c r="U224" s="12">
        <f t="shared" si="15"/>
        <v>3.2141628179890969E-2</v>
      </c>
      <c r="V224" s="12">
        <f t="shared" si="6"/>
        <v>-3.1453427846759529E-3</v>
      </c>
      <c r="W224" s="12">
        <f t="shared" si="7"/>
        <v>-7.6470415657177455E-3</v>
      </c>
      <c r="X224" s="12">
        <f t="shared" si="8"/>
        <v>1.8765976112961838E-2</v>
      </c>
      <c r="Y224" s="12">
        <f t="shared" si="9"/>
        <v>-1.8364168496365835E-3</v>
      </c>
      <c r="Z224" s="12">
        <f t="shared" si="10"/>
        <v>-4.4647457980012111E-3</v>
      </c>
    </row>
    <row r="225" spans="1:26" ht="13">
      <c r="A225" s="8" t="s">
        <v>62</v>
      </c>
      <c r="B225" s="9">
        <v>2020</v>
      </c>
      <c r="C225" s="10">
        <v>391.92</v>
      </c>
      <c r="D225" s="10">
        <v>889.38</v>
      </c>
      <c r="E225" s="10">
        <v>2284.33</v>
      </c>
      <c r="F225" s="10">
        <v>1104.6600000000001</v>
      </c>
      <c r="G225" s="10">
        <v>744.38</v>
      </c>
      <c r="H225" s="10">
        <f t="shared" si="44"/>
        <v>0.17156890641894998</v>
      </c>
      <c r="I225" s="10">
        <f t="shared" si="45"/>
        <v>0.3893395437611904</v>
      </c>
      <c r="J225" s="10">
        <f t="shared" si="46"/>
        <v>1.4840001074719902</v>
      </c>
      <c r="K225" s="4">
        <f t="shared" si="50"/>
        <v>-2.8587606798763772</v>
      </c>
      <c r="L225" s="10">
        <f t="shared" si="40"/>
        <v>0.3893395437611904</v>
      </c>
      <c r="M225" s="10">
        <v>474.61</v>
      </c>
      <c r="N225" s="10">
        <v>-55.52</v>
      </c>
      <c r="O225" s="10">
        <v>-373.34</v>
      </c>
      <c r="P225" s="11">
        <v>0.27289999999999998</v>
      </c>
      <c r="Q225" s="11">
        <f>(7.12+8.04+5.17+3.84+0.23)%</f>
        <v>0.24399999999999999</v>
      </c>
      <c r="R225" s="12">
        <f t="shared" si="41"/>
        <v>0.20776770431592634</v>
      </c>
      <c r="S225" s="12">
        <f t="shared" si="42"/>
        <v>-2.4304719545774914E-2</v>
      </c>
      <c r="T225" s="12">
        <f t="shared" si="43"/>
        <v>-0.1634352304614482</v>
      </c>
      <c r="U225" s="12">
        <f t="shared" si="15"/>
        <v>5.6699806507816294E-2</v>
      </c>
      <c r="V225" s="12">
        <f t="shared" si="6"/>
        <v>-6.6327579640419734E-3</v>
      </c>
      <c r="W225" s="12">
        <f t="shared" si="7"/>
        <v>-4.4601474392929212E-2</v>
      </c>
      <c r="X225" s="12">
        <f t="shared" si="8"/>
        <v>5.0695319853086028E-2</v>
      </c>
      <c r="Y225" s="12">
        <f t="shared" si="9"/>
        <v>-5.9303515691690786E-3</v>
      </c>
      <c r="Z225" s="12">
        <f t="shared" si="10"/>
        <v>-3.9878196232593359E-2</v>
      </c>
    </row>
    <row r="226" spans="1:26" ht="13">
      <c r="A226" s="8" t="s">
        <v>62</v>
      </c>
      <c r="B226" s="9">
        <v>2021</v>
      </c>
      <c r="C226" s="10">
        <v>481.34</v>
      </c>
      <c r="D226" s="10">
        <v>704.17</v>
      </c>
      <c r="E226" s="10">
        <v>2401.27</v>
      </c>
      <c r="F226" s="10">
        <v>1170.47</v>
      </c>
      <c r="G226" s="10">
        <v>704.17</v>
      </c>
      <c r="H226" s="10">
        <f t="shared" si="44"/>
        <v>0.20045226067872415</v>
      </c>
      <c r="I226" s="10">
        <f t="shared" si="45"/>
        <v>0.29324898907661362</v>
      </c>
      <c r="J226" s="10">
        <f t="shared" si="46"/>
        <v>1.6621980487666332</v>
      </c>
      <c r="K226" s="4">
        <f t="shared" si="50"/>
        <v>-3.5371647275126272</v>
      </c>
      <c r="L226" s="10">
        <f t="shared" si="40"/>
        <v>0.29324898907661362</v>
      </c>
      <c r="M226" s="10">
        <v>317.33</v>
      </c>
      <c r="N226" s="10">
        <v>-188.84</v>
      </c>
      <c r="O226" s="10">
        <v>-232.4</v>
      </c>
      <c r="P226" s="11">
        <v>0.39529999999999998</v>
      </c>
      <c r="Q226" s="11">
        <f>(9.56+8.04+4.6+5.32+0.23)%</f>
        <v>0.27750000000000002</v>
      </c>
      <c r="R226" s="12">
        <f t="shared" si="41"/>
        <v>0.13215090348024169</v>
      </c>
      <c r="S226" s="12">
        <f t="shared" si="42"/>
        <v>-7.8641718757157669E-2</v>
      </c>
      <c r="T226" s="12">
        <f t="shared" si="43"/>
        <v>-9.6782119461784805E-2</v>
      </c>
      <c r="U226" s="12">
        <f t="shared" si="15"/>
        <v>5.2239252145739538E-2</v>
      </c>
      <c r="V226" s="12">
        <f t="shared" si="6"/>
        <v>-3.1087071424704425E-2</v>
      </c>
      <c r="W226" s="12">
        <f t="shared" si="7"/>
        <v>-3.8257971823243531E-2</v>
      </c>
      <c r="X226" s="12">
        <f t="shared" si="8"/>
        <v>3.667187571576707E-2</v>
      </c>
      <c r="Y226" s="12">
        <f t="shared" si="9"/>
        <v>-2.1823076955111254E-2</v>
      </c>
      <c r="Z226" s="12">
        <f t="shared" si="10"/>
        <v>-2.6857038150645284E-2</v>
      </c>
    </row>
    <row r="227" spans="1:26" ht="13">
      <c r="A227" s="8" t="s">
        <v>63</v>
      </c>
      <c r="B227" s="9">
        <v>2017</v>
      </c>
      <c r="C227" s="10">
        <v>642.39</v>
      </c>
      <c r="D227" s="10">
        <v>1328.39</v>
      </c>
      <c r="E227" s="10">
        <v>4087.48</v>
      </c>
      <c r="F227" s="10">
        <v>2939.18</v>
      </c>
      <c r="G227" s="10">
        <v>1264.94</v>
      </c>
      <c r="H227" s="10">
        <f t="shared" si="44"/>
        <v>0.15716040200808321</v>
      </c>
      <c r="I227" s="10">
        <f t="shared" si="45"/>
        <v>0.32498996936988073</v>
      </c>
      <c r="J227" s="10">
        <f t="shared" si="46"/>
        <v>2.3235726595727857</v>
      </c>
      <c r="K227" s="4">
        <f t="shared" si="50"/>
        <v>-3.1640732742663453</v>
      </c>
      <c r="L227" s="10">
        <f t="shared" si="40"/>
        <v>0.32498996936988073</v>
      </c>
      <c r="M227" s="10">
        <v>460.31</v>
      </c>
      <c r="N227" s="10">
        <v>-192.2</v>
      </c>
      <c r="O227" s="10">
        <v>-321.52</v>
      </c>
      <c r="P227" s="11">
        <v>0.48470000000000002</v>
      </c>
      <c r="Q227" s="11">
        <f>(0.23+13.01+0.09+0.01+0.02)%</f>
        <v>0.1336</v>
      </c>
      <c r="R227" s="12">
        <f t="shared" si="41"/>
        <v>0.11261461829782653</v>
      </c>
      <c r="S227" s="12">
        <f t="shared" si="42"/>
        <v>-4.702163680311585E-2</v>
      </c>
      <c r="T227" s="12">
        <f t="shared" si="43"/>
        <v>-7.8659712096450618E-2</v>
      </c>
      <c r="U227" s="12">
        <f t="shared" si="15"/>
        <v>5.4584305488956521E-2</v>
      </c>
      <c r="V227" s="12">
        <f t="shared" si="6"/>
        <v>-2.2791387358470253E-2</v>
      </c>
      <c r="W227" s="12">
        <f t="shared" si="7"/>
        <v>-3.8126362453149619E-2</v>
      </c>
      <c r="X227" s="12">
        <f t="shared" si="8"/>
        <v>1.5045313004589623E-2</v>
      </c>
      <c r="Y227" s="12">
        <f t="shared" si="9"/>
        <v>-6.2820906768962775E-3</v>
      </c>
      <c r="Z227" s="12">
        <f t="shared" si="10"/>
        <v>-1.0508937536085802E-2</v>
      </c>
    </row>
    <row r="228" spans="1:26" ht="13">
      <c r="A228" s="8" t="s">
        <v>63</v>
      </c>
      <c r="B228" s="9">
        <v>2018</v>
      </c>
      <c r="C228" s="10">
        <v>651.09</v>
      </c>
      <c r="D228" s="10">
        <v>1061.7</v>
      </c>
      <c r="E228" s="10">
        <v>4205.96</v>
      </c>
      <c r="F228" s="10">
        <v>3147.64</v>
      </c>
      <c r="G228" s="10">
        <v>1001.49</v>
      </c>
      <c r="H228" s="10">
        <f t="shared" si="44"/>
        <v>0.15480175750601527</v>
      </c>
      <c r="I228" s="10">
        <f t="shared" si="45"/>
        <v>0.25242750763202693</v>
      </c>
      <c r="J228" s="10">
        <f t="shared" si="46"/>
        <v>3.1429569940788222</v>
      </c>
      <c r="K228" s="4">
        <f t="shared" si="50"/>
        <v>-3.5703429432508305</v>
      </c>
      <c r="L228" s="10">
        <f t="shared" si="40"/>
        <v>0.25242750763202693</v>
      </c>
      <c r="M228" s="10">
        <v>290.79000000000002</v>
      </c>
      <c r="N228" s="10">
        <v>-460.55</v>
      </c>
      <c r="O228" s="10">
        <v>-304.14</v>
      </c>
      <c r="P228" s="11">
        <v>0.44390000000000002</v>
      </c>
      <c r="Q228" s="11">
        <f>(0.06+13.02+0.01+0.01+0.01+0.01+0.01)%</f>
        <v>0.1313</v>
      </c>
      <c r="R228" s="12">
        <f t="shared" si="41"/>
        <v>6.9137604732332214E-2</v>
      </c>
      <c r="S228" s="12">
        <f t="shared" si="42"/>
        <v>-0.10949937707443723</v>
      </c>
      <c r="T228" s="12">
        <f t="shared" si="43"/>
        <v>-7.2311672008292985E-2</v>
      </c>
      <c r="U228" s="12">
        <f t="shared" si="15"/>
        <v>3.0690182740682272E-2</v>
      </c>
      <c r="V228" s="12">
        <f t="shared" si="6"/>
        <v>-4.8606773483342691E-2</v>
      </c>
      <c r="W228" s="12">
        <f t="shared" si="7"/>
        <v>-3.2099151204481258E-2</v>
      </c>
      <c r="X228" s="12">
        <f t="shared" si="8"/>
        <v>9.07776750135522E-3</v>
      </c>
      <c r="Y228" s="12">
        <f t="shared" si="9"/>
        <v>-1.4377268209873608E-2</v>
      </c>
      <c r="Z228" s="12">
        <f t="shared" si="10"/>
        <v>-9.4945225346888696E-3</v>
      </c>
    </row>
    <row r="229" spans="1:26" ht="13">
      <c r="A229" s="8" t="s">
        <v>63</v>
      </c>
      <c r="B229" s="9">
        <v>2019</v>
      </c>
      <c r="C229" s="10">
        <v>631.26</v>
      </c>
      <c r="D229" s="10">
        <v>769.27</v>
      </c>
      <c r="E229" s="10">
        <v>4146.82</v>
      </c>
      <c r="F229" s="10">
        <v>3133.92</v>
      </c>
      <c r="G229" s="10">
        <v>704.9</v>
      </c>
      <c r="H229" s="10">
        <f t="shared" si="44"/>
        <v>0.15222748998027405</v>
      </c>
      <c r="I229" s="10">
        <f t="shared" si="45"/>
        <v>0.18550841367602164</v>
      </c>
      <c r="J229" s="10">
        <f t="shared" si="46"/>
        <v>4.4459072208823951</v>
      </c>
      <c r="K229" s="4">
        <f t="shared" si="50"/>
        <v>-3.9454093758414395</v>
      </c>
      <c r="L229" s="10">
        <f t="shared" si="40"/>
        <v>0.18550841367602164</v>
      </c>
      <c r="M229" s="10">
        <v>838.24</v>
      </c>
      <c r="N229" s="10">
        <v>-223.66</v>
      </c>
      <c r="O229" s="10">
        <v>-620.1</v>
      </c>
      <c r="P229" s="11">
        <v>0.54149999999999998</v>
      </c>
      <c r="Q229" s="11">
        <f>(17.33+0.01+0.01)%</f>
        <v>0.17350000000000002</v>
      </c>
      <c r="R229" s="12">
        <f t="shared" si="41"/>
        <v>0.20214043532152351</v>
      </c>
      <c r="S229" s="12">
        <f t="shared" si="42"/>
        <v>-5.3935304643075901E-2</v>
      </c>
      <c r="T229" s="12">
        <f t="shared" si="43"/>
        <v>-0.14953627116682183</v>
      </c>
      <c r="U229" s="12">
        <f t="shared" si="15"/>
        <v>0.10945904572660498</v>
      </c>
      <c r="V229" s="12">
        <f t="shared" si="6"/>
        <v>-2.9205967464225598E-2</v>
      </c>
      <c r="W229" s="12">
        <f t="shared" si="7"/>
        <v>-8.0973890836834025E-2</v>
      </c>
      <c r="X229" s="12">
        <f t="shared" si="8"/>
        <v>3.5071365528284333E-2</v>
      </c>
      <c r="Y229" s="12">
        <f t="shared" si="9"/>
        <v>-9.3577753555736699E-3</v>
      </c>
      <c r="Z229" s="12">
        <f t="shared" si="10"/>
        <v>-2.5944543047443591E-2</v>
      </c>
    </row>
    <row r="230" spans="1:26" ht="13">
      <c r="A230" s="8" t="s">
        <v>63</v>
      </c>
      <c r="B230" s="9">
        <v>2020</v>
      </c>
      <c r="C230" s="10">
        <v>738.53</v>
      </c>
      <c r="D230" s="10">
        <v>879.46</v>
      </c>
      <c r="E230" s="10">
        <v>4447.5</v>
      </c>
      <c r="F230" s="10">
        <v>3480.8</v>
      </c>
      <c r="G230" s="10">
        <v>816.43</v>
      </c>
      <c r="H230" s="10">
        <f t="shared" si="44"/>
        <v>0.16605508712759978</v>
      </c>
      <c r="I230" s="10">
        <f t="shared" si="45"/>
        <v>0.19774255199550311</v>
      </c>
      <c r="J230" s="10">
        <f t="shared" si="46"/>
        <v>4.2634396090295557</v>
      </c>
      <c r="K230" s="4">
        <f t="shared" si="50"/>
        <v>-3.9371691041359496</v>
      </c>
      <c r="L230" s="10">
        <f t="shared" si="40"/>
        <v>0.19774255199550311</v>
      </c>
      <c r="M230" s="10">
        <v>826.17</v>
      </c>
      <c r="N230" s="10">
        <v>-248.09</v>
      </c>
      <c r="O230" s="10">
        <v>-575.38</v>
      </c>
      <c r="P230" s="11">
        <v>0.54590000000000005</v>
      </c>
      <c r="Q230" s="11">
        <f>ROUND((7+3180+7426+210+1500+1868+265+929+9)/130746071,6)</f>
        <v>1.18E-4</v>
      </c>
      <c r="R230" s="12">
        <f t="shared" si="41"/>
        <v>0.18576053962900504</v>
      </c>
      <c r="S230" s="12">
        <f t="shared" si="42"/>
        <v>-5.5781899943788647E-2</v>
      </c>
      <c r="T230" s="12">
        <f t="shared" si="43"/>
        <v>-0.12937155705452502</v>
      </c>
      <c r="U230" s="12">
        <f t="shared" si="15"/>
        <v>0.10140667858347387</v>
      </c>
      <c r="V230" s="12">
        <f t="shared" si="6"/>
        <v>-3.0451339179314224E-2</v>
      </c>
      <c r="W230" s="12">
        <f t="shared" si="7"/>
        <v>-7.0623932996065217E-2</v>
      </c>
      <c r="X230" s="12">
        <f t="shared" si="8"/>
        <v>2.1919743676222594E-5</v>
      </c>
      <c r="Y230" s="12">
        <f t="shared" si="9"/>
        <v>-6.5822641933670597E-6</v>
      </c>
      <c r="Z230" s="12">
        <f t="shared" si="10"/>
        <v>-1.5265843732433953E-5</v>
      </c>
    </row>
    <row r="231" spans="1:26" ht="13">
      <c r="A231" s="8" t="s">
        <v>63</v>
      </c>
      <c r="B231" s="9">
        <v>2021</v>
      </c>
      <c r="C231" s="10">
        <v>776.28</v>
      </c>
      <c r="D231" s="10">
        <v>824.52</v>
      </c>
      <c r="E231" s="10">
        <v>4617.67</v>
      </c>
      <c r="F231" s="10">
        <v>3727.29</v>
      </c>
      <c r="G231" s="10">
        <v>757.72</v>
      </c>
      <c r="H231" s="10">
        <f t="shared" si="44"/>
        <v>0.16811075715674786</v>
      </c>
      <c r="I231" s="10">
        <f t="shared" si="45"/>
        <v>0.17855758423620569</v>
      </c>
      <c r="J231" s="10">
        <f t="shared" si="46"/>
        <v>4.91908620598638</v>
      </c>
      <c r="K231" s="4">
        <f t="shared" si="50"/>
        <v>-4.0583965218829388</v>
      </c>
      <c r="L231" s="10">
        <f t="shared" si="40"/>
        <v>0.17855758423620569</v>
      </c>
      <c r="M231" s="10">
        <v>452.44</v>
      </c>
      <c r="N231" s="10">
        <v>45.69</v>
      </c>
      <c r="O231" s="10">
        <v>-527.86</v>
      </c>
      <c r="P231" s="11">
        <v>0.54239999999999999</v>
      </c>
      <c r="Q231" s="11">
        <f>ROUND((7+3180+3426+210+2800+1868+65+929+9)/130746071,6)</f>
        <v>9.6000000000000002E-5</v>
      </c>
      <c r="R231" s="12">
        <f t="shared" si="41"/>
        <v>9.7980150162311291E-2</v>
      </c>
      <c r="S231" s="12">
        <f t="shared" si="42"/>
        <v>9.8946005236407106E-3</v>
      </c>
      <c r="T231" s="12">
        <f t="shared" si="43"/>
        <v>-0.11431306264847857</v>
      </c>
      <c r="U231" s="12">
        <f t="shared" si="15"/>
        <v>5.3144433448037647E-2</v>
      </c>
      <c r="V231" s="12">
        <f t="shared" si="6"/>
        <v>5.3668313240227217E-3</v>
      </c>
      <c r="W231" s="12">
        <f t="shared" si="7"/>
        <v>-6.2003405180534772E-2</v>
      </c>
      <c r="X231" s="12">
        <f t="shared" si="8"/>
        <v>9.4060944155818839E-6</v>
      </c>
      <c r="Y231" s="12">
        <f t="shared" si="9"/>
        <v>9.4988165026950824E-7</v>
      </c>
      <c r="Z231" s="12">
        <f t="shared" si="10"/>
        <v>-1.0974054014253943E-5</v>
      </c>
    </row>
    <row r="232" spans="1:26" ht="13">
      <c r="A232" s="8" t="s">
        <v>64</v>
      </c>
      <c r="B232" s="9">
        <v>2017</v>
      </c>
      <c r="C232" s="10">
        <v>3.33</v>
      </c>
      <c r="D232" s="10">
        <v>263.43</v>
      </c>
      <c r="E232" s="10">
        <v>548.87</v>
      </c>
      <c r="F232" s="10">
        <v>277.98</v>
      </c>
      <c r="G232" s="10">
        <v>262.83</v>
      </c>
      <c r="H232" s="10">
        <f t="shared" si="44"/>
        <v>6.067010403192013E-3</v>
      </c>
      <c r="I232" s="10">
        <f t="shared" si="45"/>
        <v>0.47994971486873028</v>
      </c>
      <c r="J232" s="10">
        <f t="shared" si="46"/>
        <v>1.0576418217098507</v>
      </c>
      <c r="K232" s="4">
        <f t="shared" si="50"/>
        <v>-1.5958187393494407</v>
      </c>
      <c r="L232" s="10">
        <f t="shared" si="40"/>
        <v>0.47994971486873028</v>
      </c>
      <c r="M232" s="10">
        <v>-14.27</v>
      </c>
      <c r="N232" s="10">
        <v>-47.15</v>
      </c>
      <c r="O232" s="10">
        <v>56.73</v>
      </c>
      <c r="P232" s="11">
        <v>3.5000000000000001E-3</v>
      </c>
      <c r="Q232" s="11">
        <f>(17.62+2.21+0.43)%</f>
        <v>0.2026</v>
      </c>
      <c r="R232" s="12">
        <f t="shared" si="41"/>
        <v>-2.5998870406471478E-2</v>
      </c>
      <c r="S232" s="12">
        <f t="shared" si="42"/>
        <v>-8.5903765919070091E-2</v>
      </c>
      <c r="T232" s="12">
        <f t="shared" si="43"/>
        <v>0.10335780785978464</v>
      </c>
      <c r="U232" s="12">
        <f t="shared" si="15"/>
        <v>-9.0996046422650183E-5</v>
      </c>
      <c r="V232" s="12">
        <f t="shared" si="6"/>
        <v>-3.0066318071674534E-4</v>
      </c>
      <c r="W232" s="12">
        <f t="shared" si="7"/>
        <v>3.6175232750924625E-4</v>
      </c>
      <c r="X232" s="12">
        <f t="shared" si="8"/>
        <v>-5.2673711443511212E-3</v>
      </c>
      <c r="Y232" s="12">
        <f t="shared" si="9"/>
        <v>-1.74041029752036E-2</v>
      </c>
      <c r="Z232" s="12">
        <f t="shared" si="10"/>
        <v>2.094029187239237E-2</v>
      </c>
    </row>
    <row r="233" spans="1:26" ht="13">
      <c r="A233" s="8" t="s">
        <v>64</v>
      </c>
      <c r="B233" s="9">
        <v>2018</v>
      </c>
      <c r="C233" s="10">
        <v>6.31</v>
      </c>
      <c r="D233" s="10">
        <v>257.10000000000002</v>
      </c>
      <c r="E233" s="10">
        <v>610.99</v>
      </c>
      <c r="F233" s="10">
        <v>300.77</v>
      </c>
      <c r="G233" s="10">
        <v>256.5</v>
      </c>
      <c r="H233" s="10">
        <f t="shared" si="44"/>
        <v>1.0327501268433199E-2</v>
      </c>
      <c r="I233" s="10">
        <f t="shared" si="45"/>
        <v>0.42079248432871247</v>
      </c>
      <c r="J233" s="10">
        <f t="shared" si="46"/>
        <v>1.1725925925925926</v>
      </c>
      <c r="K233" s="4">
        <f t="shared" si="50"/>
        <v>-1.9526469654046585</v>
      </c>
      <c r="L233" s="10">
        <f t="shared" si="40"/>
        <v>0.42079248432871247</v>
      </c>
      <c r="M233" s="10">
        <v>10.210000000000001</v>
      </c>
      <c r="N233" s="10">
        <v>-53.94</v>
      </c>
      <c r="O233" s="10">
        <v>48.01</v>
      </c>
      <c r="P233" s="11">
        <v>1.2999999999999999E-3</v>
      </c>
      <c r="Q233" s="11">
        <f t="shared" ref="Q233:Q234" si="51">(21.13+1.7+0.34)%</f>
        <v>0.23169999999999999</v>
      </c>
      <c r="R233" s="12">
        <f t="shared" si="41"/>
        <v>1.6710584461284147E-2</v>
      </c>
      <c r="S233" s="12">
        <f t="shared" si="42"/>
        <v>-8.8282950621123096E-2</v>
      </c>
      <c r="T233" s="12">
        <f t="shared" si="43"/>
        <v>7.8577390791993315E-2</v>
      </c>
      <c r="U233" s="12">
        <f t="shared" si="15"/>
        <v>2.172375979966939E-5</v>
      </c>
      <c r="V233" s="12">
        <f t="shared" si="6"/>
        <v>-1.1476783580746002E-4</v>
      </c>
      <c r="W233" s="12">
        <f t="shared" si="7"/>
        <v>1.0215060802959131E-4</v>
      </c>
      <c r="X233" s="12">
        <f t="shared" si="8"/>
        <v>3.8718424196795367E-3</v>
      </c>
      <c r="Y233" s="12">
        <f t="shared" si="9"/>
        <v>-2.0455159658914219E-2</v>
      </c>
      <c r="Z233" s="12">
        <f t="shared" si="10"/>
        <v>1.8206381446504851E-2</v>
      </c>
    </row>
    <row r="234" spans="1:26" ht="13">
      <c r="A234" s="8" t="s">
        <v>64</v>
      </c>
      <c r="B234" s="9">
        <v>2019</v>
      </c>
      <c r="C234" s="10">
        <v>4.67</v>
      </c>
      <c r="D234" s="10">
        <v>211.36</v>
      </c>
      <c r="E234" s="10">
        <v>569.29</v>
      </c>
      <c r="F234" s="10">
        <v>273.83999999999997</v>
      </c>
      <c r="G234" s="10">
        <v>211.2</v>
      </c>
      <c r="H234" s="10">
        <f t="shared" si="44"/>
        <v>8.2032004777881223E-3</v>
      </c>
      <c r="I234" s="10">
        <f t="shared" si="45"/>
        <v>0.37126947601398236</v>
      </c>
      <c r="J234" s="10">
        <f t="shared" si="46"/>
        <v>1.2965909090909091</v>
      </c>
      <c r="K234" s="4">
        <f t="shared" si="50"/>
        <v>-2.2258647525067112</v>
      </c>
      <c r="L234" s="10">
        <f t="shared" si="40"/>
        <v>0.37126947601398236</v>
      </c>
      <c r="M234" s="10">
        <v>21.53</v>
      </c>
      <c r="N234" s="10">
        <v>-7.61</v>
      </c>
      <c r="O234" s="10">
        <v>14.77</v>
      </c>
      <c r="P234" s="11">
        <v>1.9E-3</v>
      </c>
      <c r="Q234" s="11">
        <f t="shared" si="51"/>
        <v>0.23169999999999999</v>
      </c>
      <c r="R234" s="12">
        <f t="shared" si="41"/>
        <v>3.7819037748774792E-2</v>
      </c>
      <c r="S234" s="12">
        <f t="shared" si="42"/>
        <v>-1.3367527973440603E-2</v>
      </c>
      <c r="T234" s="12">
        <f t="shared" si="43"/>
        <v>2.5944597656730316E-2</v>
      </c>
      <c r="U234" s="12">
        <f t="shared" si="15"/>
        <v>7.1856171722672104E-5</v>
      </c>
      <c r="V234" s="12">
        <f t="shared" si="6"/>
        <v>-2.5398303149537147E-5</v>
      </c>
      <c r="W234" s="12">
        <f t="shared" si="7"/>
        <v>4.9294735547787601E-5</v>
      </c>
      <c r="X234" s="12">
        <f t="shared" si="8"/>
        <v>8.762671046391118E-3</v>
      </c>
      <c r="Y234" s="12">
        <f t="shared" si="9"/>
        <v>-3.0972562314461878E-3</v>
      </c>
      <c r="Z234" s="12">
        <f t="shared" si="10"/>
        <v>6.0113632770644135E-3</v>
      </c>
    </row>
    <row r="235" spans="1:26" ht="13">
      <c r="A235" s="8" t="s">
        <v>64</v>
      </c>
      <c r="B235" s="9">
        <v>2020</v>
      </c>
      <c r="C235" s="10">
        <v>-79.39</v>
      </c>
      <c r="D235" s="10">
        <v>240.69</v>
      </c>
      <c r="E235" s="10">
        <v>518.54</v>
      </c>
      <c r="F235" s="10">
        <v>237.47</v>
      </c>
      <c r="G235" s="10">
        <v>236.68</v>
      </c>
      <c r="H235" s="10">
        <f t="shared" si="44"/>
        <v>-0.15310294287808077</v>
      </c>
      <c r="I235" s="10">
        <f t="shared" si="45"/>
        <v>0.46416862729972619</v>
      </c>
      <c r="J235" s="10">
        <f t="shared" si="46"/>
        <v>1.0033378401216833</v>
      </c>
      <c r="K235" s="4">
        <f t="shared" si="50"/>
        <v>-0.96928893280068418</v>
      </c>
      <c r="L235" s="10">
        <f t="shared" si="40"/>
        <v>0.46416862729972619</v>
      </c>
      <c r="M235" s="10">
        <v>16.34</v>
      </c>
      <c r="N235" s="10">
        <v>-25.93</v>
      </c>
      <c r="O235" s="10">
        <v>-2.87</v>
      </c>
      <c r="P235" s="11">
        <v>8.3999999999999995E-3</v>
      </c>
      <c r="Q235" s="11">
        <f>(24.32+1.7+0.34)%</f>
        <v>0.2636</v>
      </c>
      <c r="R235" s="12">
        <f t="shared" si="41"/>
        <v>3.1511551664288193E-2</v>
      </c>
      <c r="S235" s="12">
        <f t="shared" si="42"/>
        <v>-5.0005785474601772E-2</v>
      </c>
      <c r="T235" s="12">
        <f t="shared" si="43"/>
        <v>-5.5347707023566169E-3</v>
      </c>
      <c r="U235" s="12">
        <f t="shared" si="15"/>
        <v>2.6469703398002083E-4</v>
      </c>
      <c r="V235" s="12">
        <f t="shared" si="6"/>
        <v>-4.2004859798665484E-4</v>
      </c>
      <c r="W235" s="12">
        <f t="shared" si="7"/>
        <v>-4.6492073899795579E-5</v>
      </c>
      <c r="X235" s="12">
        <f t="shared" si="8"/>
        <v>8.3064450187063672E-3</v>
      </c>
      <c r="Y235" s="12">
        <f t="shared" si="9"/>
        <v>-1.3181525051105028E-2</v>
      </c>
      <c r="Z235" s="12">
        <f t="shared" si="10"/>
        <v>-1.4589655571412043E-3</v>
      </c>
    </row>
    <row r="236" spans="1:26" ht="13">
      <c r="A236" s="8" t="s">
        <v>64</v>
      </c>
      <c r="B236" s="9">
        <v>2021</v>
      </c>
      <c r="C236" s="10">
        <v>67.739999999999995</v>
      </c>
      <c r="D236" s="10">
        <v>191.05</v>
      </c>
      <c r="E236" s="10">
        <v>536.44000000000005</v>
      </c>
      <c r="F236" s="10">
        <v>280.60000000000002</v>
      </c>
      <c r="G236" s="10">
        <v>191.05</v>
      </c>
      <c r="H236" s="10">
        <f t="shared" si="44"/>
        <v>0.12627693684289015</v>
      </c>
      <c r="I236" s="10">
        <f t="shared" si="45"/>
        <v>0.35614420997688462</v>
      </c>
      <c r="J236" s="10">
        <f t="shared" si="46"/>
        <v>1.4687254645380792</v>
      </c>
      <c r="K236" s="4">
        <f t="shared" si="50"/>
        <v>-2.844099120782916</v>
      </c>
      <c r="L236" s="10">
        <f t="shared" si="40"/>
        <v>0.35614420997688462</v>
      </c>
      <c r="M236" s="10">
        <v>18.27</v>
      </c>
      <c r="N236" s="10">
        <v>9.3000000000000007</v>
      </c>
      <c r="O236" s="10">
        <v>-20.14</v>
      </c>
      <c r="P236" s="11">
        <v>1.2999999999999999E-2</v>
      </c>
      <c r="Q236" s="11">
        <f>(4.99+4.09+0.13+0.16)%</f>
        <v>9.3700000000000006E-2</v>
      </c>
      <c r="R236" s="12">
        <f t="shared" si="41"/>
        <v>3.4057862948325995E-2</v>
      </c>
      <c r="S236" s="12">
        <f t="shared" si="42"/>
        <v>1.7336514801282527E-2</v>
      </c>
      <c r="T236" s="12">
        <f t="shared" si="43"/>
        <v>-3.7543807322347321E-2</v>
      </c>
      <c r="U236" s="12">
        <f t="shared" si="15"/>
        <v>4.427522183282379E-4</v>
      </c>
      <c r="V236" s="12">
        <f t="shared" si="6"/>
        <v>2.2537469241667285E-4</v>
      </c>
      <c r="W236" s="12">
        <f t="shared" si="7"/>
        <v>-4.8806949519051516E-4</v>
      </c>
      <c r="X236" s="12">
        <f t="shared" si="8"/>
        <v>3.1912217582581461E-3</v>
      </c>
      <c r="Y236" s="12">
        <f t="shared" si="9"/>
        <v>1.6244314368801728E-3</v>
      </c>
      <c r="Z236" s="12">
        <f t="shared" si="10"/>
        <v>-3.5178547461039442E-3</v>
      </c>
    </row>
    <row r="237" spans="1:26" ht="13">
      <c r="A237" s="8" t="s">
        <v>65</v>
      </c>
      <c r="B237" s="9">
        <v>2017</v>
      </c>
      <c r="C237" s="10">
        <v>202.39</v>
      </c>
      <c r="D237" s="10">
        <v>3192.67</v>
      </c>
      <c r="E237" s="10">
        <v>6083.23</v>
      </c>
      <c r="F237" s="10">
        <v>4809.79</v>
      </c>
      <c r="G237" s="10">
        <v>1607.68</v>
      </c>
      <c r="H237" s="10">
        <f t="shared" si="44"/>
        <v>3.3270154177961378E-2</v>
      </c>
      <c r="I237" s="10">
        <f t="shared" si="45"/>
        <v>0.52483138069742563</v>
      </c>
      <c r="J237" s="10">
        <f t="shared" si="46"/>
        <v>2.9917583101114649</v>
      </c>
      <c r="K237" s="4">
        <f t="shared" si="50"/>
        <v>-1.4701438570659455</v>
      </c>
      <c r="L237" s="10">
        <f t="shared" si="40"/>
        <v>0.52483138069742563</v>
      </c>
      <c r="M237" s="10">
        <v>-257.88</v>
      </c>
      <c r="N237" s="10">
        <v>289.81</v>
      </c>
      <c r="O237" s="10">
        <v>-3.39</v>
      </c>
      <c r="P237" s="11">
        <v>1.9E-2</v>
      </c>
      <c r="Q237" s="11">
        <f>(4.44+0.55+0.003+0.022+0.01+0.04)%</f>
        <v>5.0650000000000001E-2</v>
      </c>
      <c r="R237" s="12">
        <f t="shared" si="41"/>
        <v>-4.2391952959200951E-2</v>
      </c>
      <c r="S237" s="12">
        <f t="shared" si="42"/>
        <v>4.7640809241143278E-2</v>
      </c>
      <c r="T237" s="12">
        <f t="shared" si="43"/>
        <v>-5.5726973992434943E-4</v>
      </c>
      <c r="U237" s="12">
        <f t="shared" si="15"/>
        <v>-8.0544710622481805E-4</v>
      </c>
      <c r="V237" s="12">
        <f t="shared" si="6"/>
        <v>9.0517537558172222E-4</v>
      </c>
      <c r="W237" s="12">
        <f t="shared" si="7"/>
        <v>-1.0588125058562639E-5</v>
      </c>
      <c r="X237" s="12">
        <f t="shared" si="8"/>
        <v>-2.1471524173835282E-3</v>
      </c>
      <c r="Y237" s="12">
        <f t="shared" si="9"/>
        <v>2.4130069880639073E-3</v>
      </c>
      <c r="Z237" s="12">
        <f t="shared" si="10"/>
        <v>-2.8225712327168298E-5</v>
      </c>
    </row>
    <row r="238" spans="1:26" ht="13">
      <c r="A238" s="8" t="s">
        <v>65</v>
      </c>
      <c r="B238" s="9">
        <v>2018</v>
      </c>
      <c r="C238" s="10">
        <v>332.93</v>
      </c>
      <c r="D238" s="10">
        <v>3612.75</v>
      </c>
      <c r="E238" s="10">
        <v>6832.11</v>
      </c>
      <c r="F238" s="10">
        <v>5633.63</v>
      </c>
      <c r="G238" s="10">
        <v>2997.36</v>
      </c>
      <c r="H238" s="10">
        <f t="shared" si="44"/>
        <v>4.8730187306703206E-2</v>
      </c>
      <c r="I238" s="10">
        <f t="shared" si="45"/>
        <v>0.52878978822062295</v>
      </c>
      <c r="J238" s="10">
        <f t="shared" si="46"/>
        <v>1.8795306536418714</v>
      </c>
      <c r="K238" s="4">
        <f t="shared" si="50"/>
        <v>-1.5127021726371805</v>
      </c>
      <c r="L238" s="10">
        <f t="shared" si="40"/>
        <v>0.52878978822062295</v>
      </c>
      <c r="M238" s="10">
        <v>430.58</v>
      </c>
      <c r="N238" s="10">
        <v>236.72</v>
      </c>
      <c r="O238" s="10">
        <v>-135.37</v>
      </c>
      <c r="P238" s="11">
        <v>2.0400000000000001E-2</v>
      </c>
      <c r="Q238" s="11">
        <f>(6.14+2.82+0.37+0.003+0.001+0.01+0.01+0.5)%</f>
        <v>9.8539999999999975E-2</v>
      </c>
      <c r="R238" s="12">
        <f t="shared" si="41"/>
        <v>6.3022989969423793E-2</v>
      </c>
      <c r="S238" s="12">
        <f t="shared" si="42"/>
        <v>3.4648154084170192E-2</v>
      </c>
      <c r="T238" s="12">
        <f t="shared" si="43"/>
        <v>-1.9813791054300943E-2</v>
      </c>
      <c r="U238" s="12">
        <f t="shared" si="15"/>
        <v>1.2856689953762454E-3</v>
      </c>
      <c r="V238" s="12">
        <f t="shared" si="6"/>
        <v>7.06822343317072E-4</v>
      </c>
      <c r="W238" s="12">
        <f t="shared" si="7"/>
        <v>-4.0420133750773929E-4</v>
      </c>
      <c r="X238" s="12">
        <f t="shared" si="8"/>
        <v>6.210285431587019E-3</v>
      </c>
      <c r="Y238" s="12">
        <f t="shared" si="9"/>
        <v>3.4142291034541298E-3</v>
      </c>
      <c r="Z238" s="12">
        <f t="shared" si="10"/>
        <v>-1.9524509704908143E-3</v>
      </c>
    </row>
    <row r="239" spans="1:26" ht="13">
      <c r="A239" s="8" t="s">
        <v>65</v>
      </c>
      <c r="B239" s="9">
        <v>2019</v>
      </c>
      <c r="C239" s="10">
        <v>371.82</v>
      </c>
      <c r="D239" s="10">
        <v>4187.78</v>
      </c>
      <c r="E239" s="10">
        <v>8197.23</v>
      </c>
      <c r="F239" s="10">
        <v>7130.82</v>
      </c>
      <c r="G239" s="10">
        <v>3269.45</v>
      </c>
      <c r="H239" s="10">
        <f t="shared" si="44"/>
        <v>4.5359225006496098E-2</v>
      </c>
      <c r="I239" s="10">
        <f t="shared" si="45"/>
        <v>0.51087745494514614</v>
      </c>
      <c r="J239" s="10">
        <f t="shared" si="46"/>
        <v>2.1810457416385018</v>
      </c>
      <c r="K239" s="4">
        <f t="shared" si="50"/>
        <v>-1.600839202308453</v>
      </c>
      <c r="L239" s="10">
        <f t="shared" si="40"/>
        <v>0.51087745494514614</v>
      </c>
      <c r="M239" s="10">
        <v>-245.41</v>
      </c>
      <c r="N239" s="10">
        <v>-9.2200000000000006</v>
      </c>
      <c r="O239" s="10">
        <v>113.72</v>
      </c>
      <c r="P239" s="11">
        <v>0.59099999999999997</v>
      </c>
      <c r="Q239" s="11">
        <v>0.1062</v>
      </c>
      <c r="R239" s="12">
        <f t="shared" si="41"/>
        <v>-2.9938162037663942E-2</v>
      </c>
      <c r="S239" s="12">
        <f t="shared" si="42"/>
        <v>-1.1247701967615892E-3</v>
      </c>
      <c r="T239" s="12">
        <f t="shared" si="43"/>
        <v>1.3872979042920596E-2</v>
      </c>
      <c r="U239" s="12">
        <f t="shared" si="15"/>
        <v>-1.769345376425939E-2</v>
      </c>
      <c r="V239" s="12">
        <f t="shared" si="6"/>
        <v>-6.647391862860992E-4</v>
      </c>
      <c r="W239" s="12">
        <f t="shared" si="7"/>
        <v>8.198930614366072E-3</v>
      </c>
      <c r="X239" s="12">
        <f t="shared" si="8"/>
        <v>-3.1794328083999106E-3</v>
      </c>
      <c r="Y239" s="12">
        <f t="shared" si="9"/>
        <v>-1.1945059489608078E-4</v>
      </c>
      <c r="Z239" s="12">
        <f t="shared" si="10"/>
        <v>1.4733103743581673E-3</v>
      </c>
    </row>
    <row r="240" spans="1:26" ht="13">
      <c r="A240" s="8" t="s">
        <v>65</v>
      </c>
      <c r="B240" s="9">
        <v>2020</v>
      </c>
      <c r="C240" s="10">
        <v>721.9</v>
      </c>
      <c r="D240" s="10">
        <v>7036.03</v>
      </c>
      <c r="E240" s="10">
        <v>11826.16</v>
      </c>
      <c r="F240" s="10">
        <v>7299.15</v>
      </c>
      <c r="G240" s="10">
        <v>5986.66</v>
      </c>
      <c r="H240" s="10">
        <f t="shared" si="44"/>
        <v>6.1042637677826105E-2</v>
      </c>
      <c r="I240" s="10">
        <f t="shared" si="45"/>
        <v>0.59495474439716689</v>
      </c>
      <c r="J240" s="10">
        <f t="shared" si="46"/>
        <v>1.2192357675231265</v>
      </c>
      <c r="K240" s="4">
        <f t="shared" si="50"/>
        <v>-1.1883267695564586</v>
      </c>
      <c r="L240" s="10">
        <f t="shared" si="40"/>
        <v>0.59495474439716689</v>
      </c>
      <c r="M240" s="10">
        <v>-504.3</v>
      </c>
      <c r="N240" s="10">
        <v>-19.09</v>
      </c>
      <c r="O240" s="10">
        <v>332.39</v>
      </c>
      <c r="P240" s="11">
        <v>1.83E-2</v>
      </c>
      <c r="Q240" s="11">
        <f>(0.25+8.84+8.95)%</f>
        <v>0.1804</v>
      </c>
      <c r="R240" s="12">
        <f t="shared" si="41"/>
        <v>-4.2642751324182999E-2</v>
      </c>
      <c r="S240" s="12">
        <f t="shared" si="42"/>
        <v>-1.6142179710066497E-3</v>
      </c>
      <c r="T240" s="12">
        <f t="shared" si="43"/>
        <v>2.8106333754997395E-2</v>
      </c>
      <c r="U240" s="12">
        <f t="shared" si="15"/>
        <v>-7.8036234923254885E-4</v>
      </c>
      <c r="V240" s="12">
        <f t="shared" si="6"/>
        <v>-2.9540188869421691E-5</v>
      </c>
      <c r="W240" s="12">
        <f t="shared" si="7"/>
        <v>5.1434590771645239E-4</v>
      </c>
      <c r="X240" s="12">
        <f t="shared" si="8"/>
        <v>-7.6927523388826136E-3</v>
      </c>
      <c r="Y240" s="12">
        <f t="shared" si="9"/>
        <v>-2.9120492196959961E-4</v>
      </c>
      <c r="Z240" s="12">
        <f t="shared" si="10"/>
        <v>5.0703826094015301E-3</v>
      </c>
    </row>
    <row r="241" spans="1:26" ht="13">
      <c r="A241" s="8" t="s">
        <v>65</v>
      </c>
      <c r="B241" s="9">
        <v>2021</v>
      </c>
      <c r="C241" s="10">
        <v>989.94</v>
      </c>
      <c r="D241" s="10">
        <v>9175.42</v>
      </c>
      <c r="E241" s="10">
        <v>16846.900000000001</v>
      </c>
      <c r="F241" s="10">
        <v>11214.62</v>
      </c>
      <c r="G241" s="10">
        <v>4670.43</v>
      </c>
      <c r="H241" s="10">
        <f t="shared" si="44"/>
        <v>5.8760958989487681E-2</v>
      </c>
      <c r="I241" s="10">
        <f t="shared" si="45"/>
        <v>0.54463551157779766</v>
      </c>
      <c r="J241" s="10">
        <f t="shared" si="46"/>
        <v>2.4011964637089092</v>
      </c>
      <c r="K241" s="4">
        <f t="shared" si="50"/>
        <v>-1.4696066853140828</v>
      </c>
      <c r="L241" s="10">
        <f t="shared" si="40"/>
        <v>0.54463551157779766</v>
      </c>
      <c r="M241" s="10">
        <v>-1966.48</v>
      </c>
      <c r="N241" s="10">
        <v>-2767.6</v>
      </c>
      <c r="O241" s="10">
        <v>5331.37</v>
      </c>
      <c r="P241" s="11">
        <v>1.9300000000000001E-2</v>
      </c>
      <c r="Q241" s="11">
        <f>(10.09+10.25+0.155+3.61+0.0007+0.0049+0.0033+0.001+0.0067+0.0031+0.0022+0.0061)%</f>
        <v>0.24132999999999996</v>
      </c>
      <c r="R241" s="12">
        <f t="shared" si="41"/>
        <v>-0.11672651941900289</v>
      </c>
      <c r="S241" s="12">
        <f t="shared" si="42"/>
        <v>-0.16427948168505777</v>
      </c>
      <c r="T241" s="12">
        <f t="shared" si="43"/>
        <v>0.31646000154331061</v>
      </c>
      <c r="U241" s="12">
        <f t="shared" si="15"/>
        <v>-2.2528218247867557E-3</v>
      </c>
      <c r="V241" s="12">
        <f t="shared" si="6"/>
        <v>-3.170593996521615E-3</v>
      </c>
      <c r="W241" s="12">
        <f t="shared" si="7"/>
        <v>6.1076780297858952E-3</v>
      </c>
      <c r="X241" s="12">
        <f t="shared" si="8"/>
        <v>-2.8169610931387961E-2</v>
      </c>
      <c r="Y241" s="12">
        <f t="shared" si="9"/>
        <v>-3.9645567315054982E-2</v>
      </c>
      <c r="Z241" s="12">
        <f t="shared" si="10"/>
        <v>7.6371292172447133E-2</v>
      </c>
    </row>
    <row r="242" spans="1:26" ht="13">
      <c r="A242" s="8" t="s">
        <v>66</v>
      </c>
      <c r="B242" s="9">
        <v>2017</v>
      </c>
      <c r="C242" s="10">
        <v>59.36</v>
      </c>
      <c r="D242" s="10">
        <v>4960.7299999999996</v>
      </c>
      <c r="E242" s="10">
        <v>8312.49</v>
      </c>
      <c r="F242" s="10">
        <v>3297.98</v>
      </c>
      <c r="G242" s="10">
        <v>1759.61</v>
      </c>
      <c r="H242" s="10">
        <f t="shared" si="44"/>
        <v>7.1410612223292902E-3</v>
      </c>
      <c r="I242" s="10">
        <f t="shared" si="45"/>
        <v>0.59678026680332841</v>
      </c>
      <c r="J242" s="10">
        <f t="shared" si="46"/>
        <v>1.8742675933871711</v>
      </c>
      <c r="K242" s="4">
        <f t="shared" si="50"/>
        <v>-0.93798432509505814</v>
      </c>
      <c r="L242" s="10">
        <f t="shared" si="40"/>
        <v>0.59678026680332841</v>
      </c>
      <c r="M242" s="10">
        <v>-338.64</v>
      </c>
      <c r="N242" s="10">
        <v>-305.45</v>
      </c>
      <c r="O242" s="10">
        <v>917.47</v>
      </c>
      <c r="P242" s="11">
        <v>0.14180000000000001</v>
      </c>
      <c r="Q242" s="11">
        <f>(18.65+0.33+0.0037)%</f>
        <v>0.18983699999999995</v>
      </c>
      <c r="R242" s="12">
        <f t="shared" si="41"/>
        <v>-4.0738695625498499E-2</v>
      </c>
      <c r="S242" s="12">
        <f t="shared" si="42"/>
        <v>-3.6745908867258786E-2</v>
      </c>
      <c r="T242" s="12">
        <f t="shared" si="43"/>
        <v>0.11037246360597126</v>
      </c>
      <c r="U242" s="12">
        <f t="shared" si="15"/>
        <v>-5.7767470396956873E-3</v>
      </c>
      <c r="V242" s="12">
        <f t="shared" si="6"/>
        <v>-5.2105698773772966E-3</v>
      </c>
      <c r="W242" s="12">
        <f t="shared" si="7"/>
        <v>1.5650815339326725E-2</v>
      </c>
      <c r="X242" s="12">
        <f t="shared" si="8"/>
        <v>-7.7337117614577561E-3</v>
      </c>
      <c r="Y242" s="12">
        <f t="shared" si="9"/>
        <v>-6.9757331016338043E-3</v>
      </c>
      <c r="Z242" s="12">
        <f t="shared" si="10"/>
        <v>2.095277737356676E-2</v>
      </c>
    </row>
    <row r="243" spans="1:26" ht="13">
      <c r="A243" s="8" t="s">
        <v>66</v>
      </c>
      <c r="B243" s="9">
        <v>2018</v>
      </c>
      <c r="C243" s="10">
        <v>14.35</v>
      </c>
      <c r="D243" s="10">
        <v>5230.1000000000004</v>
      </c>
      <c r="E243" s="10">
        <v>8712.26</v>
      </c>
      <c r="F243" s="10">
        <v>4061.68</v>
      </c>
      <c r="G243" s="10">
        <v>2531.88</v>
      </c>
      <c r="H243" s="10">
        <f t="shared" si="44"/>
        <v>1.6471041956966389E-3</v>
      </c>
      <c r="I243" s="10">
        <f t="shared" si="45"/>
        <v>0.60031495846083571</v>
      </c>
      <c r="J243" s="10">
        <f t="shared" si="46"/>
        <v>1.6042150496863989</v>
      </c>
      <c r="K243" s="4">
        <f t="shared" si="50"/>
        <v>-0.89203356585261617</v>
      </c>
      <c r="L243" s="10">
        <f t="shared" si="40"/>
        <v>0.60031495846083571</v>
      </c>
      <c r="M243" s="10">
        <v>214.88</v>
      </c>
      <c r="N243" s="10">
        <v>-374.5</v>
      </c>
      <c r="O243" s="10">
        <v>-133.62</v>
      </c>
      <c r="P243" s="11">
        <v>0.11996</v>
      </c>
      <c r="Q243" s="11">
        <f>(0.82+0.023+0.012+0.175)%</f>
        <v>1.03E-2</v>
      </c>
      <c r="R243" s="12">
        <f t="shared" si="41"/>
        <v>2.4664094046780053E-2</v>
      </c>
      <c r="S243" s="12">
        <f t="shared" si="42"/>
        <v>-4.2985402180375699E-2</v>
      </c>
      <c r="T243" s="12">
        <f t="shared" si="43"/>
        <v>-1.533700784870975E-2</v>
      </c>
      <c r="U243" s="12">
        <f t="shared" si="15"/>
        <v>2.958704721851735E-3</v>
      </c>
      <c r="V243" s="12">
        <f t="shared" si="6"/>
        <v>-5.156528845557869E-3</v>
      </c>
      <c r="W243" s="12">
        <f t="shared" si="7"/>
        <v>-1.8398274615312215E-3</v>
      </c>
      <c r="X243" s="12">
        <f t="shared" si="8"/>
        <v>2.5404016868183453E-4</v>
      </c>
      <c r="Y243" s="12">
        <f t="shared" si="9"/>
        <v>-4.4274964245786971E-4</v>
      </c>
      <c r="Z243" s="12">
        <f t="shared" si="10"/>
        <v>-1.5797118084171042E-4</v>
      </c>
    </row>
    <row r="244" spans="1:26" ht="13">
      <c r="A244" s="8" t="s">
        <v>66</v>
      </c>
      <c r="B244" s="9">
        <v>2019</v>
      </c>
      <c r="C244" s="10">
        <v>-7.46</v>
      </c>
      <c r="D244" s="10">
        <v>5184.46</v>
      </c>
      <c r="E244" s="10">
        <v>8614.51</v>
      </c>
      <c r="F244" s="10">
        <v>3591.3</v>
      </c>
      <c r="G244" s="10">
        <v>2761.36</v>
      </c>
      <c r="H244" s="10">
        <f t="shared" si="44"/>
        <v>-8.6598076965491936E-4</v>
      </c>
      <c r="I244" s="10">
        <f t="shared" si="45"/>
        <v>0.60182877493902731</v>
      </c>
      <c r="J244" s="10">
        <f t="shared" si="46"/>
        <v>1.300554799084509</v>
      </c>
      <c r="K244" s="4">
        <f t="shared" si="50"/>
        <v>-0.87088128858043479</v>
      </c>
      <c r="L244" s="10">
        <f t="shared" si="40"/>
        <v>0.60182877493902731</v>
      </c>
      <c r="M244" s="10">
        <v>339</v>
      </c>
      <c r="N244" s="10">
        <v>-250.61</v>
      </c>
      <c r="O244" s="10">
        <v>10.06</v>
      </c>
      <c r="P244" s="11">
        <v>7.3200000000000001E-2</v>
      </c>
      <c r="Q244" s="11">
        <f>(0.004+0.175+0.023+0.012)%</f>
        <v>2.14E-3</v>
      </c>
      <c r="R244" s="12">
        <f t="shared" si="41"/>
        <v>3.9352209237669931E-2</v>
      </c>
      <c r="S244" s="12">
        <f t="shared" si="42"/>
        <v>-2.9091614032603134E-2</v>
      </c>
      <c r="T244" s="12">
        <f t="shared" si="43"/>
        <v>1.1677971236901462E-3</v>
      </c>
      <c r="U244" s="12">
        <f t="shared" si="15"/>
        <v>2.8805817161974391E-3</v>
      </c>
      <c r="V244" s="12">
        <f t="shared" si="6"/>
        <v>-2.1295061471865496E-3</v>
      </c>
      <c r="W244" s="12">
        <f t="shared" si="7"/>
        <v>8.5482749454118698E-5</v>
      </c>
      <c r="X244" s="12">
        <f t="shared" si="8"/>
        <v>8.4213727768613658E-5</v>
      </c>
      <c r="Y244" s="12">
        <f t="shared" si="9"/>
        <v>-6.225605402977071E-5</v>
      </c>
      <c r="Z244" s="12">
        <f t="shared" si="10"/>
        <v>2.4990858446969127E-6</v>
      </c>
    </row>
    <row r="245" spans="1:26" ht="13">
      <c r="A245" s="8" t="s">
        <v>66</v>
      </c>
      <c r="B245" s="9">
        <v>2020</v>
      </c>
      <c r="C245" s="10">
        <v>-929.78</v>
      </c>
      <c r="D245" s="10">
        <v>5724.01</v>
      </c>
      <c r="E245" s="10">
        <v>8230.57</v>
      </c>
      <c r="F245" s="10">
        <v>2611.42</v>
      </c>
      <c r="G245" s="10">
        <v>3033.67</v>
      </c>
      <c r="H245" s="10">
        <f t="shared" si="44"/>
        <v>-0.11296665966026655</v>
      </c>
      <c r="I245" s="10">
        <f t="shared" si="45"/>
        <v>0.69545730125617067</v>
      </c>
      <c r="J245" s="10">
        <f t="shared" si="46"/>
        <v>0.86081215161833691</v>
      </c>
      <c r="K245" s="4">
        <f t="shared" si="50"/>
        <v>0.16901333702489932</v>
      </c>
      <c r="L245" s="10">
        <f t="shared" si="40"/>
        <v>0.69545730125617067</v>
      </c>
      <c r="M245" s="10">
        <v>314.99</v>
      </c>
      <c r="N245" s="10">
        <v>-214.4</v>
      </c>
      <c r="O245" s="10">
        <v>-132.18</v>
      </c>
      <c r="P245" s="11">
        <v>2.8000000000000001E-2</v>
      </c>
      <c r="Q245" s="11">
        <f>(0.175+0.023+0.012)%</f>
        <v>2.0999999999999999E-3</v>
      </c>
      <c r="R245" s="12">
        <f t="shared" si="41"/>
        <v>3.8270739450609131E-2</v>
      </c>
      <c r="S245" s="12">
        <f t="shared" si="42"/>
        <v>-2.6049228668245335E-2</v>
      </c>
      <c r="T245" s="12">
        <f t="shared" si="43"/>
        <v>-1.6059641069816551E-2</v>
      </c>
      <c r="U245" s="12">
        <f t="shared" si="15"/>
        <v>1.0715807046170556E-3</v>
      </c>
      <c r="V245" s="12">
        <f t="shared" si="6"/>
        <v>-7.2937840271086935E-4</v>
      </c>
      <c r="W245" s="12">
        <f t="shared" si="7"/>
        <v>-4.4966994995486345E-4</v>
      </c>
      <c r="X245" s="12">
        <f t="shared" si="8"/>
        <v>8.0368552846279173E-5</v>
      </c>
      <c r="Y245" s="12">
        <f t="shared" si="9"/>
        <v>-5.4703380203315203E-5</v>
      </c>
      <c r="Z245" s="12">
        <f t="shared" si="10"/>
        <v>-3.3725246246614753E-5</v>
      </c>
    </row>
    <row r="246" spans="1:26" ht="13">
      <c r="A246" s="8" t="s">
        <v>66</v>
      </c>
      <c r="B246" s="9">
        <v>2021</v>
      </c>
      <c r="C246" s="10">
        <v>11.79</v>
      </c>
      <c r="D246" s="10">
        <v>4751.51</v>
      </c>
      <c r="E246" s="10">
        <v>7070.35</v>
      </c>
      <c r="F246" s="10">
        <v>2333.92</v>
      </c>
      <c r="G246" s="10">
        <v>2734.3</v>
      </c>
      <c r="H246" s="10">
        <f t="shared" si="44"/>
        <v>1.6675270672597536E-3</v>
      </c>
      <c r="I246" s="10">
        <f t="shared" si="45"/>
        <v>0.67203320910563125</v>
      </c>
      <c r="J246" s="10">
        <f t="shared" si="46"/>
        <v>0.85357129795560105</v>
      </c>
      <c r="K246" s="4">
        <f t="shared" si="50"/>
        <v>-0.48032886509239292</v>
      </c>
      <c r="L246" s="10">
        <f t="shared" si="40"/>
        <v>0.67203320910563125</v>
      </c>
      <c r="M246" s="10">
        <v>251.98</v>
      </c>
      <c r="N246" s="10">
        <v>-13.76</v>
      </c>
      <c r="O246" s="10">
        <v>-231.21</v>
      </c>
      <c r="P246" s="11">
        <v>2.7099999999999999E-2</v>
      </c>
      <c r="Q246" s="11">
        <f>(0.005+0.18+0.023+0.513)%</f>
        <v>7.2099999999999994E-3</v>
      </c>
      <c r="R246" s="12">
        <f t="shared" si="41"/>
        <v>3.5638971196616853E-2</v>
      </c>
      <c r="S246" s="12">
        <f t="shared" si="42"/>
        <v>-1.9461554237060398E-3</v>
      </c>
      <c r="T246" s="12">
        <f t="shared" si="43"/>
        <v>-3.2701351418246621E-2</v>
      </c>
      <c r="U246" s="12">
        <f t="shared" si="15"/>
        <v>9.6581611942831672E-4</v>
      </c>
      <c r="V246" s="12">
        <f t="shared" si="6"/>
        <v>-5.2740811982433676E-5</v>
      </c>
      <c r="W246" s="12">
        <f t="shared" si="7"/>
        <v>-8.8620662343448346E-4</v>
      </c>
      <c r="X246" s="12">
        <f t="shared" si="8"/>
        <v>2.5695698232760747E-4</v>
      </c>
      <c r="Y246" s="12">
        <f t="shared" si="9"/>
        <v>-1.4031780604920547E-5</v>
      </c>
      <c r="Z246" s="12">
        <f t="shared" si="10"/>
        <v>-2.3577674372555812E-4</v>
      </c>
    </row>
    <row r="247" spans="1:26" ht="13">
      <c r="A247" s="8" t="s">
        <v>67</v>
      </c>
      <c r="B247" s="9">
        <v>2017</v>
      </c>
      <c r="C247" s="10">
        <v>207.66</v>
      </c>
      <c r="D247" s="10">
        <v>352.67</v>
      </c>
      <c r="E247" s="10">
        <v>1305.47</v>
      </c>
      <c r="F247" s="10">
        <v>1079.21</v>
      </c>
      <c r="G247" s="10">
        <v>351.86</v>
      </c>
      <c r="H247" s="10">
        <f t="shared" si="44"/>
        <v>0.15906914751009216</v>
      </c>
      <c r="I247" s="10">
        <f t="shared" si="45"/>
        <v>0.27014791607620242</v>
      </c>
      <c r="J247" s="10">
        <f t="shared" si="46"/>
        <v>3.0671573921446029</v>
      </c>
      <c r="K247" s="4">
        <f t="shared" si="50"/>
        <v>-3.4882366717296396</v>
      </c>
      <c r="L247" s="10">
        <f t="shared" si="40"/>
        <v>0.27014791607620242</v>
      </c>
      <c r="M247" s="10">
        <v>301.88</v>
      </c>
      <c r="N247" s="10">
        <v>-165.99</v>
      </c>
      <c r="O247" s="10">
        <v>-69.45</v>
      </c>
      <c r="P247" s="11">
        <v>0.63100000000000001</v>
      </c>
      <c r="Q247" s="11">
        <v>0.1</v>
      </c>
      <c r="R247" s="12">
        <f t="shared" si="41"/>
        <v>0.23124238779903022</v>
      </c>
      <c r="S247" s="12">
        <f t="shared" si="42"/>
        <v>-0.12714960895309735</v>
      </c>
      <c r="T247" s="12">
        <f t="shared" si="43"/>
        <v>-5.3199230928324667E-2</v>
      </c>
      <c r="U247" s="12">
        <f t="shared" si="15"/>
        <v>0.14591394670118807</v>
      </c>
      <c r="V247" s="12">
        <f t="shared" si="6"/>
        <v>-8.0231403249404434E-2</v>
      </c>
      <c r="W247" s="12">
        <f t="shared" si="7"/>
        <v>-3.3568714715772864E-2</v>
      </c>
      <c r="X247" s="12">
        <f t="shared" si="8"/>
        <v>2.3124238779903022E-2</v>
      </c>
      <c r="Y247" s="12">
        <f t="shared" si="9"/>
        <v>-1.2714960895309735E-2</v>
      </c>
      <c r="Z247" s="12">
        <f t="shared" si="10"/>
        <v>-5.3199230928324672E-3</v>
      </c>
    </row>
    <row r="248" spans="1:26" ht="13">
      <c r="A248" s="8" t="s">
        <v>67</v>
      </c>
      <c r="B248" s="9">
        <v>2018</v>
      </c>
      <c r="C248" s="10">
        <v>228.77</v>
      </c>
      <c r="D248" s="10">
        <v>335.55</v>
      </c>
      <c r="E248" s="10">
        <v>1465.09</v>
      </c>
      <c r="F248" s="10">
        <v>1231.69</v>
      </c>
      <c r="G248" s="10">
        <v>334.49</v>
      </c>
      <c r="H248" s="10">
        <f t="shared" si="44"/>
        <v>0.15614740391375276</v>
      </c>
      <c r="I248" s="10">
        <f t="shared" si="45"/>
        <v>0.22903029847995687</v>
      </c>
      <c r="J248" s="10">
        <f t="shared" si="46"/>
        <v>3.6822924452151038</v>
      </c>
      <c r="K248" s="4">
        <f t="shared" si="50"/>
        <v>-3.7119197860569932</v>
      </c>
      <c r="L248" s="10">
        <f t="shared" ref="L248:L311" si="52">D248/E248</f>
        <v>0.22903029847995687</v>
      </c>
      <c r="M248" s="10">
        <v>26.83</v>
      </c>
      <c r="N248" s="10">
        <v>-42.73</v>
      </c>
      <c r="O248" s="10">
        <v>-63.32</v>
      </c>
      <c r="P248" s="11">
        <v>0.51690000000000003</v>
      </c>
      <c r="Q248" s="11">
        <v>0.1</v>
      </c>
      <c r="R248" s="12">
        <f t="shared" si="41"/>
        <v>1.831286815144462E-2</v>
      </c>
      <c r="S248" s="12">
        <f t="shared" si="42"/>
        <v>-2.9165443761134127E-2</v>
      </c>
      <c r="T248" s="12">
        <f t="shared" si="43"/>
        <v>-4.3219187899719472E-2</v>
      </c>
      <c r="U248" s="12">
        <f t="shared" si="15"/>
        <v>9.4659215474817253E-3</v>
      </c>
      <c r="V248" s="12">
        <f t="shared" si="6"/>
        <v>-1.507561788013023E-2</v>
      </c>
      <c r="W248" s="12">
        <f t="shared" si="7"/>
        <v>-2.2339998225364997E-2</v>
      </c>
      <c r="X248" s="12">
        <f t="shared" si="8"/>
        <v>1.831286815144462E-3</v>
      </c>
      <c r="Y248" s="12">
        <f t="shared" si="9"/>
        <v>-2.9165443761134131E-3</v>
      </c>
      <c r="Z248" s="12">
        <f t="shared" si="10"/>
        <v>-4.3219187899719473E-3</v>
      </c>
    </row>
    <row r="249" spans="1:26" ht="13">
      <c r="A249" s="8" t="s">
        <v>67</v>
      </c>
      <c r="B249" s="9">
        <v>2019</v>
      </c>
      <c r="C249" s="10">
        <v>232.63</v>
      </c>
      <c r="D249" s="10">
        <v>280.77999999999997</v>
      </c>
      <c r="E249" s="10">
        <v>1533.05</v>
      </c>
      <c r="F249" s="10">
        <v>1298.54</v>
      </c>
      <c r="G249" s="10">
        <v>279.57</v>
      </c>
      <c r="H249" s="10">
        <f t="shared" si="44"/>
        <v>0.15174325690616744</v>
      </c>
      <c r="I249" s="10">
        <f t="shared" si="45"/>
        <v>0.18315123446723849</v>
      </c>
      <c r="J249" s="10">
        <f t="shared" si="46"/>
        <v>4.644775905855421</v>
      </c>
      <c r="K249" s="4">
        <f t="shared" si="50"/>
        <v>-3.9574617232379152</v>
      </c>
      <c r="L249" s="10">
        <f t="shared" si="52"/>
        <v>0.18315123446723849</v>
      </c>
      <c r="M249" s="10">
        <v>111.07</v>
      </c>
      <c r="N249" s="10">
        <v>18.100000000000001</v>
      </c>
      <c r="O249" s="10">
        <v>-110.32</v>
      </c>
      <c r="P249" s="11">
        <v>0.51690000000000003</v>
      </c>
      <c r="Q249" s="11">
        <v>0.1</v>
      </c>
      <c r="R249" s="12">
        <f t="shared" si="41"/>
        <v>7.2450344085320112E-2</v>
      </c>
      <c r="S249" s="12">
        <f t="shared" si="42"/>
        <v>1.1806529467401586E-2</v>
      </c>
      <c r="T249" s="12">
        <f t="shared" si="43"/>
        <v>-7.1961123251035514E-2</v>
      </c>
      <c r="U249" s="12">
        <f t="shared" si="15"/>
        <v>3.7449582857701967E-2</v>
      </c>
      <c r="V249" s="12">
        <f t="shared" si="6"/>
        <v>6.1027950816998798E-3</v>
      </c>
      <c r="W249" s="12">
        <f t="shared" si="7"/>
        <v>-3.7196704608460258E-2</v>
      </c>
      <c r="X249" s="12">
        <f t="shared" si="8"/>
        <v>7.2450344085320112E-3</v>
      </c>
      <c r="Y249" s="12">
        <f t="shared" si="9"/>
        <v>1.1806529467401586E-3</v>
      </c>
      <c r="Z249" s="12">
        <f t="shared" si="10"/>
        <v>-7.1961123251035519E-3</v>
      </c>
    </row>
    <row r="250" spans="1:26" ht="13">
      <c r="A250" s="8" t="s">
        <v>67</v>
      </c>
      <c r="B250" s="9">
        <v>2020</v>
      </c>
      <c r="C250" s="10">
        <v>179.54</v>
      </c>
      <c r="D250" s="10">
        <v>148.61000000000001</v>
      </c>
      <c r="E250" s="10">
        <v>1463.98</v>
      </c>
      <c r="F250" s="10">
        <v>1241.1600000000001</v>
      </c>
      <c r="G250" s="10">
        <v>147.65</v>
      </c>
      <c r="H250" s="10">
        <f t="shared" si="44"/>
        <v>0.12263828740829792</v>
      </c>
      <c r="I250" s="10">
        <f t="shared" si="45"/>
        <v>0.10151094960313667</v>
      </c>
      <c r="J250" s="10">
        <f t="shared" si="46"/>
        <v>8.4060954961056549</v>
      </c>
      <c r="K250" s="4">
        <f t="shared" si="50"/>
        <v>-4.3068842625838837</v>
      </c>
      <c r="L250" s="10">
        <f t="shared" si="52"/>
        <v>0.10151094960313667</v>
      </c>
      <c r="M250" s="10">
        <v>-44.82</v>
      </c>
      <c r="N250" s="10">
        <v>140.80000000000001</v>
      </c>
      <c r="O250" s="10">
        <v>-86.82</v>
      </c>
      <c r="P250" s="11">
        <f>0.91%+5.2%</f>
        <v>6.1100000000000002E-2</v>
      </c>
      <c r="Q250" s="11">
        <v>0</v>
      </c>
      <c r="R250" s="12">
        <f t="shared" si="41"/>
        <v>-3.0615172338419924E-2</v>
      </c>
      <c r="S250" s="12">
        <f t="shared" si="42"/>
        <v>9.6176177270181296E-2</v>
      </c>
      <c r="T250" s="12">
        <f t="shared" si="43"/>
        <v>-5.9304088853672859E-2</v>
      </c>
      <c r="U250" s="12">
        <f t="shared" si="15"/>
        <v>-1.8705870298774574E-3</v>
      </c>
      <c r="V250" s="12">
        <f t="shared" si="6"/>
        <v>5.8763644312080773E-3</v>
      </c>
      <c r="W250" s="12">
        <f t="shared" si="7"/>
        <v>-3.6234798289594117E-3</v>
      </c>
      <c r="X250" s="12">
        <f t="shared" si="8"/>
        <v>0</v>
      </c>
      <c r="Y250" s="12">
        <f t="shared" si="9"/>
        <v>0</v>
      </c>
      <c r="Z250" s="12">
        <f t="shared" si="10"/>
        <v>0</v>
      </c>
    </row>
    <row r="251" spans="1:26" ht="13">
      <c r="A251" s="8" t="s">
        <v>67</v>
      </c>
      <c r="B251" s="9">
        <v>2021</v>
      </c>
      <c r="C251" s="10">
        <v>159.28</v>
      </c>
      <c r="D251" s="10">
        <v>255.82</v>
      </c>
      <c r="E251" s="10">
        <v>1621.85</v>
      </c>
      <c r="F251" s="10">
        <v>1421.76</v>
      </c>
      <c r="G251" s="10">
        <v>255.73</v>
      </c>
      <c r="H251" s="10">
        <f t="shared" si="44"/>
        <v>9.8208835588987894E-2</v>
      </c>
      <c r="I251" s="10">
        <f t="shared" si="45"/>
        <v>0.15773345253876747</v>
      </c>
      <c r="J251" s="10">
        <f t="shared" si="46"/>
        <v>5.5596136550267863</v>
      </c>
      <c r="K251" s="4">
        <f t="shared" si="50"/>
        <v>-3.8650975352995776</v>
      </c>
      <c r="L251" s="10">
        <f t="shared" si="52"/>
        <v>0.15773345253876747</v>
      </c>
      <c r="M251" s="10">
        <v>162.44999999999999</v>
      </c>
      <c r="N251" s="10">
        <v>-97.76</v>
      </c>
      <c r="O251" s="10">
        <v>-86.82</v>
      </c>
      <c r="P251" s="11">
        <f>10.05%+0.16%</f>
        <v>0.10210000000000001</v>
      </c>
      <c r="Q251" s="11">
        <v>0</v>
      </c>
      <c r="R251" s="12">
        <f t="shared" si="41"/>
        <v>0.10016339365539353</v>
      </c>
      <c r="S251" s="12">
        <f t="shared" si="42"/>
        <v>-6.0276844344421501E-2</v>
      </c>
      <c r="T251" s="12">
        <f t="shared" si="43"/>
        <v>-5.3531460985911147E-2</v>
      </c>
      <c r="U251" s="12">
        <f t="shared" si="15"/>
        <v>1.0226682492215681E-2</v>
      </c>
      <c r="V251" s="12">
        <f t="shared" si="6"/>
        <v>-6.1542658075654363E-3</v>
      </c>
      <c r="W251" s="12">
        <f t="shared" si="7"/>
        <v>-5.4655621666615285E-3</v>
      </c>
      <c r="X251" s="12">
        <f t="shared" si="8"/>
        <v>0</v>
      </c>
      <c r="Y251" s="12">
        <f t="shared" si="9"/>
        <v>0</v>
      </c>
      <c r="Z251" s="12">
        <f t="shared" si="10"/>
        <v>0</v>
      </c>
    </row>
    <row r="252" spans="1:26" ht="13">
      <c r="A252" s="8" t="s">
        <v>68</v>
      </c>
      <c r="B252" s="9">
        <v>2017</v>
      </c>
      <c r="C252" s="10">
        <v>191.11</v>
      </c>
      <c r="D252" s="10">
        <v>3066.22</v>
      </c>
      <c r="E252" s="10">
        <v>3946.8</v>
      </c>
      <c r="F252" s="10">
        <v>1713.14</v>
      </c>
      <c r="G252" s="10">
        <v>1535.3</v>
      </c>
      <c r="H252" s="10">
        <f t="shared" si="44"/>
        <v>4.8421506030201684E-2</v>
      </c>
      <c r="I252" s="10">
        <f t="shared" si="45"/>
        <v>0.77688760514847466</v>
      </c>
      <c r="J252" s="10">
        <f t="shared" si="46"/>
        <v>1.1158340389500425</v>
      </c>
      <c r="K252" s="4">
        <f t="shared" si="50"/>
        <v>-9.4100763945401886E-2</v>
      </c>
      <c r="L252" s="10">
        <f t="shared" si="52"/>
        <v>0.77688760514847466</v>
      </c>
      <c r="M252" s="10">
        <v>42.54</v>
      </c>
      <c r="N252" s="10">
        <v>-893.05</v>
      </c>
      <c r="O252" s="10">
        <v>1097.19</v>
      </c>
      <c r="P252" s="11">
        <v>2.2800000000000001E-4</v>
      </c>
      <c r="Q252" s="11">
        <f>(15.942+9.088+2.488+6.6341+1.4283+0.759+5.7758+1.046)%</f>
        <v>0.431612</v>
      </c>
      <c r="R252" s="12">
        <f t="shared" si="41"/>
        <v>1.0778352082699907E-2</v>
      </c>
      <c r="S252" s="12">
        <f t="shared" si="42"/>
        <v>-0.22627191648930778</v>
      </c>
      <c r="T252" s="12">
        <f t="shared" si="43"/>
        <v>0.27799483125570085</v>
      </c>
      <c r="U252" s="12">
        <f t="shared" si="15"/>
        <v>2.4574642748555791E-6</v>
      </c>
      <c r="V252" s="12">
        <f t="shared" ref="V252:V506" si="53">S252*P252</f>
        <v>-5.1589996959562177E-5</v>
      </c>
      <c r="W252" s="12">
        <f t="shared" ref="W252:W506" si="54">T252*P252</f>
        <v>6.3382821526299798E-5</v>
      </c>
      <c r="X252" s="12">
        <f t="shared" ref="X252:X506" si="55">R252*Q252</f>
        <v>4.6520660991182725E-3</v>
      </c>
      <c r="Y252" s="12">
        <f t="shared" ref="Y252:Y506" si="56">S252*Q252</f>
        <v>-9.7661674419783101E-2</v>
      </c>
      <c r="Z252" s="12">
        <f t="shared" ref="Z252:Z506" si="57">T252*Q252</f>
        <v>0.11998590510793555</v>
      </c>
    </row>
    <row r="253" spans="1:26" ht="13">
      <c r="A253" s="8" t="s">
        <v>68</v>
      </c>
      <c r="B253" s="9">
        <v>2018</v>
      </c>
      <c r="C253" s="10">
        <v>157.38</v>
      </c>
      <c r="D253" s="10">
        <v>3611.07</v>
      </c>
      <c r="E253" s="10">
        <v>4647.2</v>
      </c>
      <c r="F253" s="10">
        <v>1633.93</v>
      </c>
      <c r="G253" s="10">
        <v>1629.78</v>
      </c>
      <c r="H253" s="10">
        <f t="shared" si="44"/>
        <v>3.3865553451540714E-2</v>
      </c>
      <c r="I253" s="10">
        <f t="shared" si="45"/>
        <v>0.77704208986056122</v>
      </c>
      <c r="J253" s="10">
        <f t="shared" si="46"/>
        <v>1.0025463559498828</v>
      </c>
      <c r="K253" s="4">
        <f t="shared" si="50"/>
        <v>-2.7265263750532877E-2</v>
      </c>
      <c r="L253" s="10">
        <f t="shared" si="52"/>
        <v>0.77704208986056122</v>
      </c>
      <c r="M253" s="10">
        <v>379.14</v>
      </c>
      <c r="N253" s="10">
        <v>-971.4</v>
      </c>
      <c r="O253" s="10">
        <v>492.06</v>
      </c>
      <c r="P253" s="11">
        <v>2.9999999999999997E-4</v>
      </c>
      <c r="Q253" s="11">
        <f>(2.4882+6.6341+1.4283+0.0759+5.7758+1.23+0.785+0.148+15.942+9.088)%</f>
        <v>0.43595300000000003</v>
      </c>
      <c r="R253" s="12">
        <f t="shared" si="41"/>
        <v>8.1584610087794801E-2</v>
      </c>
      <c r="S253" s="12">
        <f t="shared" si="42"/>
        <v>-0.20902909278705456</v>
      </c>
      <c r="T253" s="12">
        <f t="shared" si="43"/>
        <v>0.10588311241177484</v>
      </c>
      <c r="U253" s="12">
        <f t="shared" si="15"/>
        <v>2.4475383026338438E-5</v>
      </c>
      <c r="V253" s="12">
        <f t="shared" si="53"/>
        <v>-6.2708727836116365E-5</v>
      </c>
      <c r="W253" s="12">
        <f t="shared" si="54"/>
        <v>3.1764933723532448E-5</v>
      </c>
      <c r="X253" s="12">
        <f t="shared" si="55"/>
        <v>3.5567055521604413E-2</v>
      </c>
      <c r="Y253" s="12">
        <f t="shared" si="56"/>
        <v>-9.1126860087794803E-2</v>
      </c>
      <c r="Z253" s="12">
        <f t="shared" si="57"/>
        <v>4.6160060505250476E-2</v>
      </c>
    </row>
    <row r="254" spans="1:26" ht="13">
      <c r="A254" s="8" t="s">
        <v>68</v>
      </c>
      <c r="B254" s="9">
        <v>2019</v>
      </c>
      <c r="C254" s="10">
        <v>222.75</v>
      </c>
      <c r="D254" s="10">
        <v>3847.58</v>
      </c>
      <c r="E254" s="10">
        <v>5084.2</v>
      </c>
      <c r="F254" s="10">
        <v>2199.5</v>
      </c>
      <c r="G254" s="10">
        <v>1915.23</v>
      </c>
      <c r="H254" s="10">
        <f t="shared" si="44"/>
        <v>4.3812202509736047E-2</v>
      </c>
      <c r="I254" s="10">
        <f t="shared" si="45"/>
        <v>0.75677196019039383</v>
      </c>
      <c r="J254" s="10">
        <f t="shared" si="46"/>
        <v>1.1484260376038387</v>
      </c>
      <c r="K254" s="4">
        <f t="shared" si="50"/>
        <v>-0.18814844235898251</v>
      </c>
      <c r="L254" s="10">
        <f t="shared" si="52"/>
        <v>0.75677196019039383</v>
      </c>
      <c r="M254" s="10">
        <v>474.82</v>
      </c>
      <c r="N254" s="10">
        <v>-215.21</v>
      </c>
      <c r="O254" s="10">
        <v>-148.6</v>
      </c>
      <c r="P254" s="11">
        <v>2.5000000000000001E-3</v>
      </c>
      <c r="Q254" s="11">
        <f>(5.78+6.63+0.34+0.062+0.24+15.942+2.4882+6.744)%</f>
        <v>0.38226199999999999</v>
      </c>
      <c r="R254" s="12">
        <f t="shared" si="41"/>
        <v>9.3391290665198065E-2</v>
      </c>
      <c r="S254" s="12">
        <f t="shared" si="42"/>
        <v>-4.232917666496204E-2</v>
      </c>
      <c r="T254" s="12">
        <f t="shared" si="43"/>
        <v>-2.9227803784272845E-2</v>
      </c>
      <c r="U254" s="12">
        <f t="shared" si="15"/>
        <v>2.3347822666299517E-4</v>
      </c>
      <c r="V254" s="12">
        <f t="shared" si="53"/>
        <v>-1.0582294166240511E-4</v>
      </c>
      <c r="W254" s="12">
        <f t="shared" si="54"/>
        <v>-7.3069509460682111E-5</v>
      </c>
      <c r="X254" s="12">
        <f t="shared" si="55"/>
        <v>3.5699941552259945E-2</v>
      </c>
      <c r="Y254" s="12">
        <f t="shared" si="56"/>
        <v>-1.6180835730301719E-2</v>
      </c>
      <c r="Z254" s="12">
        <f t="shared" si="57"/>
        <v>-1.1172678730183705E-2</v>
      </c>
    </row>
    <row r="255" spans="1:26" ht="13">
      <c r="A255" s="8" t="s">
        <v>68</v>
      </c>
      <c r="B255" s="9">
        <v>2020</v>
      </c>
      <c r="C255" s="10">
        <v>235.95</v>
      </c>
      <c r="D255" s="10">
        <v>3414.1</v>
      </c>
      <c r="E255" s="10">
        <v>4820.3999999999996</v>
      </c>
      <c r="F255" s="10">
        <v>1738.81</v>
      </c>
      <c r="G255" s="10">
        <v>1862.85</v>
      </c>
      <c r="H255" s="10">
        <f t="shared" si="44"/>
        <v>4.894822006472492E-2</v>
      </c>
      <c r="I255" s="10">
        <f t="shared" si="45"/>
        <v>0.70826072525101658</v>
      </c>
      <c r="J255" s="10">
        <f t="shared" si="46"/>
        <v>0.93341385511447517</v>
      </c>
      <c r="K255" s="4">
        <f t="shared" si="50"/>
        <v>-0.48691451178092482</v>
      </c>
      <c r="L255" s="10">
        <f t="shared" si="52"/>
        <v>0.70826072525101658</v>
      </c>
      <c r="M255" s="10">
        <v>123.2</v>
      </c>
      <c r="N255" s="10">
        <v>-19.57</v>
      </c>
      <c r="O255" s="10">
        <v>-114.82</v>
      </c>
      <c r="P255" s="11">
        <v>1.1999999999999999E-3</v>
      </c>
      <c r="Q255" s="11">
        <f>(5.78+6.63+0.34+0.26+0.23+2.98+15.94+2.49+6.3)%</f>
        <v>0.40949999999999998</v>
      </c>
      <c r="R255" s="12">
        <f t="shared" si="41"/>
        <v>2.5558044975520708E-2</v>
      </c>
      <c r="S255" s="12">
        <f t="shared" si="42"/>
        <v>-4.0598290598290602E-3</v>
      </c>
      <c r="T255" s="12">
        <f t="shared" si="43"/>
        <v>-2.3819600033192268E-2</v>
      </c>
      <c r="U255" s="12">
        <f t="shared" si="15"/>
        <v>3.0669653970624846E-5</v>
      </c>
      <c r="V255" s="12">
        <f t="shared" si="53"/>
        <v>-4.871794871794872E-6</v>
      </c>
      <c r="W255" s="12">
        <f t="shared" si="54"/>
        <v>-2.8583520039830718E-5</v>
      </c>
      <c r="X255" s="12">
        <f t="shared" si="55"/>
        <v>1.0466019417475729E-2</v>
      </c>
      <c r="Y255" s="12">
        <f t="shared" si="56"/>
        <v>-1.6625000000000001E-3</v>
      </c>
      <c r="Z255" s="12">
        <f t="shared" si="57"/>
        <v>-9.7541262135922326E-3</v>
      </c>
    </row>
    <row r="256" spans="1:26" ht="13">
      <c r="A256" s="8" t="s">
        <v>68</v>
      </c>
      <c r="B256" s="9">
        <v>2021</v>
      </c>
      <c r="C256" s="10">
        <v>449.13</v>
      </c>
      <c r="D256" s="10">
        <v>4168.88</v>
      </c>
      <c r="E256" s="10">
        <v>5950.7</v>
      </c>
      <c r="F256" s="10">
        <v>2628.77</v>
      </c>
      <c r="G256" s="10">
        <v>2432.37</v>
      </c>
      <c r="H256" s="10">
        <f t="shared" si="44"/>
        <v>7.5475154183541435E-2</v>
      </c>
      <c r="I256" s="10">
        <f t="shared" si="45"/>
        <v>0.70056968087787996</v>
      </c>
      <c r="J256" s="10">
        <f t="shared" si="46"/>
        <v>1.0807442946591186</v>
      </c>
      <c r="K256" s="4">
        <f t="shared" si="50"/>
        <v>-0.65071399000065677</v>
      </c>
      <c r="L256" s="10">
        <f t="shared" si="52"/>
        <v>0.70056968087787996</v>
      </c>
      <c r="M256" s="10">
        <v>733.43</v>
      </c>
      <c r="N256" s="10">
        <v>-615.73</v>
      </c>
      <c r="O256" s="10">
        <v>236.8</v>
      </c>
      <c r="P256" s="11">
        <v>6.4000000000000003E-3</v>
      </c>
      <c r="Q256" s="11">
        <f>(5.78+6.63+0.34+0.045+2.6+15.94+5.88)%</f>
        <v>0.37215000000000004</v>
      </c>
      <c r="R256" s="12">
        <f t="shared" si="41"/>
        <v>0.12325104609541734</v>
      </c>
      <c r="S256" s="12">
        <f t="shared" si="42"/>
        <v>-0.10347186045339204</v>
      </c>
      <c r="T256" s="12">
        <f t="shared" si="43"/>
        <v>3.9793637723293064E-2</v>
      </c>
      <c r="U256" s="12">
        <f t="shared" si="15"/>
        <v>7.8880669501067105E-4</v>
      </c>
      <c r="V256" s="12">
        <f t="shared" si="53"/>
        <v>-6.6221990690170914E-4</v>
      </c>
      <c r="W256" s="12">
        <f t="shared" si="54"/>
        <v>2.5467928142907563E-4</v>
      </c>
      <c r="X256" s="12">
        <f t="shared" si="55"/>
        <v>4.5867876804409569E-2</v>
      </c>
      <c r="Y256" s="12">
        <f t="shared" si="56"/>
        <v>-3.8507052867729853E-2</v>
      </c>
      <c r="Z256" s="12">
        <f t="shared" si="57"/>
        <v>1.4809202278723515E-2</v>
      </c>
    </row>
    <row r="257" spans="1:26" ht="13">
      <c r="A257" s="8" t="s">
        <v>69</v>
      </c>
      <c r="B257" s="9">
        <v>2017</v>
      </c>
      <c r="C257" s="10">
        <v>707.84</v>
      </c>
      <c r="D257" s="10">
        <v>2220.88</v>
      </c>
      <c r="E257" s="10">
        <v>10264.1</v>
      </c>
      <c r="F257" s="10">
        <v>5017.09</v>
      </c>
      <c r="G257" s="10">
        <v>1417.57</v>
      </c>
      <c r="H257" s="10">
        <f t="shared" si="44"/>
        <v>6.8962695219259365E-2</v>
      </c>
      <c r="I257" s="10">
        <f t="shared" si="45"/>
        <v>0.21637357391295875</v>
      </c>
      <c r="J257" s="10">
        <f t="shared" si="46"/>
        <v>3.5392185218366645</v>
      </c>
      <c r="K257" s="4">
        <f t="shared" si="50"/>
        <v>-3.3911596312701491</v>
      </c>
      <c r="L257" s="10">
        <f t="shared" si="52"/>
        <v>0.21637357391295875</v>
      </c>
      <c r="M257" s="10">
        <v>80.98</v>
      </c>
      <c r="N257" s="10">
        <v>-2048.13</v>
      </c>
      <c r="O257" s="10">
        <v>230.47</v>
      </c>
      <c r="P257" s="11">
        <v>0.20039999999999999</v>
      </c>
      <c r="Q257" s="11">
        <f>ROUND((170500+97300+70000+65100+64000+63500+65700)/391334260,6)</f>
        <v>1.523E-3</v>
      </c>
      <c r="R257" s="12">
        <f t="shared" si="41"/>
        <v>7.8896347463489249E-3</v>
      </c>
      <c r="S257" s="12">
        <f t="shared" si="42"/>
        <v>-0.19954306758507809</v>
      </c>
      <c r="T257" s="12">
        <f t="shared" si="43"/>
        <v>2.2453990120906851E-2</v>
      </c>
      <c r="U257" s="12">
        <f t="shared" si="15"/>
        <v>1.5810828031683245E-3</v>
      </c>
      <c r="V257" s="12">
        <f t="shared" si="53"/>
        <v>-3.9988430744049647E-2</v>
      </c>
      <c r="W257" s="12">
        <f t="shared" si="54"/>
        <v>4.4997796202297328E-3</v>
      </c>
      <c r="X257" s="12">
        <f t="shared" si="55"/>
        <v>1.2015913718689412E-5</v>
      </c>
      <c r="Y257" s="12">
        <f t="shared" si="56"/>
        <v>-3.0390409193207396E-4</v>
      </c>
      <c r="Z257" s="12">
        <f t="shared" si="57"/>
        <v>3.4197426954141134E-5</v>
      </c>
    </row>
    <row r="258" spans="1:26" ht="13">
      <c r="A258" s="8" t="s">
        <v>69</v>
      </c>
      <c r="B258" s="9">
        <v>2018</v>
      </c>
      <c r="C258" s="10">
        <v>712.47</v>
      </c>
      <c r="D258" s="10">
        <v>2879.25</v>
      </c>
      <c r="E258" s="10">
        <v>11134.26</v>
      </c>
      <c r="F258" s="10">
        <v>5172.05</v>
      </c>
      <c r="G258" s="10">
        <v>1513.85</v>
      </c>
      <c r="H258" s="10">
        <f t="shared" si="44"/>
        <v>6.3988985347926131E-2</v>
      </c>
      <c r="I258" s="10">
        <f t="shared" si="45"/>
        <v>0.25859374579002109</v>
      </c>
      <c r="J258" s="10">
        <f t="shared" si="46"/>
        <v>3.4164877629884072</v>
      </c>
      <c r="K258" s="4">
        <f t="shared" si="50"/>
        <v>-3.1276320341145003</v>
      </c>
      <c r="L258" s="10">
        <f t="shared" si="52"/>
        <v>0.25859374579002109</v>
      </c>
      <c r="M258" s="10">
        <v>381.06</v>
      </c>
      <c r="N258" s="10">
        <v>-821.69</v>
      </c>
      <c r="O258" s="10">
        <v>-204.28</v>
      </c>
      <c r="P258" s="11">
        <v>0.21249999999999999</v>
      </c>
      <c r="Q258" s="11">
        <f>ROUND((170500+115000+64000+63500+65700)/391334260,6)</f>
        <v>1.2229999999999999E-3</v>
      </c>
      <c r="R258" s="12">
        <f t="shared" ref="R258:R321" si="58">M258/E258</f>
        <v>3.4224097515236758E-2</v>
      </c>
      <c r="S258" s="12">
        <f t="shared" ref="S258:S321" si="59">N258/E258</f>
        <v>-7.3798348520691989E-2</v>
      </c>
      <c r="T258" s="12">
        <f t="shared" ref="T258:T321" si="60">O258/E258</f>
        <v>-1.8346975910388297E-2</v>
      </c>
      <c r="U258" s="12">
        <f t="shared" si="15"/>
        <v>7.2726207219878112E-3</v>
      </c>
      <c r="V258" s="12">
        <f t="shared" si="53"/>
        <v>-1.5682149060647046E-2</v>
      </c>
      <c r="W258" s="12">
        <f t="shared" si="54"/>
        <v>-3.8987323809575132E-3</v>
      </c>
      <c r="X258" s="12">
        <f t="shared" si="55"/>
        <v>4.1856071261134553E-5</v>
      </c>
      <c r="Y258" s="12">
        <f t="shared" si="56"/>
        <v>-9.0255380240806298E-5</v>
      </c>
      <c r="Z258" s="12">
        <f t="shared" si="57"/>
        <v>-2.2438351538404886E-5</v>
      </c>
    </row>
    <row r="259" spans="1:26" ht="13">
      <c r="A259" s="8" t="s">
        <v>69</v>
      </c>
      <c r="B259" s="9">
        <v>2019</v>
      </c>
      <c r="C259" s="10">
        <v>388.86</v>
      </c>
      <c r="D259" s="10">
        <v>3278.87</v>
      </c>
      <c r="E259" s="10">
        <v>11440.31</v>
      </c>
      <c r="F259" s="10">
        <v>5943.85</v>
      </c>
      <c r="G259" s="10">
        <v>2060.71</v>
      </c>
      <c r="H259" s="10">
        <f t="shared" ref="H259:H322" si="61">C259/E259</f>
        <v>3.3990337674416171E-2</v>
      </c>
      <c r="I259" s="10">
        <f t="shared" ref="I259:I322" si="62">D259/E259</f>
        <v>0.28660674404801967</v>
      </c>
      <c r="J259" s="10">
        <f t="shared" ref="J259:J322" si="63">F259/G259</f>
        <v>2.8843699501628079</v>
      </c>
      <c r="K259" s="4">
        <f t="shared" si="50"/>
        <v>-2.8308355582618114</v>
      </c>
      <c r="L259" s="10">
        <f t="shared" si="52"/>
        <v>0.28660674404801967</v>
      </c>
      <c r="M259" s="10">
        <v>1759.01</v>
      </c>
      <c r="N259" s="10">
        <v>-54.34</v>
      </c>
      <c r="O259" s="10">
        <v>-444.64</v>
      </c>
      <c r="P259" s="11">
        <v>0.18579999999999999</v>
      </c>
      <c r="Q259" s="11">
        <f t="shared" ref="Q259:Q260" si="64">ROUND((170500+63500+65700)/391334260,6)</f>
        <v>7.6599999999999997E-4</v>
      </c>
      <c r="R259" s="12">
        <f t="shared" si="58"/>
        <v>0.15375544893451315</v>
      </c>
      <c r="S259" s="12">
        <f t="shared" si="59"/>
        <v>-4.7498712884528485E-3</v>
      </c>
      <c r="T259" s="12">
        <f t="shared" si="60"/>
        <v>-3.8866079677910829E-2</v>
      </c>
      <c r="U259" s="12">
        <f t="shared" si="15"/>
        <v>2.8567762412032544E-2</v>
      </c>
      <c r="V259" s="12">
        <f t="shared" si="53"/>
        <v>-8.8252608539453922E-4</v>
      </c>
      <c r="W259" s="12">
        <f t="shared" si="54"/>
        <v>-7.2213176041558318E-3</v>
      </c>
      <c r="X259" s="12">
        <f t="shared" si="55"/>
        <v>1.1777667388383707E-4</v>
      </c>
      <c r="Y259" s="12">
        <f t="shared" si="56"/>
        <v>-3.6384014069548818E-6</v>
      </c>
      <c r="Z259" s="12">
        <f t="shared" si="57"/>
        <v>-2.9771417033279695E-5</v>
      </c>
    </row>
    <row r="260" spans="1:26" ht="13">
      <c r="A260" s="8" t="s">
        <v>69</v>
      </c>
      <c r="B260" s="9">
        <v>2020</v>
      </c>
      <c r="C260" s="10">
        <v>701.62</v>
      </c>
      <c r="D260" s="10">
        <v>3052.44</v>
      </c>
      <c r="E260" s="10">
        <v>11299.94</v>
      </c>
      <c r="F260" s="10">
        <v>6314.16</v>
      </c>
      <c r="G260" s="10">
        <v>2026.03</v>
      </c>
      <c r="H260" s="10">
        <f t="shared" si="61"/>
        <v>6.2090595171301791E-2</v>
      </c>
      <c r="I260" s="10">
        <f t="shared" si="62"/>
        <v>0.27012886794089169</v>
      </c>
      <c r="J260" s="10">
        <f t="shared" si="63"/>
        <v>3.1165185115718916</v>
      </c>
      <c r="K260" s="4">
        <f t="shared" si="50"/>
        <v>-3.0521392050540626</v>
      </c>
      <c r="L260" s="10">
        <f t="shared" si="52"/>
        <v>0.27012886794089169</v>
      </c>
      <c r="M260" s="10">
        <v>787.27</v>
      </c>
      <c r="N260" s="10">
        <v>-1066</v>
      </c>
      <c r="O260" s="10">
        <v>-669.04</v>
      </c>
      <c r="P260" s="11">
        <v>0.112</v>
      </c>
      <c r="Q260" s="11">
        <f t="shared" si="64"/>
        <v>7.6599999999999997E-4</v>
      </c>
      <c r="R260" s="12">
        <f t="shared" si="58"/>
        <v>6.9670281435122661E-2</v>
      </c>
      <c r="S260" s="12">
        <f t="shared" si="59"/>
        <v>-9.4336784089119052E-2</v>
      </c>
      <c r="T260" s="12">
        <f t="shared" si="60"/>
        <v>-5.9207394021561173E-2</v>
      </c>
      <c r="U260" s="12">
        <f t="shared" ref="U260:U514" si="65">R260*P260</f>
        <v>7.8030715207337382E-3</v>
      </c>
      <c r="V260" s="12">
        <f t="shared" si="53"/>
        <v>-1.0565719817981335E-2</v>
      </c>
      <c r="W260" s="12">
        <f t="shared" si="54"/>
        <v>-6.6312281304148511E-3</v>
      </c>
      <c r="X260" s="12">
        <f t="shared" si="55"/>
        <v>5.3367435579303955E-5</v>
      </c>
      <c r="Y260" s="12">
        <f t="shared" si="56"/>
        <v>-7.2261976612265197E-5</v>
      </c>
      <c r="Z260" s="12">
        <f t="shared" si="57"/>
        <v>-4.5352863820515859E-5</v>
      </c>
    </row>
    <row r="261" spans="1:26" ht="13">
      <c r="A261" s="8" t="s">
        <v>69</v>
      </c>
      <c r="B261" s="9">
        <v>2021</v>
      </c>
      <c r="C261" s="10">
        <v>3171.52</v>
      </c>
      <c r="D261" s="10">
        <v>3204.77</v>
      </c>
      <c r="E261" s="10">
        <v>13917.93</v>
      </c>
      <c r="F261" s="10">
        <v>9519.58</v>
      </c>
      <c r="G261" s="10">
        <v>2151.65</v>
      </c>
      <c r="H261" s="10">
        <f t="shared" si="61"/>
        <v>0.22787296674146226</v>
      </c>
      <c r="I261" s="10">
        <f t="shared" si="62"/>
        <v>0.23026197142822244</v>
      </c>
      <c r="J261" s="10">
        <f t="shared" si="63"/>
        <v>4.4243162224339461</v>
      </c>
      <c r="K261" s="4">
        <f t="shared" si="50"/>
        <v>-4.0306323780854481</v>
      </c>
      <c r="L261" s="10">
        <f t="shared" si="52"/>
        <v>0.23026197142822244</v>
      </c>
      <c r="M261" s="10">
        <v>2516.0700000000002</v>
      </c>
      <c r="N261" s="10">
        <v>-1318.92</v>
      </c>
      <c r="O261" s="10">
        <v>-702.43</v>
      </c>
      <c r="P261" s="11">
        <v>9.1499999999999998E-2</v>
      </c>
      <c r="Q261" s="11">
        <f>ROUND((170500+65700)/391334260,6)</f>
        <v>6.0400000000000004E-4</v>
      </c>
      <c r="R261" s="12">
        <f t="shared" si="58"/>
        <v>0.18077903826215538</v>
      </c>
      <c r="S261" s="12">
        <f t="shared" si="59"/>
        <v>-9.4764092074036882E-2</v>
      </c>
      <c r="T261" s="12">
        <f t="shared" si="60"/>
        <v>-5.0469430439727743E-2</v>
      </c>
      <c r="U261" s="12">
        <f t="shared" si="65"/>
        <v>1.6541282000987218E-2</v>
      </c>
      <c r="V261" s="12">
        <f t="shared" si="53"/>
        <v>-8.6709144247743737E-3</v>
      </c>
      <c r="W261" s="12">
        <f t="shared" si="54"/>
        <v>-4.6179528852350882E-3</v>
      </c>
      <c r="X261" s="12">
        <f t="shared" si="55"/>
        <v>1.0919053911034186E-4</v>
      </c>
      <c r="Y261" s="12">
        <f t="shared" si="56"/>
        <v>-5.7237511612718283E-5</v>
      </c>
      <c r="Z261" s="12">
        <f t="shared" si="57"/>
        <v>-3.048353598559556E-5</v>
      </c>
    </row>
    <row r="262" spans="1:26" ht="13">
      <c r="A262" s="8" t="s">
        <v>70</v>
      </c>
      <c r="B262" s="9">
        <v>2017</v>
      </c>
      <c r="C262" s="10">
        <v>224.85</v>
      </c>
      <c r="D262" s="10">
        <v>858.84</v>
      </c>
      <c r="E262" s="10">
        <v>3482.71</v>
      </c>
      <c r="F262" s="10">
        <v>1204.69</v>
      </c>
      <c r="G262" s="10">
        <v>260.42</v>
      </c>
      <c r="H262" s="10">
        <f t="shared" si="61"/>
        <v>6.4561792397299797E-2</v>
      </c>
      <c r="I262" s="10">
        <f t="shared" si="62"/>
        <v>0.24660106641092713</v>
      </c>
      <c r="J262" s="10">
        <f t="shared" si="63"/>
        <v>4.6259503878350356</v>
      </c>
      <c r="K262" s="4">
        <f t="shared" si="50"/>
        <v>-3.2034057887969047</v>
      </c>
      <c r="L262" s="10">
        <f t="shared" si="52"/>
        <v>0.24660106641092713</v>
      </c>
      <c r="M262" s="10">
        <v>313.3</v>
      </c>
      <c r="N262" s="10">
        <v>-160.66</v>
      </c>
      <c r="O262" s="10">
        <v>-254.6</v>
      </c>
      <c r="P262" s="11">
        <v>0.2152</v>
      </c>
      <c r="Q262" s="11">
        <f>(0.059+0.004+0.004+0.01+0.006+0.064+0.002)%</f>
        <v>1.4900000000000002E-3</v>
      </c>
      <c r="R262" s="12">
        <f t="shared" si="58"/>
        <v>8.9958681601396612E-2</v>
      </c>
      <c r="S262" s="12">
        <f t="shared" si="59"/>
        <v>-4.6130743013343058E-2</v>
      </c>
      <c r="T262" s="12">
        <f t="shared" si="60"/>
        <v>-7.3103990857694146E-2</v>
      </c>
      <c r="U262" s="12">
        <f t="shared" si="65"/>
        <v>1.9359108280620551E-2</v>
      </c>
      <c r="V262" s="12">
        <f t="shared" si="53"/>
        <v>-9.9273358964714255E-3</v>
      </c>
      <c r="W262" s="12">
        <f t="shared" si="54"/>
        <v>-1.573197883257578E-2</v>
      </c>
      <c r="X262" s="12">
        <f t="shared" si="55"/>
        <v>1.3403843558608096E-4</v>
      </c>
      <c r="Y262" s="12">
        <f t="shared" si="56"/>
        <v>-6.873480708988117E-5</v>
      </c>
      <c r="Z262" s="12">
        <f t="shared" si="57"/>
        <v>-1.0892494637796429E-4</v>
      </c>
    </row>
    <row r="263" spans="1:26" ht="13">
      <c r="A263" s="8" t="s">
        <v>70</v>
      </c>
      <c r="B263" s="9">
        <v>2018</v>
      </c>
      <c r="C263" s="10">
        <v>235.04</v>
      </c>
      <c r="D263" s="10">
        <v>1214.1199999999999</v>
      </c>
      <c r="E263" s="10">
        <v>3659.59</v>
      </c>
      <c r="F263" s="10">
        <v>1081.27</v>
      </c>
      <c r="G263" s="10">
        <v>498.56</v>
      </c>
      <c r="H263" s="10">
        <f t="shared" si="61"/>
        <v>6.4225773925494375E-2</v>
      </c>
      <c r="I263" s="10">
        <f t="shared" si="62"/>
        <v>0.33176394076932109</v>
      </c>
      <c r="J263" s="10">
        <f t="shared" si="63"/>
        <v>2.1687861039794609</v>
      </c>
      <c r="K263" s="4">
        <f t="shared" si="50"/>
        <v>-2.706636664695512</v>
      </c>
      <c r="L263" s="10">
        <f t="shared" si="52"/>
        <v>0.33176394076932109</v>
      </c>
      <c r="M263" s="10">
        <v>360.9</v>
      </c>
      <c r="N263" s="10">
        <v>-405.95</v>
      </c>
      <c r="O263" s="10">
        <v>-197.16</v>
      </c>
      <c r="P263" s="11">
        <v>0.19170000000000001</v>
      </c>
      <c r="Q263" s="11">
        <f>(0.059+0.004+0.004+0.04+0.002+0.064)%</f>
        <v>1.7300000000000002E-3</v>
      </c>
      <c r="R263" s="12">
        <f t="shared" si="58"/>
        <v>9.8617604704352116E-2</v>
      </c>
      <c r="S263" s="12">
        <f t="shared" si="59"/>
        <v>-0.11092772687650802</v>
      </c>
      <c r="T263" s="12">
        <f t="shared" si="60"/>
        <v>-5.3874887624023454E-2</v>
      </c>
      <c r="U263" s="12">
        <f t="shared" si="65"/>
        <v>1.8904994821824301E-2</v>
      </c>
      <c r="V263" s="12">
        <f t="shared" si="53"/>
        <v>-2.126484524222659E-2</v>
      </c>
      <c r="W263" s="12">
        <f t="shared" si="54"/>
        <v>-1.0327815957525298E-2</v>
      </c>
      <c r="X263" s="12">
        <f t="shared" si="55"/>
        <v>1.7060845613852917E-4</v>
      </c>
      <c r="Y263" s="12">
        <f t="shared" si="56"/>
        <v>-1.9190496749635889E-4</v>
      </c>
      <c r="Z263" s="12">
        <f t="shared" si="57"/>
        <v>-9.3203555589560586E-5</v>
      </c>
    </row>
    <row r="264" spans="1:26" ht="13">
      <c r="A264" s="8" t="s">
        <v>70</v>
      </c>
      <c r="B264" s="9">
        <v>2019</v>
      </c>
      <c r="C264" s="10">
        <v>191.16</v>
      </c>
      <c r="D264" s="10">
        <v>1459.4</v>
      </c>
      <c r="E264" s="10">
        <v>3737.26</v>
      </c>
      <c r="F264" s="10">
        <v>1411.42</v>
      </c>
      <c r="G264" s="10">
        <v>591.97</v>
      </c>
      <c r="H264" s="10">
        <f t="shared" si="61"/>
        <v>5.1149772828221744E-2</v>
      </c>
      <c r="I264" s="10">
        <f t="shared" si="62"/>
        <v>0.39049999197272867</v>
      </c>
      <c r="J264" s="10">
        <f t="shared" si="63"/>
        <v>2.3842762302143692</v>
      </c>
      <c r="K264" s="4">
        <f t="shared" si="50"/>
        <v>-2.3138611284033019</v>
      </c>
      <c r="L264" s="10">
        <f t="shared" si="52"/>
        <v>0.39049999197272867</v>
      </c>
      <c r="M264" s="10">
        <v>371.42</v>
      </c>
      <c r="N264" s="10">
        <v>-172.53</v>
      </c>
      <c r="O264" s="10">
        <v>-164.3</v>
      </c>
      <c r="P264" s="11">
        <v>0.14349999999999999</v>
      </c>
      <c r="Q264" s="11">
        <f>(0.004+0.002+0.004+0.004+0.064+0.008+0.007)%</f>
        <v>9.2999999999999995E-4</v>
      </c>
      <c r="R264" s="12">
        <f t="shared" si="58"/>
        <v>9.9382970411477922E-2</v>
      </c>
      <c r="S264" s="12">
        <f t="shared" si="59"/>
        <v>-4.6164837340725559E-2</v>
      </c>
      <c r="T264" s="12">
        <f t="shared" si="60"/>
        <v>-4.3962689242921286E-2</v>
      </c>
      <c r="U264" s="12">
        <f t="shared" si="65"/>
        <v>1.4261456254047081E-2</v>
      </c>
      <c r="V264" s="12">
        <f t="shared" si="53"/>
        <v>-6.6246541583941171E-3</v>
      </c>
      <c r="W264" s="12">
        <f t="shared" si="54"/>
        <v>-6.3086459063592037E-3</v>
      </c>
      <c r="X264" s="12">
        <f t="shared" si="55"/>
        <v>9.2426162482674463E-5</v>
      </c>
      <c r="Y264" s="12">
        <f t="shared" si="56"/>
        <v>-4.293329872687477E-5</v>
      </c>
      <c r="Z264" s="12">
        <f t="shared" si="57"/>
        <v>-4.0885300995916795E-5</v>
      </c>
    </row>
    <row r="265" spans="1:26" ht="13">
      <c r="A265" s="8" t="s">
        <v>70</v>
      </c>
      <c r="B265" s="9">
        <v>2020</v>
      </c>
      <c r="C265" s="10">
        <v>211.69</v>
      </c>
      <c r="D265" s="10">
        <v>1450.32</v>
      </c>
      <c r="E265" s="10">
        <v>3775.37</v>
      </c>
      <c r="F265" s="10">
        <v>1228.19</v>
      </c>
      <c r="G265" s="10">
        <v>556.4</v>
      </c>
      <c r="H265" s="10">
        <f t="shared" si="61"/>
        <v>5.6071325459491388E-2</v>
      </c>
      <c r="I265" s="10">
        <f t="shared" si="62"/>
        <v>0.38415307638721502</v>
      </c>
      <c r="J265" s="10">
        <f t="shared" si="63"/>
        <v>2.2073867721063984</v>
      </c>
      <c r="K265" s="4">
        <f t="shared" si="50"/>
        <v>-2.371477976249011</v>
      </c>
      <c r="L265" s="10">
        <f t="shared" si="52"/>
        <v>0.38415307638721502</v>
      </c>
      <c r="M265" s="10">
        <v>86.49</v>
      </c>
      <c r="N265" s="10">
        <v>249.24</v>
      </c>
      <c r="O265" s="10">
        <v>-281.32</v>
      </c>
      <c r="P265" s="11">
        <v>0.1169</v>
      </c>
      <c r="Q265" s="11">
        <f>ROUND((1600+1600+1800+1000+3500)/40124790,6)</f>
        <v>2.3699999999999999E-4</v>
      </c>
      <c r="R265" s="12">
        <f t="shared" si="58"/>
        <v>2.2909012891451697E-2</v>
      </c>
      <c r="S265" s="12">
        <f t="shared" si="59"/>
        <v>6.6017370482893079E-2</v>
      </c>
      <c r="T265" s="12">
        <f t="shared" si="60"/>
        <v>-7.4514550891700684E-2</v>
      </c>
      <c r="U265" s="12">
        <f t="shared" si="65"/>
        <v>2.6780636070107035E-3</v>
      </c>
      <c r="V265" s="12">
        <f t="shared" si="53"/>
        <v>7.7174306094502012E-3</v>
      </c>
      <c r="W265" s="12">
        <f t="shared" si="54"/>
        <v>-8.7107509992398104E-3</v>
      </c>
      <c r="X265" s="12">
        <f t="shared" si="55"/>
        <v>5.4294360552740517E-6</v>
      </c>
      <c r="Y265" s="12">
        <f t="shared" si="56"/>
        <v>1.5646116804445658E-5</v>
      </c>
      <c r="Z265" s="12">
        <f t="shared" si="57"/>
        <v>-1.7659948561333062E-5</v>
      </c>
    </row>
    <row r="266" spans="1:26" ht="13">
      <c r="A266" s="8" t="s">
        <v>70</v>
      </c>
      <c r="B266" s="9">
        <v>2021</v>
      </c>
      <c r="C266" s="10">
        <v>472.58</v>
      </c>
      <c r="D266" s="10">
        <v>1289.94</v>
      </c>
      <c r="E266" s="10">
        <v>4032.49</v>
      </c>
      <c r="F266" s="10">
        <v>1618.49</v>
      </c>
      <c r="G266" s="10">
        <v>465.46</v>
      </c>
      <c r="H266" s="10">
        <f t="shared" si="61"/>
        <v>0.11719309905294248</v>
      </c>
      <c r="I266" s="10">
        <f t="shared" si="62"/>
        <v>0.31988672011585895</v>
      </c>
      <c r="J266" s="10">
        <f t="shared" si="63"/>
        <v>3.4771838611266275</v>
      </c>
      <c r="K266" s="4">
        <f t="shared" si="50"/>
        <v>-3.0179233765223517</v>
      </c>
      <c r="L266" s="10">
        <f t="shared" si="52"/>
        <v>0.31988672011585895</v>
      </c>
      <c r="M266" s="10">
        <v>707.11</v>
      </c>
      <c r="N266" s="10">
        <v>-313.07</v>
      </c>
      <c r="O266" s="10">
        <v>-165.45</v>
      </c>
      <c r="P266" s="11">
        <v>7.8600000000000003E-2</v>
      </c>
      <c r="Q266" s="11">
        <f>ROUND((1600+1600+1800+3500)/40124790,6)</f>
        <v>2.12E-4</v>
      </c>
      <c r="R266" s="12">
        <f t="shared" si="58"/>
        <v>0.1753531936842993</v>
      </c>
      <c r="S266" s="12">
        <f t="shared" si="59"/>
        <v>-7.7636894325838382E-2</v>
      </c>
      <c r="T266" s="12">
        <f t="shared" si="60"/>
        <v>-4.1029239998115308E-2</v>
      </c>
      <c r="U266" s="12">
        <f t="shared" si="65"/>
        <v>1.3782761023585926E-2</v>
      </c>
      <c r="V266" s="12">
        <f t="shared" si="53"/>
        <v>-6.1022598940108971E-3</v>
      </c>
      <c r="W266" s="12">
        <f t="shared" si="54"/>
        <v>-3.2248982638518634E-3</v>
      </c>
      <c r="X266" s="12">
        <f t="shared" si="55"/>
        <v>3.7174877061071454E-5</v>
      </c>
      <c r="Y266" s="12">
        <f t="shared" si="56"/>
        <v>-1.6459021597077736E-5</v>
      </c>
      <c r="Z266" s="12">
        <f t="shared" si="57"/>
        <v>-8.6981988796004446E-6</v>
      </c>
    </row>
    <row r="267" spans="1:26" ht="13">
      <c r="A267" s="8" t="s">
        <v>71</v>
      </c>
      <c r="B267" s="9">
        <v>2017</v>
      </c>
      <c r="C267" s="10">
        <f t="shared" ref="C267:C271" si="66">ROUND(D273/1000000000,2)</f>
        <v>0</v>
      </c>
      <c r="D267" s="10">
        <v>472.27</v>
      </c>
      <c r="E267" s="10">
        <v>1611.37</v>
      </c>
      <c r="F267" s="10">
        <v>1330.75</v>
      </c>
      <c r="G267" s="10">
        <v>465.62</v>
      </c>
      <c r="H267" s="10">
        <f t="shared" si="61"/>
        <v>0</v>
      </c>
      <c r="I267" s="10">
        <f t="shared" si="62"/>
        <v>0.29308600755878539</v>
      </c>
      <c r="J267" s="10">
        <f t="shared" si="63"/>
        <v>2.8580172672995148</v>
      </c>
      <c r="K267" s="4">
        <f t="shared" si="50"/>
        <v>-2.6408418259841211</v>
      </c>
      <c r="L267" s="10">
        <f t="shared" si="52"/>
        <v>0.29308600755878539</v>
      </c>
      <c r="M267" s="10">
        <v>-53.39</v>
      </c>
      <c r="N267" s="10">
        <v>30.79</v>
      </c>
      <c r="O267" s="10">
        <v>-18.84</v>
      </c>
      <c r="P267" s="11">
        <v>0.19739999999999999</v>
      </c>
      <c r="Q267" s="11">
        <f>(7.33+0.06+12.01+0.02+0.15)%</f>
        <v>0.19569999999999996</v>
      </c>
      <c r="R267" s="12">
        <f t="shared" si="58"/>
        <v>-3.3133296511663989E-2</v>
      </c>
      <c r="S267" s="12">
        <f t="shared" si="59"/>
        <v>1.9107964030607497E-2</v>
      </c>
      <c r="T267" s="12">
        <f t="shared" si="60"/>
        <v>-1.1691914333765678E-2</v>
      </c>
      <c r="U267" s="12">
        <f t="shared" si="65"/>
        <v>-6.5405127314024708E-3</v>
      </c>
      <c r="V267" s="12">
        <f t="shared" si="53"/>
        <v>3.7719120996419198E-3</v>
      </c>
      <c r="W267" s="12">
        <f t="shared" si="54"/>
        <v>-2.3079838894853448E-3</v>
      </c>
      <c r="X267" s="12">
        <f t="shared" si="55"/>
        <v>-6.4841861273326412E-3</v>
      </c>
      <c r="Y267" s="12">
        <f t="shared" si="56"/>
        <v>3.7394285607898863E-3</v>
      </c>
      <c r="Z267" s="12">
        <f t="shared" si="57"/>
        <v>-2.2881076351179428E-3</v>
      </c>
    </row>
    <row r="268" spans="1:26" ht="13">
      <c r="A268" s="8" t="s">
        <v>71</v>
      </c>
      <c r="B268" s="9">
        <v>2018</v>
      </c>
      <c r="C268" s="10">
        <f t="shared" si="66"/>
        <v>0</v>
      </c>
      <c r="D268" s="10">
        <v>780.18</v>
      </c>
      <c r="E268" s="10">
        <v>1865.02</v>
      </c>
      <c r="F268" s="10">
        <v>1502.68</v>
      </c>
      <c r="G268" s="10">
        <v>676.74</v>
      </c>
      <c r="H268" s="10">
        <f t="shared" si="61"/>
        <v>0</v>
      </c>
      <c r="I268" s="10">
        <f t="shared" si="62"/>
        <v>0.41832259171483416</v>
      </c>
      <c r="J268" s="10">
        <f t="shared" si="63"/>
        <v>2.2204687176759168</v>
      </c>
      <c r="K268" s="4">
        <f t="shared" si="50"/>
        <v>-1.9244431020961486</v>
      </c>
      <c r="L268" s="10">
        <f t="shared" si="52"/>
        <v>0.41832259171483416</v>
      </c>
      <c r="M268" s="10">
        <v>-14.6</v>
      </c>
      <c r="N268" s="10">
        <v>-65.33</v>
      </c>
      <c r="O268" s="10">
        <v>-36.450000000000003</v>
      </c>
      <c r="P268" s="11">
        <v>0.17799999999999999</v>
      </c>
      <c r="Q268" s="11">
        <f t="shared" ref="Q268:Q271" si="67">(7.33+0.06+12.01+0.02+0.15+0.06)%</f>
        <v>0.19629999999999995</v>
      </c>
      <c r="R268" s="12">
        <f t="shared" si="58"/>
        <v>-7.8283342805975271E-3</v>
      </c>
      <c r="S268" s="12">
        <f t="shared" si="59"/>
        <v>-3.5029114969276472E-2</v>
      </c>
      <c r="T268" s="12">
        <f t="shared" si="60"/>
        <v>-1.9544026337519171E-2</v>
      </c>
      <c r="U268" s="12">
        <f t="shared" si="65"/>
        <v>-1.3934435019463598E-3</v>
      </c>
      <c r="V268" s="12">
        <f t="shared" si="53"/>
        <v>-6.2351824645312118E-3</v>
      </c>
      <c r="W268" s="12">
        <f t="shared" si="54"/>
        <v>-3.4788366880784123E-3</v>
      </c>
      <c r="X268" s="12">
        <f t="shared" si="55"/>
        <v>-1.5367020192812943E-3</v>
      </c>
      <c r="Y268" s="12">
        <f t="shared" si="56"/>
        <v>-6.8762152684689699E-3</v>
      </c>
      <c r="Z268" s="12">
        <f t="shared" si="57"/>
        <v>-3.8364923700550122E-3</v>
      </c>
    </row>
    <row r="269" spans="1:26" ht="13">
      <c r="A269" s="8" t="s">
        <v>71</v>
      </c>
      <c r="B269" s="9">
        <v>2019</v>
      </c>
      <c r="C269" s="10">
        <f t="shared" si="66"/>
        <v>0</v>
      </c>
      <c r="D269" s="10">
        <v>529.58000000000004</v>
      </c>
      <c r="E269" s="10">
        <v>1502.04</v>
      </c>
      <c r="F269" s="10">
        <v>1145.8599999999999</v>
      </c>
      <c r="G269" s="10">
        <v>459.3</v>
      </c>
      <c r="H269" s="10">
        <f t="shared" si="61"/>
        <v>0</v>
      </c>
      <c r="I269" s="10">
        <f t="shared" si="62"/>
        <v>0.35257383292056138</v>
      </c>
      <c r="J269" s="10">
        <f t="shared" si="63"/>
        <v>2.4947964293490092</v>
      </c>
      <c r="K269" s="4">
        <f t="shared" si="50"/>
        <v>-2.3003083380701961</v>
      </c>
      <c r="L269" s="10">
        <f t="shared" si="52"/>
        <v>0.35257383292056138</v>
      </c>
      <c r="M269" s="10">
        <v>21.74</v>
      </c>
      <c r="N269" s="10">
        <v>229.12</v>
      </c>
      <c r="O269" s="10">
        <v>-266.13</v>
      </c>
      <c r="P269" s="11">
        <v>2.7699999999999999E-2</v>
      </c>
      <c r="Q269" s="11">
        <f t="shared" si="67"/>
        <v>0.19629999999999995</v>
      </c>
      <c r="R269" s="12">
        <f t="shared" si="58"/>
        <v>1.4473649170461504E-2</v>
      </c>
      <c r="S269" s="12">
        <f t="shared" si="59"/>
        <v>0.15253921333652901</v>
      </c>
      <c r="T269" s="12">
        <f t="shared" si="60"/>
        <v>-0.17717903651034594</v>
      </c>
      <c r="U269" s="12">
        <f t="shared" si="65"/>
        <v>4.0092008202178366E-4</v>
      </c>
      <c r="V269" s="12">
        <f t="shared" si="53"/>
        <v>4.2253362094218537E-3</v>
      </c>
      <c r="W269" s="12">
        <f t="shared" si="54"/>
        <v>-4.907859311336582E-3</v>
      </c>
      <c r="X269" s="12">
        <f t="shared" si="55"/>
        <v>2.8411773321615924E-3</v>
      </c>
      <c r="Y269" s="12">
        <f t="shared" si="56"/>
        <v>2.9943447577960636E-2</v>
      </c>
      <c r="Z269" s="12">
        <f t="shared" si="57"/>
        <v>-3.4780244866980899E-2</v>
      </c>
    </row>
    <row r="270" spans="1:26" ht="13">
      <c r="A270" s="8" t="s">
        <v>71</v>
      </c>
      <c r="B270" s="9">
        <v>2020</v>
      </c>
      <c r="C270" s="10">
        <f t="shared" si="66"/>
        <v>0</v>
      </c>
      <c r="D270" s="10">
        <v>486.46</v>
      </c>
      <c r="E270" s="10">
        <v>1409.65</v>
      </c>
      <c r="F270" s="10">
        <v>930.83</v>
      </c>
      <c r="G270" s="10">
        <v>432.76</v>
      </c>
      <c r="H270" s="10">
        <f t="shared" si="61"/>
        <v>0</v>
      </c>
      <c r="I270" s="10">
        <f t="shared" si="62"/>
        <v>0.34509275352037738</v>
      </c>
      <c r="J270" s="10">
        <f t="shared" si="63"/>
        <v>2.1509150568444406</v>
      </c>
      <c r="K270" s="4">
        <f t="shared" si="50"/>
        <v>-2.3415749651612261</v>
      </c>
      <c r="L270" s="10">
        <f t="shared" si="52"/>
        <v>0.34509275352037738</v>
      </c>
      <c r="M270" s="10">
        <v>48.92</v>
      </c>
      <c r="N270" s="10">
        <v>-58.55</v>
      </c>
      <c r="O270" s="10">
        <v>-27.92</v>
      </c>
      <c r="P270" s="11">
        <v>2.6599999999999999E-2</v>
      </c>
      <c r="Q270" s="11">
        <f t="shared" si="67"/>
        <v>0.19629999999999995</v>
      </c>
      <c r="R270" s="12">
        <f t="shared" si="58"/>
        <v>3.4703649842159401E-2</v>
      </c>
      <c r="S270" s="12">
        <f t="shared" si="59"/>
        <v>-4.153513283439151E-2</v>
      </c>
      <c r="T270" s="12">
        <f t="shared" si="60"/>
        <v>-1.9806334905827689E-2</v>
      </c>
      <c r="U270" s="12">
        <f t="shared" si="65"/>
        <v>9.2311708580144005E-4</v>
      </c>
      <c r="V270" s="12">
        <f t="shared" si="53"/>
        <v>-1.1048345333948141E-3</v>
      </c>
      <c r="W270" s="12">
        <f t="shared" si="54"/>
        <v>-5.268485084950165E-4</v>
      </c>
      <c r="X270" s="12">
        <f t="shared" si="55"/>
        <v>6.8123264640158887E-3</v>
      </c>
      <c r="Y270" s="12">
        <f t="shared" si="56"/>
        <v>-8.1533465753910513E-3</v>
      </c>
      <c r="Z270" s="12">
        <f t="shared" si="57"/>
        <v>-3.8879835420139743E-3</v>
      </c>
    </row>
    <row r="271" spans="1:26" ht="13">
      <c r="A271" s="8" t="s">
        <v>71</v>
      </c>
      <c r="B271" s="9">
        <v>2021</v>
      </c>
      <c r="C271" s="10">
        <f t="shared" si="66"/>
        <v>0</v>
      </c>
      <c r="D271" s="10">
        <v>465.72</v>
      </c>
      <c r="E271" s="10">
        <v>1410.15</v>
      </c>
      <c r="F271" s="10">
        <v>914.89</v>
      </c>
      <c r="G271" s="10">
        <v>413.89</v>
      </c>
      <c r="H271" s="10">
        <f t="shared" si="61"/>
        <v>0</v>
      </c>
      <c r="I271" s="10">
        <f t="shared" si="62"/>
        <v>0.33026273800659506</v>
      </c>
      <c r="J271" s="10">
        <f t="shared" si="63"/>
        <v>2.2104665490830899</v>
      </c>
      <c r="K271" s="4">
        <f t="shared" si="50"/>
        <v>-2.4263442595587406</v>
      </c>
      <c r="L271" s="10">
        <f t="shared" si="52"/>
        <v>0.33026273800659506</v>
      </c>
      <c r="M271" s="10">
        <v>-35.979999999999997</v>
      </c>
      <c r="N271" s="10">
        <v>-47.5</v>
      </c>
      <c r="O271" s="10">
        <v>27.07</v>
      </c>
      <c r="P271" s="11">
        <v>2.6599999999999999E-2</v>
      </c>
      <c r="Q271" s="11">
        <f t="shared" si="67"/>
        <v>0.19629999999999995</v>
      </c>
      <c r="R271" s="12">
        <f t="shared" si="58"/>
        <v>-2.551501613303549E-2</v>
      </c>
      <c r="S271" s="12">
        <f t="shared" si="59"/>
        <v>-3.3684359819877316E-2</v>
      </c>
      <c r="T271" s="12">
        <f t="shared" si="60"/>
        <v>1.9196539375243769E-2</v>
      </c>
      <c r="U271" s="12">
        <f t="shared" si="65"/>
        <v>-6.7869942913874402E-4</v>
      </c>
      <c r="V271" s="12">
        <f t="shared" si="53"/>
        <v>-8.9600397120873651E-4</v>
      </c>
      <c r="W271" s="12">
        <f t="shared" si="54"/>
        <v>5.1062794738148418E-4</v>
      </c>
      <c r="X271" s="12">
        <f t="shared" si="55"/>
        <v>-5.0085976669148654E-3</v>
      </c>
      <c r="Y271" s="12">
        <f t="shared" si="56"/>
        <v>-6.6122398326419153E-3</v>
      </c>
      <c r="Z271" s="12">
        <f t="shared" si="57"/>
        <v>3.7682806793603507E-3</v>
      </c>
    </row>
    <row r="272" spans="1:26" ht="13">
      <c r="A272" s="8" t="s">
        <v>72</v>
      </c>
      <c r="B272" s="9">
        <v>2017</v>
      </c>
      <c r="C272" s="10">
        <v>166.03</v>
      </c>
      <c r="D272" s="10">
        <v>1267.52</v>
      </c>
      <c r="E272" s="10">
        <v>2794.31</v>
      </c>
      <c r="F272" s="10">
        <v>1090.44</v>
      </c>
      <c r="G272" s="10">
        <v>858.51</v>
      </c>
      <c r="H272" s="10">
        <f t="shared" si="61"/>
        <v>5.9417172754633527E-2</v>
      </c>
      <c r="I272" s="10">
        <f t="shared" si="62"/>
        <v>0.45360750954618495</v>
      </c>
      <c r="J272" s="10">
        <f t="shared" si="63"/>
        <v>1.2701541042037949</v>
      </c>
      <c r="K272" s="4">
        <f t="shared" si="50"/>
        <v>-1.9868950893994117</v>
      </c>
      <c r="L272" s="10">
        <f t="shared" si="52"/>
        <v>0.45360750954618495</v>
      </c>
      <c r="M272" s="10">
        <v>533.24</v>
      </c>
      <c r="N272" s="10">
        <v>-332.19</v>
      </c>
      <c r="O272" s="10">
        <v>-184.62</v>
      </c>
      <c r="P272" s="11">
        <v>0.2472</v>
      </c>
      <c r="Q272" s="11">
        <f>(0.28+0.03+0.07+0.04+0.23+0.0001+0.0001)%</f>
        <v>6.502E-3</v>
      </c>
      <c r="R272" s="12">
        <f t="shared" si="58"/>
        <v>0.19083065228983184</v>
      </c>
      <c r="S272" s="12">
        <f t="shared" si="59"/>
        <v>-0.11888086862230747</v>
      </c>
      <c r="T272" s="12">
        <f t="shared" si="60"/>
        <v>-6.606997791941481E-2</v>
      </c>
      <c r="U272" s="12">
        <f t="shared" si="65"/>
        <v>4.7173337246046429E-2</v>
      </c>
      <c r="V272" s="12">
        <f t="shared" si="53"/>
        <v>-2.9387350723434406E-2</v>
      </c>
      <c r="W272" s="12">
        <f t="shared" si="54"/>
        <v>-1.6332498541679341E-2</v>
      </c>
      <c r="X272" s="12">
        <f t="shared" si="55"/>
        <v>1.2407809011884866E-3</v>
      </c>
      <c r="Y272" s="12">
        <f t="shared" si="56"/>
        <v>-7.7296340778224319E-4</v>
      </c>
      <c r="Z272" s="12">
        <f t="shared" si="57"/>
        <v>-4.2958699643203511E-4</v>
      </c>
    </row>
    <row r="273" spans="1:26" ht="13">
      <c r="A273" s="8" t="s">
        <v>72</v>
      </c>
      <c r="B273" s="9">
        <v>2018</v>
      </c>
      <c r="C273" s="10">
        <v>140.94999999999999</v>
      </c>
      <c r="D273" s="10">
        <v>1307.5</v>
      </c>
      <c r="E273" s="10">
        <v>2832.65</v>
      </c>
      <c r="F273" s="10">
        <v>1245.7</v>
      </c>
      <c r="G273" s="10">
        <v>1062.3599999999999</v>
      </c>
      <c r="H273" s="10">
        <f t="shared" si="61"/>
        <v>4.9759059537888541E-2</v>
      </c>
      <c r="I273" s="10">
        <f t="shared" si="62"/>
        <v>0.46158191093145995</v>
      </c>
      <c r="J273" s="10">
        <f t="shared" si="63"/>
        <v>1.1725780338115142</v>
      </c>
      <c r="K273" s="4">
        <f t="shared" si="50"/>
        <v>-1.8975891877464226</v>
      </c>
      <c r="L273" s="10">
        <f t="shared" si="52"/>
        <v>0.46158191093145995</v>
      </c>
      <c r="M273" s="10">
        <v>226.31</v>
      </c>
      <c r="N273" s="10">
        <v>-131.56</v>
      </c>
      <c r="O273" s="10">
        <v>-110.93</v>
      </c>
      <c r="P273" s="11">
        <v>0.2402</v>
      </c>
      <c r="Q273" s="11">
        <f>(0.28+0.03+0.07+0.01+0.01+0.23+0.0001)%</f>
        <v>6.301000000000001E-3</v>
      </c>
      <c r="R273" s="12">
        <f t="shared" si="58"/>
        <v>7.9893386051930165E-2</v>
      </c>
      <c r="S273" s="12">
        <f t="shared" si="59"/>
        <v>-4.6444142410816729E-2</v>
      </c>
      <c r="T273" s="12">
        <f t="shared" si="60"/>
        <v>-3.9161209468165856E-2</v>
      </c>
      <c r="U273" s="12">
        <f t="shared" si="65"/>
        <v>1.9190391329673626E-2</v>
      </c>
      <c r="V273" s="12">
        <f t="shared" si="53"/>
        <v>-1.1155883007078178E-2</v>
      </c>
      <c r="W273" s="12">
        <f t="shared" si="54"/>
        <v>-9.4065225142534389E-3</v>
      </c>
      <c r="X273" s="12">
        <f t="shared" si="55"/>
        <v>5.0340822551321206E-4</v>
      </c>
      <c r="Y273" s="12">
        <f t="shared" si="56"/>
        <v>-2.9264454133055628E-4</v>
      </c>
      <c r="Z273" s="12">
        <f t="shared" si="57"/>
        <v>-2.4675478085891308E-4</v>
      </c>
    </row>
    <row r="274" spans="1:26" ht="13">
      <c r="A274" s="8" t="s">
        <v>72</v>
      </c>
      <c r="B274" s="9">
        <v>2019</v>
      </c>
      <c r="C274" s="10">
        <v>250.53</v>
      </c>
      <c r="D274" s="10">
        <v>1076.19</v>
      </c>
      <c r="E274" s="10">
        <v>2708.28</v>
      </c>
      <c r="F274" s="10">
        <v>1377.16</v>
      </c>
      <c r="G274" s="10">
        <v>927.1</v>
      </c>
      <c r="H274" s="10">
        <f t="shared" si="61"/>
        <v>9.2505206256369349E-2</v>
      </c>
      <c r="I274" s="10">
        <f t="shared" si="62"/>
        <v>0.39737028667641455</v>
      </c>
      <c r="J274" s="10">
        <f t="shared" si="63"/>
        <v>1.4854492503505556</v>
      </c>
      <c r="K274" s="4">
        <f t="shared" si="50"/>
        <v>-2.4572045910995013</v>
      </c>
      <c r="L274" s="10">
        <f t="shared" si="52"/>
        <v>0.39737028667641455</v>
      </c>
      <c r="M274" s="10">
        <v>405.98</v>
      </c>
      <c r="N274" s="10">
        <v>-13.97</v>
      </c>
      <c r="O274" s="10">
        <v>-397.18</v>
      </c>
      <c r="P274" s="11">
        <v>0.2402</v>
      </c>
      <c r="Q274" s="11">
        <f>(0.28+0.03+0.07+0.008+0.0001+0.0001)%</f>
        <v>3.8820000000000005E-3</v>
      </c>
      <c r="R274" s="12">
        <f t="shared" si="58"/>
        <v>0.14990325963342047</v>
      </c>
      <c r="S274" s="12">
        <f t="shared" si="59"/>
        <v>-5.1582554241068126E-3</v>
      </c>
      <c r="T274" s="12">
        <f t="shared" si="60"/>
        <v>-0.14665396487807758</v>
      </c>
      <c r="U274" s="12">
        <f t="shared" si="65"/>
        <v>3.6006762963947593E-2</v>
      </c>
      <c r="V274" s="12">
        <f t="shared" si="53"/>
        <v>-1.2390129528704564E-3</v>
      </c>
      <c r="W274" s="12">
        <f t="shared" si="54"/>
        <v>-3.5226282363714237E-2</v>
      </c>
      <c r="X274" s="12">
        <f t="shared" si="55"/>
        <v>5.8192445389693831E-4</v>
      </c>
      <c r="Y274" s="12">
        <f t="shared" si="56"/>
        <v>-2.0024347556382651E-5</v>
      </c>
      <c r="Z274" s="12">
        <f t="shared" si="57"/>
        <v>-5.6931069165669726E-4</v>
      </c>
    </row>
    <row r="275" spans="1:26" ht="13">
      <c r="A275" s="8" t="s">
        <v>72</v>
      </c>
      <c r="B275" s="9">
        <v>2020</v>
      </c>
      <c r="C275" s="10">
        <v>256.32</v>
      </c>
      <c r="D275" s="10">
        <v>743.42</v>
      </c>
      <c r="E275" s="10">
        <v>2430.71</v>
      </c>
      <c r="F275" s="10">
        <v>1311.51</v>
      </c>
      <c r="G275" s="10">
        <v>742.18</v>
      </c>
      <c r="H275" s="10">
        <f t="shared" si="61"/>
        <v>0.10545067079166169</v>
      </c>
      <c r="I275" s="10">
        <f t="shared" si="62"/>
        <v>0.30584479431935524</v>
      </c>
      <c r="J275" s="10">
        <f t="shared" si="63"/>
        <v>1.7671050149559406</v>
      </c>
      <c r="K275" s="4">
        <f t="shared" si="50"/>
        <v>-3.038281111001977</v>
      </c>
      <c r="L275" s="10">
        <f t="shared" si="52"/>
        <v>0.30584479431935524</v>
      </c>
      <c r="M275" s="10">
        <v>852.99</v>
      </c>
      <c r="N275" s="10">
        <v>-155.47</v>
      </c>
      <c r="O275" s="10">
        <v>-554.41999999999996</v>
      </c>
      <c r="P275" s="11">
        <v>0.1827</v>
      </c>
      <c r="Q275" s="11">
        <f>(0.08+0.07+0.01+0.01+0.008)%</f>
        <v>1.7800000000000005E-3</v>
      </c>
      <c r="R275" s="12">
        <f t="shared" si="58"/>
        <v>0.35092215854626835</v>
      </c>
      <c r="S275" s="12">
        <f t="shared" si="59"/>
        <v>-6.3960735752105355E-2</v>
      </c>
      <c r="T275" s="12">
        <f t="shared" si="60"/>
        <v>-0.22808973509797548</v>
      </c>
      <c r="U275" s="12">
        <f t="shared" si="65"/>
        <v>6.4113478366403229E-2</v>
      </c>
      <c r="V275" s="12">
        <f t="shared" si="53"/>
        <v>-1.1685626421909649E-2</v>
      </c>
      <c r="W275" s="12">
        <f t="shared" si="54"/>
        <v>-4.167199460240012E-2</v>
      </c>
      <c r="X275" s="12">
        <f t="shared" si="55"/>
        <v>6.2464144221235788E-4</v>
      </c>
      <c r="Y275" s="12">
        <f t="shared" si="56"/>
        <v>-1.1385010963874757E-4</v>
      </c>
      <c r="Z275" s="12">
        <f t="shared" si="57"/>
        <v>-4.0599972847439646E-4</v>
      </c>
    </row>
    <row r="276" spans="1:26" ht="13">
      <c r="A276" s="8" t="s">
        <v>72</v>
      </c>
      <c r="B276" s="9">
        <v>2021</v>
      </c>
      <c r="C276" s="10">
        <v>290.83</v>
      </c>
      <c r="D276" s="10">
        <v>1362.01</v>
      </c>
      <c r="E276" s="10">
        <v>3135.94</v>
      </c>
      <c r="F276" s="10">
        <v>2114.1999999999998</v>
      </c>
      <c r="G276" s="10">
        <v>1359.99</v>
      </c>
      <c r="H276" s="10">
        <f t="shared" si="61"/>
        <v>9.2740932543352222E-2</v>
      </c>
      <c r="I276" s="10">
        <f t="shared" si="62"/>
        <v>0.43432272301128211</v>
      </c>
      <c r="J276" s="10">
        <f t="shared" si="63"/>
        <v>1.5545702541930453</v>
      </c>
      <c r="K276" s="4">
        <f t="shared" si="50"/>
        <v>-2.2479129562975491</v>
      </c>
      <c r="L276" s="10">
        <f t="shared" si="52"/>
        <v>0.43432272301128211</v>
      </c>
      <c r="M276" s="10">
        <v>-67.81</v>
      </c>
      <c r="N276" s="10">
        <v>-173.45</v>
      </c>
      <c r="O276" s="10">
        <v>141.84</v>
      </c>
      <c r="P276" s="11">
        <v>6.6100000000000006E-2</v>
      </c>
      <c r="Q276" s="11">
        <f>(0.08+0.04+0.07+0.01+0.01+0.008)%</f>
        <v>2.1800000000000001E-3</v>
      </c>
      <c r="R276" s="12">
        <f t="shared" si="58"/>
        <v>-2.1623500449625951E-2</v>
      </c>
      <c r="S276" s="12">
        <f t="shared" si="59"/>
        <v>-5.531036945859933E-2</v>
      </c>
      <c r="T276" s="12">
        <f t="shared" si="60"/>
        <v>4.5230457215380396E-2</v>
      </c>
      <c r="U276" s="12">
        <f t="shared" si="65"/>
        <v>-1.4293133797202756E-3</v>
      </c>
      <c r="V276" s="12">
        <f t="shared" si="53"/>
        <v>-3.656015421213416E-3</v>
      </c>
      <c r="W276" s="12">
        <f t="shared" si="54"/>
        <v>2.9897332219366445E-3</v>
      </c>
      <c r="X276" s="12">
        <f t="shared" si="55"/>
        <v>-4.7139230980184575E-5</v>
      </c>
      <c r="Y276" s="12">
        <f t="shared" si="56"/>
        <v>-1.2057660541974654E-4</v>
      </c>
      <c r="Z276" s="12">
        <f t="shared" si="57"/>
        <v>9.8602396729529263E-5</v>
      </c>
    </row>
    <row r="277" spans="1:26" ht="13">
      <c r="A277" s="8" t="s">
        <v>73</v>
      </c>
      <c r="B277" s="9">
        <v>2017</v>
      </c>
      <c r="C277" s="10">
        <v>69.05</v>
      </c>
      <c r="D277" s="10">
        <v>394.44</v>
      </c>
      <c r="E277" s="10">
        <v>1082.56</v>
      </c>
      <c r="F277" s="10">
        <v>733.74</v>
      </c>
      <c r="G277" s="10">
        <v>350.36</v>
      </c>
      <c r="H277" s="10">
        <f t="shared" si="61"/>
        <v>6.3783993496896244E-2</v>
      </c>
      <c r="I277" s="10">
        <f t="shared" si="62"/>
        <v>0.36435855749334911</v>
      </c>
      <c r="J277" s="10">
        <f t="shared" si="63"/>
        <v>2.0942459184838453</v>
      </c>
      <c r="K277" s="4">
        <f t="shared" si="50"/>
        <v>-2.5185611766978782</v>
      </c>
      <c r="L277" s="10">
        <f t="shared" si="52"/>
        <v>0.36435855749334911</v>
      </c>
      <c r="M277" s="10">
        <v>23.84</v>
      </c>
      <c r="N277" s="10">
        <v>29.82</v>
      </c>
      <c r="O277" s="10">
        <v>-27.89</v>
      </c>
      <c r="P277" s="11">
        <v>0</v>
      </c>
      <c r="Q277" s="11">
        <v>0</v>
      </c>
      <c r="R277" s="12">
        <f t="shared" si="58"/>
        <v>2.2021874076263673E-2</v>
      </c>
      <c r="S277" s="12">
        <f t="shared" si="59"/>
        <v>2.7545817321903636E-2</v>
      </c>
      <c r="T277" s="12">
        <f t="shared" si="60"/>
        <v>-2.576300620750813E-2</v>
      </c>
      <c r="U277" s="12">
        <f t="shared" si="65"/>
        <v>0</v>
      </c>
      <c r="V277" s="12">
        <f t="shared" si="53"/>
        <v>0</v>
      </c>
      <c r="W277" s="12">
        <f t="shared" si="54"/>
        <v>0</v>
      </c>
      <c r="X277" s="12">
        <f t="shared" si="55"/>
        <v>0</v>
      </c>
      <c r="Y277" s="12">
        <f t="shared" si="56"/>
        <v>0</v>
      </c>
      <c r="Z277" s="12">
        <f t="shared" si="57"/>
        <v>0</v>
      </c>
    </row>
    <row r="278" spans="1:26" ht="13">
      <c r="A278" s="8" t="s">
        <v>73</v>
      </c>
      <c r="B278" s="9">
        <v>2018</v>
      </c>
      <c r="C278" s="10">
        <v>66.28</v>
      </c>
      <c r="D278" s="10">
        <v>1419.12</v>
      </c>
      <c r="E278" s="10">
        <v>2191.79</v>
      </c>
      <c r="F278" s="10">
        <v>1613.75</v>
      </c>
      <c r="G278" s="10">
        <v>1384.34</v>
      </c>
      <c r="H278" s="10">
        <f t="shared" si="61"/>
        <v>3.0240123369483392E-2</v>
      </c>
      <c r="I278" s="10">
        <f t="shared" si="62"/>
        <v>0.64747078871607222</v>
      </c>
      <c r="J278" s="10">
        <f t="shared" si="63"/>
        <v>1.1657179594608262</v>
      </c>
      <c r="K278" s="4">
        <f t="shared" si="50"/>
        <v>-0.75015993131890679</v>
      </c>
      <c r="L278" s="10">
        <f t="shared" si="52"/>
        <v>0.64747078871607222</v>
      </c>
      <c r="M278" s="10">
        <v>250.5</v>
      </c>
      <c r="N278" s="10">
        <v>-559.42999999999995</v>
      </c>
      <c r="O278" s="10">
        <v>312.37</v>
      </c>
      <c r="P278" s="11">
        <v>0</v>
      </c>
      <c r="Q278" s="11">
        <f>(0.49+0.16+0.19+0.16+0.08+0.16+0.16)%</f>
        <v>1.3999999999999999E-2</v>
      </c>
      <c r="R278" s="12">
        <f t="shared" si="58"/>
        <v>0.11429014641001191</v>
      </c>
      <c r="S278" s="12">
        <f t="shared" si="59"/>
        <v>-0.25523886868723733</v>
      </c>
      <c r="T278" s="12">
        <f t="shared" si="60"/>
        <v>0.14251821570497175</v>
      </c>
      <c r="U278" s="12">
        <f t="shared" si="65"/>
        <v>0</v>
      </c>
      <c r="V278" s="12">
        <f t="shared" si="53"/>
        <v>0</v>
      </c>
      <c r="W278" s="12">
        <f t="shared" si="54"/>
        <v>0</v>
      </c>
      <c r="X278" s="12">
        <f t="shared" si="55"/>
        <v>1.6000620497401666E-3</v>
      </c>
      <c r="Y278" s="12">
        <f t="shared" si="56"/>
        <v>-3.5733441616213222E-3</v>
      </c>
      <c r="Z278" s="12">
        <f t="shared" si="57"/>
        <v>1.9952550198696043E-3</v>
      </c>
    </row>
    <row r="279" spans="1:26" ht="13">
      <c r="A279" s="8" t="s">
        <v>73</v>
      </c>
      <c r="B279" s="9">
        <v>2019</v>
      </c>
      <c r="C279" s="10">
        <v>54.69</v>
      </c>
      <c r="D279" s="10">
        <v>1531.71</v>
      </c>
      <c r="E279" s="10">
        <v>2342.15</v>
      </c>
      <c r="F279" s="10">
        <v>1596.64</v>
      </c>
      <c r="G279" s="10">
        <v>1516.07</v>
      </c>
      <c r="H279" s="10">
        <f t="shared" si="61"/>
        <v>2.335034049911406E-2</v>
      </c>
      <c r="I279" s="10">
        <f t="shared" si="62"/>
        <v>0.65397604764852801</v>
      </c>
      <c r="J279" s="10">
        <f t="shared" si="63"/>
        <v>1.0531439841168284</v>
      </c>
      <c r="K279" s="4">
        <f t="shared" si="50"/>
        <v>-0.68162563658587016</v>
      </c>
      <c r="L279" s="10">
        <f t="shared" si="52"/>
        <v>0.65397604764852801</v>
      </c>
      <c r="M279" s="10">
        <v>269.07</v>
      </c>
      <c r="N279" s="10">
        <v>-0.17</v>
      </c>
      <c r="O279" s="10">
        <v>-269.7</v>
      </c>
      <c r="P279" s="11">
        <v>0</v>
      </c>
      <c r="Q279" s="11">
        <f>(1.66+0.17+0.2+0.17+0.08+0.17+0.17)%</f>
        <v>2.6199999999999998E-2</v>
      </c>
      <c r="R279" s="12">
        <f t="shared" si="58"/>
        <v>0.11488162585658475</v>
      </c>
      <c r="S279" s="12">
        <f t="shared" si="59"/>
        <v>-7.2582883248297503E-5</v>
      </c>
      <c r="T279" s="12">
        <f t="shared" si="60"/>
        <v>-0.11515060948274021</v>
      </c>
      <c r="U279" s="12">
        <f t="shared" si="65"/>
        <v>0</v>
      </c>
      <c r="V279" s="12">
        <f t="shared" si="53"/>
        <v>0</v>
      </c>
      <c r="W279" s="12">
        <f t="shared" si="54"/>
        <v>0</v>
      </c>
      <c r="X279" s="12">
        <f t="shared" si="55"/>
        <v>3.0098985974425199E-3</v>
      </c>
      <c r="Y279" s="12">
        <f t="shared" si="56"/>
        <v>-1.9016715411053943E-6</v>
      </c>
      <c r="Z279" s="12">
        <f t="shared" si="57"/>
        <v>-3.0169459684477934E-3</v>
      </c>
    </row>
    <row r="280" spans="1:26" ht="13">
      <c r="A280" s="8" t="s">
        <v>73</v>
      </c>
      <c r="B280" s="9">
        <v>2020</v>
      </c>
      <c r="C280" s="10">
        <v>50.93</v>
      </c>
      <c r="D280" s="10">
        <v>1649.8</v>
      </c>
      <c r="E280" s="10">
        <v>2501.2600000000002</v>
      </c>
      <c r="F280" s="10">
        <v>1693.41</v>
      </c>
      <c r="G280" s="10">
        <v>1532.52</v>
      </c>
      <c r="H280" s="10">
        <f t="shared" si="61"/>
        <v>2.0361737684207157E-2</v>
      </c>
      <c r="I280" s="10">
        <f t="shared" si="62"/>
        <v>0.65958756786579553</v>
      </c>
      <c r="J280" s="10">
        <f t="shared" si="63"/>
        <v>1.1049839480072039</v>
      </c>
      <c r="K280" s="4">
        <f t="shared" si="50"/>
        <v>-0.63639861853592683</v>
      </c>
      <c r="L280" s="10">
        <f t="shared" si="52"/>
        <v>0.65958756786579553</v>
      </c>
      <c r="M280" s="10">
        <v>-125.48</v>
      </c>
      <c r="N280" s="10">
        <v>-95.38</v>
      </c>
      <c r="O280" s="10">
        <v>237.09</v>
      </c>
      <c r="P280" s="11">
        <f>(11.6+0.4)%</f>
        <v>0.12</v>
      </c>
      <c r="Q280" s="11">
        <f t="shared" ref="Q280:Q281" si="68">(3.04+0.17+0.17)%</f>
        <v>3.3799999999999997E-2</v>
      </c>
      <c r="R280" s="12">
        <f t="shared" si="58"/>
        <v>-5.0166715975148525E-2</v>
      </c>
      <c r="S280" s="12">
        <f t="shared" si="59"/>
        <v>-3.8132781078336515E-2</v>
      </c>
      <c r="T280" s="12">
        <f t="shared" si="60"/>
        <v>9.4788226733726194E-2</v>
      </c>
      <c r="U280" s="12">
        <f t="shared" si="65"/>
        <v>-6.0200059170178229E-3</v>
      </c>
      <c r="V280" s="12">
        <f t="shared" si="53"/>
        <v>-4.575933729400382E-3</v>
      </c>
      <c r="W280" s="12">
        <f t="shared" si="54"/>
        <v>1.1374587208047142E-2</v>
      </c>
      <c r="X280" s="12">
        <f t="shared" si="55"/>
        <v>-1.6956349999600201E-3</v>
      </c>
      <c r="Y280" s="12">
        <f t="shared" si="56"/>
        <v>-1.2888880004477742E-3</v>
      </c>
      <c r="Z280" s="12">
        <f t="shared" si="57"/>
        <v>3.2038420635999449E-3</v>
      </c>
    </row>
    <row r="281" spans="1:26" ht="13">
      <c r="A281" s="8" t="s">
        <v>73</v>
      </c>
      <c r="B281" s="9">
        <v>2021</v>
      </c>
      <c r="C281" s="10">
        <v>13.24</v>
      </c>
      <c r="D281" s="10">
        <v>1865.97</v>
      </c>
      <c r="E281" s="10">
        <v>2724.55</v>
      </c>
      <c r="F281" s="10">
        <v>1748.43</v>
      </c>
      <c r="G281" s="10">
        <v>1862.27</v>
      </c>
      <c r="H281" s="10">
        <f t="shared" si="61"/>
        <v>4.8595180855554128E-3</v>
      </c>
      <c r="I281" s="10">
        <f t="shared" si="62"/>
        <v>0.68487273127672454</v>
      </c>
      <c r="J281" s="10">
        <f t="shared" si="63"/>
        <v>0.93887030344686861</v>
      </c>
      <c r="K281" s="4">
        <f t="shared" si="50"/>
        <v>-0.42184874432145675</v>
      </c>
      <c r="L281" s="10">
        <f t="shared" si="52"/>
        <v>0.68487273127672454</v>
      </c>
      <c r="M281" s="10">
        <v>-2.6</v>
      </c>
      <c r="N281" s="10">
        <v>-32.869999999999997</v>
      </c>
      <c r="O281" s="10">
        <v>31.58</v>
      </c>
      <c r="P281" s="11">
        <f>(0.08+1.25)%</f>
        <v>1.3300000000000001E-2</v>
      </c>
      <c r="Q281" s="11">
        <f t="shared" si="68"/>
        <v>3.3799999999999997E-2</v>
      </c>
      <c r="R281" s="12">
        <f t="shared" si="58"/>
        <v>-9.5428602888550395E-4</v>
      </c>
      <c r="S281" s="12">
        <f t="shared" si="59"/>
        <v>-1.2064377603640966E-2</v>
      </c>
      <c r="T281" s="12">
        <f t="shared" si="60"/>
        <v>1.1590904920078544E-2</v>
      </c>
      <c r="U281" s="12">
        <f t="shared" si="65"/>
        <v>-1.2692004184177203E-5</v>
      </c>
      <c r="V281" s="12">
        <f t="shared" si="53"/>
        <v>-1.6045622212842488E-4</v>
      </c>
      <c r="W281" s="12">
        <f t="shared" si="54"/>
        <v>1.5415903543704464E-4</v>
      </c>
      <c r="X281" s="12">
        <f t="shared" si="55"/>
        <v>-3.2254867776330028E-5</v>
      </c>
      <c r="Y281" s="12">
        <f t="shared" si="56"/>
        <v>-4.0777596300306464E-4</v>
      </c>
      <c r="Z281" s="12">
        <f t="shared" si="57"/>
        <v>3.9177258629865473E-4</v>
      </c>
    </row>
    <row r="282" spans="1:26" ht="13">
      <c r="A282" s="8" t="s">
        <v>74</v>
      </c>
      <c r="B282" s="9">
        <v>2017</v>
      </c>
      <c r="C282" s="10">
        <v>63.81</v>
      </c>
      <c r="D282" s="10">
        <v>12.47</v>
      </c>
      <c r="E282" s="10">
        <v>153.27000000000001</v>
      </c>
      <c r="F282" s="10">
        <v>105.16</v>
      </c>
      <c r="G282" s="10">
        <v>12.47</v>
      </c>
      <c r="H282" s="10">
        <f t="shared" si="61"/>
        <v>0.41632413388138578</v>
      </c>
      <c r="I282" s="10">
        <f t="shared" si="62"/>
        <v>8.1359692046714949E-2</v>
      </c>
      <c r="J282" s="10">
        <f t="shared" si="63"/>
        <v>8.4330392943063348</v>
      </c>
      <c r="K282" s="4">
        <f t="shared" si="50"/>
        <v>-5.7434405149771868</v>
      </c>
      <c r="L282" s="10">
        <f t="shared" si="52"/>
        <v>8.1359692046714949E-2</v>
      </c>
      <c r="M282" s="10">
        <v>66.59</v>
      </c>
      <c r="N282" s="10">
        <v>2.16</v>
      </c>
      <c r="O282" s="10">
        <v>-48.46</v>
      </c>
      <c r="P282" s="11">
        <v>7.4999999999999997E-3</v>
      </c>
      <c r="Q282" s="11">
        <f>(0.11+0.11+0.33+0.05+0.42+0.05+0.13)%</f>
        <v>1.2000000000000002E-2</v>
      </c>
      <c r="R282" s="12">
        <f t="shared" si="58"/>
        <v>0.4344620604162589</v>
      </c>
      <c r="S282" s="12">
        <f t="shared" si="59"/>
        <v>1.4092777451556078E-2</v>
      </c>
      <c r="T282" s="12">
        <f t="shared" si="60"/>
        <v>-0.31617407189926272</v>
      </c>
      <c r="U282" s="12">
        <f t="shared" si="65"/>
        <v>3.2584654531219418E-3</v>
      </c>
      <c r="V282" s="12">
        <f t="shared" si="53"/>
        <v>1.0569583088667058E-4</v>
      </c>
      <c r="W282" s="12">
        <f t="shared" si="54"/>
        <v>-2.3713055392444705E-3</v>
      </c>
      <c r="X282" s="12">
        <f t="shared" si="55"/>
        <v>5.2135447249951079E-3</v>
      </c>
      <c r="Y282" s="12">
        <f t="shared" si="56"/>
        <v>1.6911332941867295E-4</v>
      </c>
      <c r="Z282" s="12">
        <f t="shared" si="57"/>
        <v>-3.7940888627911533E-3</v>
      </c>
    </row>
    <row r="283" spans="1:26" ht="13">
      <c r="A283" s="8" t="s">
        <v>74</v>
      </c>
      <c r="B283" s="9">
        <v>2018</v>
      </c>
      <c r="C283" s="10">
        <v>51.78</v>
      </c>
      <c r="D283" s="10">
        <v>9.02</v>
      </c>
      <c r="E283" s="10">
        <v>136.84</v>
      </c>
      <c r="F283" s="10">
        <v>87.73</v>
      </c>
      <c r="G283" s="10">
        <v>9.02</v>
      </c>
      <c r="H283" s="10">
        <f t="shared" si="61"/>
        <v>0.37839812920198773</v>
      </c>
      <c r="I283" s="10">
        <f t="shared" si="62"/>
        <v>6.591639871382636E-2</v>
      </c>
      <c r="J283" s="10">
        <f t="shared" si="63"/>
        <v>9.7261640798226168</v>
      </c>
      <c r="K283" s="4">
        <f t="shared" ref="K283:K346" si="69">-4.3 -4.5*(C283/E283)+5.7*(D283/E283)-0.004*(F283/G283)</f>
        <v>-5.6659727650594238</v>
      </c>
      <c r="L283" s="10">
        <f t="shared" si="52"/>
        <v>6.591639871382636E-2</v>
      </c>
      <c r="M283" s="10">
        <v>43.46</v>
      </c>
      <c r="N283" s="10">
        <v>3.3</v>
      </c>
      <c r="O283" s="10">
        <v>-61.75</v>
      </c>
      <c r="P283" s="11">
        <v>6.7999999999999996E-3</v>
      </c>
      <c r="Q283" s="11">
        <f>(0.11+20.53+0.4+2.56)%</f>
        <v>0.23599999999999999</v>
      </c>
      <c r="R283" s="12">
        <f t="shared" si="58"/>
        <v>0.31759719380298157</v>
      </c>
      <c r="S283" s="12">
        <f t="shared" si="59"/>
        <v>2.4115755627009645E-2</v>
      </c>
      <c r="T283" s="12">
        <f t="shared" si="60"/>
        <v>-0.45125694241449865</v>
      </c>
      <c r="U283" s="12">
        <f t="shared" si="65"/>
        <v>2.1596609178602746E-3</v>
      </c>
      <c r="V283" s="12">
        <f t="shared" si="53"/>
        <v>1.6398713826366559E-4</v>
      </c>
      <c r="W283" s="12">
        <f t="shared" si="54"/>
        <v>-3.0685472084185906E-3</v>
      </c>
      <c r="X283" s="12">
        <f t="shared" si="55"/>
        <v>7.4952937737503653E-2</v>
      </c>
      <c r="Y283" s="12">
        <f t="shared" si="56"/>
        <v>5.6913183279742761E-3</v>
      </c>
      <c r="Z283" s="12">
        <f t="shared" si="57"/>
        <v>-0.10649663840982168</v>
      </c>
    </row>
    <row r="284" spans="1:26" ht="13">
      <c r="A284" s="8" t="s">
        <v>74</v>
      </c>
      <c r="B284" s="9">
        <v>2019</v>
      </c>
      <c r="C284" s="10">
        <v>55.68</v>
      </c>
      <c r="D284" s="10">
        <v>27.18</v>
      </c>
      <c r="E284" s="10">
        <v>136.12</v>
      </c>
      <c r="F284" s="10">
        <v>92.35</v>
      </c>
      <c r="G284" s="10">
        <v>27.18</v>
      </c>
      <c r="H284" s="10">
        <f t="shared" si="61"/>
        <v>0.40905083749632676</v>
      </c>
      <c r="I284" s="10">
        <f t="shared" si="62"/>
        <v>0.19967675580370262</v>
      </c>
      <c r="J284" s="10">
        <f t="shared" si="63"/>
        <v>3.3977189109639441</v>
      </c>
      <c r="K284" s="4">
        <f t="shared" si="69"/>
        <v>-5.016162136296221</v>
      </c>
      <c r="L284" s="10">
        <f t="shared" si="52"/>
        <v>0.19967675580370262</v>
      </c>
      <c r="M284" s="10">
        <v>53.82</v>
      </c>
      <c r="N284" s="10">
        <v>-11.82</v>
      </c>
      <c r="O284" s="10">
        <v>-52.25</v>
      </c>
      <c r="P284" s="11">
        <v>7.2300000000000003E-3</v>
      </c>
      <c r="Q284" s="11">
        <f>(0.11+0.11+0.4+2.56+0.16)%</f>
        <v>3.3400000000000006E-2</v>
      </c>
      <c r="R284" s="12">
        <f t="shared" si="58"/>
        <v>0.39538642374375549</v>
      </c>
      <c r="S284" s="12">
        <f t="shared" si="59"/>
        <v>-8.6835145459888338E-2</v>
      </c>
      <c r="T284" s="12">
        <f t="shared" si="60"/>
        <v>-0.38385248310314429</v>
      </c>
      <c r="U284" s="12">
        <f t="shared" si="65"/>
        <v>2.8586438436673522E-3</v>
      </c>
      <c r="V284" s="12">
        <f t="shared" si="53"/>
        <v>-6.2781810167499268E-4</v>
      </c>
      <c r="W284" s="12">
        <f t="shared" si="54"/>
        <v>-2.7752534528357334E-3</v>
      </c>
      <c r="X284" s="12">
        <f t="shared" si="55"/>
        <v>1.3205906553041435E-2</v>
      </c>
      <c r="Y284" s="12">
        <f t="shared" si="56"/>
        <v>-2.9002938583602709E-3</v>
      </c>
      <c r="Z284" s="12">
        <f t="shared" si="57"/>
        <v>-1.2820672935645022E-2</v>
      </c>
    </row>
    <row r="285" spans="1:26" ht="13">
      <c r="A285" s="8" t="s">
        <v>74</v>
      </c>
      <c r="B285" s="9">
        <v>2020</v>
      </c>
      <c r="C285" s="10">
        <v>59</v>
      </c>
      <c r="D285" s="10">
        <v>11.28</v>
      </c>
      <c r="E285" s="10">
        <v>147.36000000000001</v>
      </c>
      <c r="F285" s="10">
        <v>107.13</v>
      </c>
      <c r="G285" s="10">
        <v>11.28</v>
      </c>
      <c r="H285" s="10">
        <f t="shared" si="61"/>
        <v>0.40038002171552656</v>
      </c>
      <c r="I285" s="10">
        <f t="shared" si="62"/>
        <v>7.6547231270358299E-2</v>
      </c>
      <c r="J285" s="10">
        <f t="shared" si="63"/>
        <v>9.4973404255319149</v>
      </c>
      <c r="K285" s="4">
        <f t="shared" si="69"/>
        <v>-5.7033802411809544</v>
      </c>
      <c r="L285" s="10">
        <f t="shared" si="52"/>
        <v>7.6547231270358299E-2</v>
      </c>
      <c r="M285" s="10">
        <v>55.14</v>
      </c>
      <c r="N285" s="10">
        <v>-4.9000000000000004</v>
      </c>
      <c r="O285" s="10">
        <v>-47.5</v>
      </c>
      <c r="P285" s="11">
        <v>1.0200000000000001E-2</v>
      </c>
      <c r="Q285" s="11">
        <f>(0.05+0.11+0.11+0.77+2.56)%</f>
        <v>3.6000000000000004E-2</v>
      </c>
      <c r="R285" s="12">
        <f t="shared" si="58"/>
        <v>0.37418566775244294</v>
      </c>
      <c r="S285" s="12">
        <f t="shared" si="59"/>
        <v>-3.3251900108577634E-2</v>
      </c>
      <c r="T285" s="12">
        <f t="shared" si="60"/>
        <v>-0.32233984799131377</v>
      </c>
      <c r="U285" s="12">
        <f t="shared" si="65"/>
        <v>3.8166938110749181E-3</v>
      </c>
      <c r="V285" s="12">
        <f t="shared" si="53"/>
        <v>-3.3916938110749187E-4</v>
      </c>
      <c r="W285" s="12">
        <f t="shared" si="54"/>
        <v>-3.2878664495114007E-3</v>
      </c>
      <c r="X285" s="12">
        <f t="shared" si="55"/>
        <v>1.3470684039087948E-2</v>
      </c>
      <c r="Y285" s="12">
        <f t="shared" si="56"/>
        <v>-1.197068403908795E-3</v>
      </c>
      <c r="Z285" s="12">
        <f t="shared" si="57"/>
        <v>-1.1604234527687296E-2</v>
      </c>
    </row>
    <row r="286" spans="1:26" ht="13">
      <c r="A286" s="8" t="s">
        <v>74</v>
      </c>
      <c r="B286" s="9">
        <v>2021</v>
      </c>
      <c r="C286" s="10">
        <v>56.27</v>
      </c>
      <c r="D286" s="10">
        <v>12.33</v>
      </c>
      <c r="E286" s="10">
        <v>134.66</v>
      </c>
      <c r="F286" s="10">
        <v>94.81</v>
      </c>
      <c r="G286" s="10">
        <v>12.33</v>
      </c>
      <c r="H286" s="10">
        <f t="shared" si="61"/>
        <v>0.41786722114956187</v>
      </c>
      <c r="I286" s="10">
        <f t="shared" si="62"/>
        <v>9.1563938808851927E-2</v>
      </c>
      <c r="J286" s="10">
        <f t="shared" si="63"/>
        <v>7.6893755068937555</v>
      </c>
      <c r="K286" s="4">
        <f t="shared" si="69"/>
        <v>-5.6892455459901479</v>
      </c>
      <c r="L286" s="10">
        <f t="shared" si="52"/>
        <v>9.1563938808851927E-2</v>
      </c>
      <c r="M286" s="10">
        <v>53.39</v>
      </c>
      <c r="N286" s="10">
        <v>-43.82</v>
      </c>
      <c r="O286" s="10">
        <v>-66.260000000000005</v>
      </c>
      <c r="P286" s="11">
        <v>1.6500000000000001E-2</v>
      </c>
      <c r="Q286" s="11">
        <f>(0.05+0.05+0.11+0.11+0.77+2.56)%</f>
        <v>3.6500000000000005E-2</v>
      </c>
      <c r="R286" s="12">
        <f t="shared" si="58"/>
        <v>0.39648002376355268</v>
      </c>
      <c r="S286" s="12">
        <f t="shared" si="59"/>
        <v>-0.3254121491162929</v>
      </c>
      <c r="T286" s="12">
        <f t="shared" si="60"/>
        <v>-0.49205406208228136</v>
      </c>
      <c r="U286" s="12">
        <f t="shared" si="65"/>
        <v>6.5419203920986197E-3</v>
      </c>
      <c r="V286" s="12">
        <f t="shared" si="53"/>
        <v>-5.3693004604188329E-3</v>
      </c>
      <c r="W286" s="12">
        <f t="shared" si="54"/>
        <v>-8.1188920243576435E-3</v>
      </c>
      <c r="X286" s="12">
        <f t="shared" si="55"/>
        <v>1.4471520867369674E-2</v>
      </c>
      <c r="Y286" s="12">
        <f t="shared" si="56"/>
        <v>-1.1877543442744692E-2</v>
      </c>
      <c r="Z286" s="12">
        <f t="shared" si="57"/>
        <v>-1.7959973266003272E-2</v>
      </c>
    </row>
    <row r="287" spans="1:26" ht="13">
      <c r="A287" s="8" t="s">
        <v>75</v>
      </c>
      <c r="B287" s="9">
        <v>2017</v>
      </c>
      <c r="C287" s="10">
        <v>89.05</v>
      </c>
      <c r="D287" s="10">
        <v>11.01</v>
      </c>
      <c r="E287" s="10">
        <v>243.11</v>
      </c>
      <c r="F287" s="10">
        <v>193.98</v>
      </c>
      <c r="G287" s="10">
        <v>10.91</v>
      </c>
      <c r="H287" s="10">
        <f t="shared" si="61"/>
        <v>0.3662950927563654</v>
      </c>
      <c r="I287" s="10">
        <f t="shared" si="62"/>
        <v>4.528814117066348E-2</v>
      </c>
      <c r="J287" s="10">
        <f t="shared" si="63"/>
        <v>17.780018331805682</v>
      </c>
      <c r="K287" s="4">
        <f t="shared" si="69"/>
        <v>-5.7613055860580848</v>
      </c>
      <c r="L287" s="10">
        <f t="shared" si="52"/>
        <v>4.528814117066348E-2</v>
      </c>
      <c r="M287" s="10">
        <v>70.989999999999995</v>
      </c>
      <c r="N287" s="10">
        <v>41.54</v>
      </c>
      <c r="O287" s="10">
        <v>-59.02</v>
      </c>
      <c r="P287" s="11">
        <v>0.18129999999999999</v>
      </c>
      <c r="Q287" s="11">
        <f t="shared" ref="Q287:Q288" si="70">(0.06+0.013+0.009+0.34)%</f>
        <v>4.2200000000000007E-3</v>
      </c>
      <c r="R287" s="12">
        <f t="shared" si="58"/>
        <v>0.29200773312492284</v>
      </c>
      <c r="S287" s="12">
        <f t="shared" si="59"/>
        <v>0.17086915388095922</v>
      </c>
      <c r="T287" s="12">
        <f t="shared" si="60"/>
        <v>-0.24277076220640861</v>
      </c>
      <c r="U287" s="12">
        <f t="shared" si="65"/>
        <v>5.2941002015548508E-2</v>
      </c>
      <c r="V287" s="12">
        <f t="shared" si="53"/>
        <v>3.0978577598617905E-2</v>
      </c>
      <c r="W287" s="12">
        <f t="shared" si="54"/>
        <v>-4.4014339188021882E-2</v>
      </c>
      <c r="X287" s="12">
        <f t="shared" si="55"/>
        <v>1.2322726337871746E-3</v>
      </c>
      <c r="Y287" s="12">
        <f t="shared" si="56"/>
        <v>7.2106782937764798E-4</v>
      </c>
      <c r="Z287" s="12">
        <f t="shared" si="57"/>
        <v>-1.0244926165110446E-3</v>
      </c>
    </row>
    <row r="288" spans="1:26" ht="13">
      <c r="A288" s="8" t="s">
        <v>75</v>
      </c>
      <c r="B288" s="9">
        <v>2018</v>
      </c>
      <c r="C288" s="10">
        <v>95.76</v>
      </c>
      <c r="D288" s="10">
        <v>18.21</v>
      </c>
      <c r="E288" s="10">
        <v>263.95999999999998</v>
      </c>
      <c r="F288" s="10">
        <v>260.26</v>
      </c>
      <c r="G288" s="10">
        <v>18.12</v>
      </c>
      <c r="H288" s="10">
        <f t="shared" si="61"/>
        <v>0.36278223973329299</v>
      </c>
      <c r="I288" s="10">
        <f t="shared" si="62"/>
        <v>6.8987725412941361E-2</v>
      </c>
      <c r="J288" s="10">
        <f t="shared" si="63"/>
        <v>14.363134657836643</v>
      </c>
      <c r="K288" s="4">
        <f t="shared" si="69"/>
        <v>-5.5967425825773987</v>
      </c>
      <c r="L288" s="10">
        <f t="shared" si="52"/>
        <v>6.8987725412941361E-2</v>
      </c>
      <c r="M288" s="10">
        <v>75.06</v>
      </c>
      <c r="N288" s="10">
        <v>12.3</v>
      </c>
      <c r="O288" s="10">
        <v>-65.95</v>
      </c>
      <c r="P288" s="11">
        <v>0.21049999999999999</v>
      </c>
      <c r="Q288" s="11">
        <f t="shared" si="70"/>
        <v>4.2200000000000007E-3</v>
      </c>
      <c r="R288" s="12">
        <f t="shared" si="58"/>
        <v>0.28436126685861496</v>
      </c>
      <c r="S288" s="12">
        <f t="shared" si="59"/>
        <v>4.6597969389301414E-2</v>
      </c>
      <c r="T288" s="12">
        <f t="shared" si="60"/>
        <v>-0.2498484618881649</v>
      </c>
      <c r="U288" s="12">
        <f t="shared" si="65"/>
        <v>5.9858046673738445E-2</v>
      </c>
      <c r="V288" s="12">
        <f t="shared" si="53"/>
        <v>9.8088725564479465E-3</v>
      </c>
      <c r="W288" s="12">
        <f t="shared" si="54"/>
        <v>-5.2593101227458708E-2</v>
      </c>
      <c r="X288" s="12">
        <f t="shared" si="55"/>
        <v>1.2000045461433553E-3</v>
      </c>
      <c r="Y288" s="12">
        <f t="shared" si="56"/>
        <v>1.9664343082285198E-4</v>
      </c>
      <c r="Z288" s="12">
        <f t="shared" si="57"/>
        <v>-1.0543605091680561E-3</v>
      </c>
    </row>
    <row r="289" spans="1:26" ht="13">
      <c r="A289" s="8" t="s">
        <v>75</v>
      </c>
      <c r="B289" s="9">
        <v>2019</v>
      </c>
      <c r="C289" s="10">
        <v>95.24</v>
      </c>
      <c r="D289" s="10">
        <v>27.94</v>
      </c>
      <c r="E289" s="10">
        <v>276.02999999999997</v>
      </c>
      <c r="F289" s="10">
        <v>269.60000000000002</v>
      </c>
      <c r="G289" s="10">
        <v>27.84</v>
      </c>
      <c r="H289" s="10">
        <f t="shared" si="61"/>
        <v>0.34503495996811945</v>
      </c>
      <c r="I289" s="10">
        <f t="shared" si="62"/>
        <v>0.10122088178821144</v>
      </c>
      <c r="J289" s="10">
        <f t="shared" si="63"/>
        <v>9.683908045977013</v>
      </c>
      <c r="K289" s="4">
        <f t="shared" si="69"/>
        <v>-5.3144339258476396</v>
      </c>
      <c r="L289" s="10">
        <f t="shared" si="52"/>
        <v>0.10122088178821144</v>
      </c>
      <c r="M289" s="10">
        <v>72.31</v>
      </c>
      <c r="N289" s="10">
        <v>-25.98</v>
      </c>
      <c r="O289" s="10">
        <v>-76.59</v>
      </c>
      <c r="P289" s="11">
        <v>0.21529999999999999</v>
      </c>
      <c r="Q289" s="11">
        <f t="shared" ref="Q289:Q291" si="71">(0.06+0.013+0.01+0.34)%</f>
        <v>4.2300000000000003E-3</v>
      </c>
      <c r="R289" s="12">
        <f t="shared" si="58"/>
        <v>0.26196427924500965</v>
      </c>
      <c r="S289" s="12">
        <f t="shared" si="59"/>
        <v>-9.4120204325616796E-2</v>
      </c>
      <c r="T289" s="12">
        <f t="shared" si="60"/>
        <v>-0.27746984023475713</v>
      </c>
      <c r="U289" s="12">
        <f t="shared" si="65"/>
        <v>5.6400909321450574E-2</v>
      </c>
      <c r="V289" s="12">
        <f t="shared" si="53"/>
        <v>-2.0264079991305296E-2</v>
      </c>
      <c r="W289" s="12">
        <f t="shared" si="54"/>
        <v>-5.9739256602543207E-2</v>
      </c>
      <c r="X289" s="12">
        <f t="shared" si="55"/>
        <v>1.1081089012063908E-3</v>
      </c>
      <c r="Y289" s="12">
        <f t="shared" si="56"/>
        <v>-3.9812846429735906E-4</v>
      </c>
      <c r="Z289" s="12">
        <f t="shared" si="57"/>
        <v>-1.1736974241930227E-3</v>
      </c>
    </row>
    <row r="290" spans="1:26" ht="13">
      <c r="A290" s="8" t="s">
        <v>75</v>
      </c>
      <c r="B290" s="9">
        <v>2020</v>
      </c>
      <c r="C290" s="10">
        <v>40.799999999999997</v>
      </c>
      <c r="D290" s="10">
        <v>18.11</v>
      </c>
      <c r="E290" s="10">
        <v>224.22</v>
      </c>
      <c r="F290" s="10">
        <v>207.92</v>
      </c>
      <c r="G290" s="10">
        <v>13.17</v>
      </c>
      <c r="H290" s="10">
        <f t="shared" si="61"/>
        <v>0.18196414236018196</v>
      </c>
      <c r="I290" s="10">
        <f t="shared" si="62"/>
        <v>8.0768887699580766E-2</v>
      </c>
      <c r="J290" s="10">
        <f t="shared" si="63"/>
        <v>15.787395596051631</v>
      </c>
      <c r="K290" s="4">
        <f t="shared" si="69"/>
        <v>-4.7216055631174152</v>
      </c>
      <c r="L290" s="10">
        <f t="shared" si="52"/>
        <v>8.0768887699580766E-2</v>
      </c>
      <c r="M290" s="10">
        <v>-11.42</v>
      </c>
      <c r="N290" s="10">
        <v>21.71</v>
      </c>
      <c r="O290" s="10">
        <v>-67.260000000000005</v>
      </c>
      <c r="P290" s="11">
        <v>0.1968</v>
      </c>
      <c r="Q290" s="11">
        <f t="shared" si="71"/>
        <v>4.2300000000000003E-3</v>
      </c>
      <c r="R290" s="12">
        <f t="shared" si="58"/>
        <v>-5.0932120239050929E-2</v>
      </c>
      <c r="S290" s="12">
        <f t="shared" si="59"/>
        <v>9.6824547319596832E-2</v>
      </c>
      <c r="T290" s="12">
        <f t="shared" si="60"/>
        <v>-0.29997324056730001</v>
      </c>
      <c r="U290" s="12">
        <f t="shared" si="65"/>
        <v>-1.0023441263045224E-2</v>
      </c>
      <c r="V290" s="12">
        <f t="shared" si="53"/>
        <v>1.9055070912496658E-2</v>
      </c>
      <c r="W290" s="12">
        <f t="shared" si="54"/>
        <v>-5.9034733743644645E-2</v>
      </c>
      <c r="X290" s="12">
        <f t="shared" si="55"/>
        <v>-2.1544286861118543E-4</v>
      </c>
      <c r="Y290" s="12">
        <f t="shared" si="56"/>
        <v>4.0956783516189461E-4</v>
      </c>
      <c r="Z290" s="12">
        <f t="shared" si="57"/>
        <v>-1.2688868075996791E-3</v>
      </c>
    </row>
    <row r="291" spans="1:26" ht="13">
      <c r="A291" s="8" t="s">
        <v>75</v>
      </c>
      <c r="B291" s="9">
        <v>2021</v>
      </c>
      <c r="C291" s="10">
        <v>24.24</v>
      </c>
      <c r="D291" s="10">
        <v>17.75</v>
      </c>
      <c r="E291" s="10">
        <v>200.71</v>
      </c>
      <c r="F291" s="10">
        <v>184.84</v>
      </c>
      <c r="G291" s="10">
        <v>17.239999999999998</v>
      </c>
      <c r="H291" s="10">
        <f t="shared" si="61"/>
        <v>0.12077126201982959</v>
      </c>
      <c r="I291" s="10">
        <f t="shared" si="62"/>
        <v>8.8436052015345518E-2</v>
      </c>
      <c r="J291" s="10">
        <f t="shared" si="63"/>
        <v>10.721577726218099</v>
      </c>
      <c r="K291" s="4">
        <f t="shared" si="69"/>
        <v>-4.3822714935066358</v>
      </c>
      <c r="L291" s="10">
        <f t="shared" si="52"/>
        <v>8.8436052015345518E-2</v>
      </c>
      <c r="M291" s="10">
        <v>14.49</v>
      </c>
      <c r="N291" s="10">
        <v>55.24</v>
      </c>
      <c r="O291" s="10">
        <v>-35.03</v>
      </c>
      <c r="P291" s="11">
        <v>0.21640000000000001</v>
      </c>
      <c r="Q291" s="11">
        <f t="shared" si="71"/>
        <v>4.2300000000000003E-3</v>
      </c>
      <c r="R291" s="12">
        <f t="shared" si="58"/>
        <v>7.2193712321259526E-2</v>
      </c>
      <c r="S291" s="12">
        <f t="shared" si="59"/>
        <v>0.27522295849733447</v>
      </c>
      <c r="T291" s="12">
        <f t="shared" si="60"/>
        <v>-0.1745304170195805</v>
      </c>
      <c r="U291" s="12">
        <f t="shared" si="65"/>
        <v>1.5622719346320563E-2</v>
      </c>
      <c r="V291" s="12">
        <f t="shared" si="53"/>
        <v>5.9558248218823183E-2</v>
      </c>
      <c r="W291" s="12">
        <f t="shared" si="54"/>
        <v>-3.7768382243037218E-2</v>
      </c>
      <c r="X291" s="12">
        <f t="shared" si="55"/>
        <v>3.0537940311892782E-4</v>
      </c>
      <c r="Y291" s="12">
        <f t="shared" si="56"/>
        <v>1.1641931144437249E-3</v>
      </c>
      <c r="Z291" s="12">
        <f t="shared" si="57"/>
        <v>-7.3826366399282553E-4</v>
      </c>
    </row>
    <row r="292" spans="1:26" ht="13">
      <c r="A292" s="8" t="s">
        <v>76</v>
      </c>
      <c r="B292" s="9">
        <v>2017</v>
      </c>
      <c r="C292" s="10">
        <v>3.75</v>
      </c>
      <c r="D292" s="10">
        <v>162.11000000000001</v>
      </c>
      <c r="E292" s="10">
        <v>317.75</v>
      </c>
      <c r="F292" s="10">
        <v>74.989999999999995</v>
      </c>
      <c r="G292" s="10">
        <v>108.52</v>
      </c>
      <c r="H292" s="10">
        <f t="shared" si="61"/>
        <v>1.1801730920535013E-2</v>
      </c>
      <c r="I292" s="10">
        <f t="shared" si="62"/>
        <v>0.51018095987411494</v>
      </c>
      <c r="J292" s="10">
        <f t="shared" si="63"/>
        <v>0.69102469590858828</v>
      </c>
      <c r="K292" s="4">
        <f t="shared" si="69"/>
        <v>-1.4478404166435863</v>
      </c>
      <c r="L292" s="10">
        <f t="shared" si="52"/>
        <v>0.51018095987411494</v>
      </c>
      <c r="M292" s="10">
        <v>-21.05</v>
      </c>
      <c r="N292" s="10">
        <v>4.37</v>
      </c>
      <c r="O292" s="10">
        <v>28.89</v>
      </c>
      <c r="P292" s="11">
        <f>(0.021+0.002)%</f>
        <v>2.3000000000000001E-4</v>
      </c>
      <c r="Q292" s="11">
        <f>(4.41+7.33+1.87+11.54)%</f>
        <v>0.2515</v>
      </c>
      <c r="R292" s="12">
        <f t="shared" si="58"/>
        <v>-6.6247049567269872E-2</v>
      </c>
      <c r="S292" s="12">
        <f t="shared" si="59"/>
        <v>1.3752950432730135E-2</v>
      </c>
      <c r="T292" s="12">
        <f t="shared" si="60"/>
        <v>9.0920535011801737E-2</v>
      </c>
      <c r="U292" s="12">
        <f t="shared" si="65"/>
        <v>-1.5236821400472072E-5</v>
      </c>
      <c r="V292" s="12">
        <f t="shared" si="53"/>
        <v>3.1631785995279311E-6</v>
      </c>
      <c r="W292" s="12">
        <f t="shared" si="54"/>
        <v>2.0911723052714399E-5</v>
      </c>
      <c r="X292" s="12">
        <f t="shared" si="55"/>
        <v>-1.6661132966168373E-2</v>
      </c>
      <c r="Y292" s="12">
        <f t="shared" si="56"/>
        <v>3.4588670338316289E-3</v>
      </c>
      <c r="Z292" s="12">
        <f t="shared" si="57"/>
        <v>2.2866514555468138E-2</v>
      </c>
    </row>
    <row r="293" spans="1:26" ht="13">
      <c r="A293" s="8" t="s">
        <v>76</v>
      </c>
      <c r="B293" s="9">
        <v>2018</v>
      </c>
      <c r="C293" s="10">
        <v>4.12</v>
      </c>
      <c r="D293" s="10">
        <v>213.16</v>
      </c>
      <c r="E293" s="10">
        <v>394.91</v>
      </c>
      <c r="F293" s="10">
        <v>79.31</v>
      </c>
      <c r="G293" s="10">
        <v>134.66999999999999</v>
      </c>
      <c r="H293" s="10">
        <f t="shared" si="61"/>
        <v>1.0432756830670279E-2</v>
      </c>
      <c r="I293" s="10">
        <f t="shared" si="62"/>
        <v>0.53976855486060116</v>
      </c>
      <c r="J293" s="10">
        <f t="shared" si="63"/>
        <v>0.58892106631023988</v>
      </c>
      <c r="K293" s="4">
        <f t="shared" si="69"/>
        <v>-1.2726223272978299</v>
      </c>
      <c r="L293" s="10">
        <f t="shared" si="52"/>
        <v>0.53976855486060116</v>
      </c>
      <c r="M293" s="10">
        <v>-21.73</v>
      </c>
      <c r="N293" s="10">
        <v>0.16</v>
      </c>
      <c r="O293" s="10">
        <v>22.55</v>
      </c>
      <c r="P293" s="11">
        <f>(0.018+0.002)%</f>
        <v>1.9999999999999998E-4</v>
      </c>
      <c r="Q293" s="11">
        <f>(9.66+1.63+6.4+10.06)%</f>
        <v>0.27750000000000002</v>
      </c>
      <c r="R293" s="12">
        <f t="shared" si="58"/>
        <v>-5.5025195614190572E-2</v>
      </c>
      <c r="S293" s="12">
        <f t="shared" si="59"/>
        <v>4.0515560507457392E-4</v>
      </c>
      <c r="T293" s="12">
        <f t="shared" si="60"/>
        <v>5.7101618090197766E-2</v>
      </c>
      <c r="U293" s="12">
        <f t="shared" si="65"/>
        <v>-1.1005039122838113E-5</v>
      </c>
      <c r="V293" s="12">
        <f t="shared" si="53"/>
        <v>8.1031121014914776E-8</v>
      </c>
      <c r="W293" s="12">
        <f t="shared" si="54"/>
        <v>1.1420323618039553E-5</v>
      </c>
      <c r="X293" s="12">
        <f t="shared" si="55"/>
        <v>-1.5269491782937886E-2</v>
      </c>
      <c r="Y293" s="12">
        <f t="shared" si="56"/>
        <v>1.1243068040819427E-4</v>
      </c>
      <c r="Z293" s="12">
        <f t="shared" si="57"/>
        <v>1.5845699020029882E-2</v>
      </c>
    </row>
    <row r="294" spans="1:26" ht="13">
      <c r="A294" s="8" t="s">
        <v>76</v>
      </c>
      <c r="B294" s="9">
        <v>2019</v>
      </c>
      <c r="C294" s="10">
        <v>6.29</v>
      </c>
      <c r="D294" s="10">
        <v>275.95</v>
      </c>
      <c r="E294" s="10">
        <v>463.89</v>
      </c>
      <c r="F294" s="10">
        <v>97.84</v>
      </c>
      <c r="G294" s="10">
        <v>116.84</v>
      </c>
      <c r="H294" s="10">
        <f t="shared" si="61"/>
        <v>1.3559248959882732E-2</v>
      </c>
      <c r="I294" s="10">
        <f t="shared" si="62"/>
        <v>0.59486085063269312</v>
      </c>
      <c r="J294" s="10">
        <f t="shared" si="63"/>
        <v>0.83738445737761036</v>
      </c>
      <c r="K294" s="4">
        <f t="shared" si="69"/>
        <v>-0.97365930954263213</v>
      </c>
      <c r="L294" s="10">
        <f t="shared" si="52"/>
        <v>0.59486085063269312</v>
      </c>
      <c r="M294" s="10">
        <v>-6.36</v>
      </c>
      <c r="N294" s="10">
        <v>0.91</v>
      </c>
      <c r="O294" s="10">
        <v>7.75</v>
      </c>
      <c r="P294" s="11">
        <v>1.1000000000000001E-3</v>
      </c>
      <c r="Q294" s="11">
        <f>(9.66+1.63+10.06+4.01+0.35)%</f>
        <v>0.2571</v>
      </c>
      <c r="R294" s="12">
        <f t="shared" si="58"/>
        <v>-1.3710146802043589E-2</v>
      </c>
      <c r="S294" s="12">
        <f t="shared" si="59"/>
        <v>1.9616719480911424E-3</v>
      </c>
      <c r="T294" s="12">
        <f t="shared" si="60"/>
        <v>1.6706546810666321E-2</v>
      </c>
      <c r="U294" s="12">
        <f t="shared" si="65"/>
        <v>-1.5081161482247948E-5</v>
      </c>
      <c r="V294" s="12">
        <f t="shared" si="53"/>
        <v>2.1578391429002569E-6</v>
      </c>
      <c r="W294" s="12">
        <f t="shared" si="54"/>
        <v>1.8377201491732953E-5</v>
      </c>
      <c r="X294" s="12">
        <f t="shared" si="55"/>
        <v>-3.5248787428054065E-3</v>
      </c>
      <c r="Y294" s="12">
        <f t="shared" si="56"/>
        <v>5.0434585785423265E-4</v>
      </c>
      <c r="Z294" s="12">
        <f t="shared" si="57"/>
        <v>4.2952531850223115E-3</v>
      </c>
    </row>
    <row r="295" spans="1:26" ht="13">
      <c r="A295" s="8" t="s">
        <v>76</v>
      </c>
      <c r="B295" s="9">
        <v>2020</v>
      </c>
      <c r="C295" s="10">
        <v>-3.81</v>
      </c>
      <c r="D295" s="10">
        <v>351.05</v>
      </c>
      <c r="E295" s="10">
        <v>535.02</v>
      </c>
      <c r="F295" s="10">
        <v>112.74</v>
      </c>
      <c r="G295" s="10">
        <v>131.38</v>
      </c>
      <c r="H295" s="10">
        <f t="shared" si="61"/>
        <v>-7.1212291129303584E-3</v>
      </c>
      <c r="I295" s="10">
        <f t="shared" si="62"/>
        <v>0.65614369556278274</v>
      </c>
      <c r="J295" s="10">
        <f t="shared" si="63"/>
        <v>0.85812147967727204</v>
      </c>
      <c r="K295" s="4">
        <f t="shared" si="69"/>
        <v>-0.53136789020266051</v>
      </c>
      <c r="L295" s="10">
        <f t="shared" si="52"/>
        <v>0.65614369556278274</v>
      </c>
      <c r="M295" s="10">
        <v>33.43</v>
      </c>
      <c r="N295" s="10">
        <v>-8.1300000000000008</v>
      </c>
      <c r="O295" s="10">
        <v>4.04</v>
      </c>
      <c r="P295" s="11">
        <v>1E-3</v>
      </c>
      <c r="Q295" s="11">
        <f t="shared" ref="Q295:Q296" si="72">(9.66+10.06+4.01+0.35)%</f>
        <v>0.24079999999999999</v>
      </c>
      <c r="R295" s="12">
        <f t="shared" si="58"/>
        <v>6.2483645471197342E-2</v>
      </c>
      <c r="S295" s="12">
        <f t="shared" si="59"/>
        <v>-1.5195693618930136E-2</v>
      </c>
      <c r="T295" s="12">
        <f t="shared" si="60"/>
        <v>7.5511195843146056E-3</v>
      </c>
      <c r="U295" s="12">
        <f t="shared" si="65"/>
        <v>6.2483645471197343E-5</v>
      </c>
      <c r="V295" s="12">
        <f t="shared" si="53"/>
        <v>-1.5195693618930136E-5</v>
      </c>
      <c r="W295" s="12">
        <f t="shared" si="54"/>
        <v>7.5511195843146061E-6</v>
      </c>
      <c r="X295" s="12">
        <f t="shared" si="55"/>
        <v>1.504606182946432E-2</v>
      </c>
      <c r="Y295" s="12">
        <f t="shared" si="56"/>
        <v>-3.6591230234383765E-3</v>
      </c>
      <c r="Z295" s="12">
        <f t="shared" si="57"/>
        <v>1.8183095959029569E-3</v>
      </c>
    </row>
    <row r="296" spans="1:26" ht="13">
      <c r="A296" s="8" t="s">
        <v>76</v>
      </c>
      <c r="B296" s="9">
        <v>2021</v>
      </c>
      <c r="C296" s="10">
        <v>9.9700000000000006</v>
      </c>
      <c r="D296" s="10">
        <v>474.9</v>
      </c>
      <c r="E296" s="10">
        <v>668.84</v>
      </c>
      <c r="F296" s="10">
        <v>240.65</v>
      </c>
      <c r="G296" s="10">
        <v>266.3</v>
      </c>
      <c r="H296" s="10">
        <f t="shared" si="61"/>
        <v>1.4906405119311046E-2</v>
      </c>
      <c r="I296" s="10">
        <f t="shared" si="62"/>
        <v>0.71003528497099444</v>
      </c>
      <c r="J296" s="10">
        <f t="shared" si="63"/>
        <v>0.90368006008261359</v>
      </c>
      <c r="K296" s="4">
        <f t="shared" si="69"/>
        <v>-0.32349241894256159</v>
      </c>
      <c r="L296" s="10">
        <f t="shared" si="52"/>
        <v>0.71003528497099444</v>
      </c>
      <c r="M296" s="10">
        <v>10.19</v>
      </c>
      <c r="N296" s="10">
        <v>-48.13</v>
      </c>
      <c r="O296" s="10">
        <v>32.99</v>
      </c>
      <c r="P296" s="11">
        <v>1.1999999999999999E-3</v>
      </c>
      <c r="Q296" s="11">
        <f t="shared" si="72"/>
        <v>0.24079999999999999</v>
      </c>
      <c r="R296" s="12">
        <f t="shared" si="58"/>
        <v>1.5235332815023024E-2</v>
      </c>
      <c r="S296" s="12">
        <f t="shared" si="59"/>
        <v>-7.1960409066443395E-2</v>
      </c>
      <c r="T296" s="12">
        <f t="shared" si="60"/>
        <v>4.9324203097900844E-2</v>
      </c>
      <c r="U296" s="12">
        <f t="shared" si="65"/>
        <v>1.8282399378027627E-5</v>
      </c>
      <c r="V296" s="12">
        <f t="shared" si="53"/>
        <v>-8.6352490879732061E-5</v>
      </c>
      <c r="W296" s="12">
        <f t="shared" si="54"/>
        <v>5.9189043717481009E-5</v>
      </c>
      <c r="X296" s="12">
        <f t="shared" si="55"/>
        <v>3.6686681418575439E-3</v>
      </c>
      <c r="Y296" s="12">
        <f t="shared" si="56"/>
        <v>-1.7328066503199568E-2</v>
      </c>
      <c r="Z296" s="12">
        <f t="shared" si="57"/>
        <v>1.1877268105974522E-2</v>
      </c>
    </row>
    <row r="297" spans="1:26" ht="13">
      <c r="A297" s="8" t="s">
        <v>77</v>
      </c>
      <c r="B297" s="9">
        <v>2017</v>
      </c>
      <c r="C297" s="10">
        <v>201.32</v>
      </c>
      <c r="D297" s="10">
        <v>1271.55</v>
      </c>
      <c r="E297" s="10">
        <v>2428.34</v>
      </c>
      <c r="F297" s="10">
        <v>1628.2</v>
      </c>
      <c r="G297" s="10">
        <v>1222.06</v>
      </c>
      <c r="H297" s="10">
        <f t="shared" si="61"/>
        <v>8.2904370887108059E-2</v>
      </c>
      <c r="I297" s="10">
        <f t="shared" si="62"/>
        <v>0.52362931055782957</v>
      </c>
      <c r="J297" s="10">
        <f t="shared" si="63"/>
        <v>1.332340474281132</v>
      </c>
      <c r="K297" s="4">
        <f t="shared" si="69"/>
        <v>-1.6937119607094819</v>
      </c>
      <c r="L297" s="10">
        <f t="shared" si="52"/>
        <v>0.52362931055782957</v>
      </c>
      <c r="M297" s="10">
        <v>-33.76</v>
      </c>
      <c r="N297" s="10">
        <v>4.63</v>
      </c>
      <c r="O297" s="10">
        <v>-10.89</v>
      </c>
      <c r="P297" s="11">
        <v>2.0000000000000001E-4</v>
      </c>
      <c r="Q297" s="11">
        <f t="shared" ref="Q297:Q299" si="73">(47.5+12.86+10.16)%</f>
        <v>0.70519999999999994</v>
      </c>
      <c r="R297" s="12">
        <f t="shared" si="58"/>
        <v>-1.3902501297182436E-2</v>
      </c>
      <c r="S297" s="12">
        <f t="shared" si="59"/>
        <v>1.9066522809820699E-3</v>
      </c>
      <c r="T297" s="12">
        <f t="shared" si="60"/>
        <v>-4.4845449978174389E-3</v>
      </c>
      <c r="U297" s="12">
        <f t="shared" si="65"/>
        <v>-2.7805002594364872E-6</v>
      </c>
      <c r="V297" s="12">
        <f t="shared" si="53"/>
        <v>3.8133045619641397E-7</v>
      </c>
      <c r="W297" s="12">
        <f t="shared" si="54"/>
        <v>-8.9690899956348779E-7</v>
      </c>
      <c r="X297" s="12">
        <f t="shared" si="55"/>
        <v>-9.8040439147730526E-3</v>
      </c>
      <c r="Y297" s="12">
        <f t="shared" si="56"/>
        <v>1.3445711885485556E-3</v>
      </c>
      <c r="Z297" s="12">
        <f t="shared" si="57"/>
        <v>-3.1625011324608577E-3</v>
      </c>
    </row>
    <row r="298" spans="1:26" ht="13">
      <c r="A298" s="8" t="s">
        <v>77</v>
      </c>
      <c r="B298" s="9">
        <v>2018</v>
      </c>
      <c r="C298" s="10">
        <v>-17.25</v>
      </c>
      <c r="D298" s="10">
        <v>1696.33</v>
      </c>
      <c r="E298" s="10">
        <v>2826.21</v>
      </c>
      <c r="F298" s="10">
        <v>1972.71</v>
      </c>
      <c r="G298" s="10">
        <v>1646.44</v>
      </c>
      <c r="H298" s="10">
        <f t="shared" si="61"/>
        <v>-6.1035804133450803E-3</v>
      </c>
      <c r="I298" s="10">
        <f t="shared" si="62"/>
        <v>0.60021371377215416</v>
      </c>
      <c r="J298" s="10">
        <f t="shared" si="63"/>
        <v>1.1981669541556328</v>
      </c>
      <c r="K298" s="4">
        <f t="shared" si="69"/>
        <v>-0.85610838745529039</v>
      </c>
      <c r="L298" s="10">
        <f t="shared" si="52"/>
        <v>0.60021371377215416</v>
      </c>
      <c r="M298" s="10">
        <v>-245.2</v>
      </c>
      <c r="N298" s="10">
        <v>-138.66</v>
      </c>
      <c r="O298" s="10">
        <v>400.54</v>
      </c>
      <c r="P298" s="11">
        <v>2.0000000000000001E-4</v>
      </c>
      <c r="Q298" s="11">
        <f t="shared" si="73"/>
        <v>0.70519999999999994</v>
      </c>
      <c r="R298" s="12">
        <f t="shared" si="58"/>
        <v>-8.6759299556650071E-2</v>
      </c>
      <c r="S298" s="12">
        <f t="shared" si="59"/>
        <v>-4.9062171600836452E-2</v>
      </c>
      <c r="T298" s="12">
        <f t="shared" si="60"/>
        <v>0.14172336804412977</v>
      </c>
      <c r="U298" s="12">
        <f t="shared" si="65"/>
        <v>-1.7351859911330016E-5</v>
      </c>
      <c r="V298" s="12">
        <f t="shared" si="53"/>
        <v>-9.812434320167291E-6</v>
      </c>
      <c r="W298" s="12">
        <f t="shared" si="54"/>
        <v>2.8344673608825957E-5</v>
      </c>
      <c r="X298" s="12">
        <f t="shared" si="55"/>
        <v>-6.1182658047349625E-2</v>
      </c>
      <c r="Y298" s="12">
        <f t="shared" si="56"/>
        <v>-3.4598643412909864E-2</v>
      </c>
      <c r="Z298" s="12">
        <f t="shared" si="57"/>
        <v>9.9943319144720308E-2</v>
      </c>
    </row>
    <row r="299" spans="1:26" ht="13">
      <c r="A299" s="8" t="s">
        <v>77</v>
      </c>
      <c r="B299" s="9">
        <v>2019</v>
      </c>
      <c r="C299" s="10">
        <v>-140.47</v>
      </c>
      <c r="D299" s="10">
        <v>1803.97</v>
      </c>
      <c r="E299" s="10">
        <v>2793.38</v>
      </c>
      <c r="F299" s="10">
        <v>2015.33</v>
      </c>
      <c r="G299" s="10">
        <v>1757.13</v>
      </c>
      <c r="H299" s="10">
        <f t="shared" si="61"/>
        <v>-5.0286749386048442E-2</v>
      </c>
      <c r="I299" s="10">
        <f t="shared" si="62"/>
        <v>0.64580186011212226</v>
      </c>
      <c r="J299" s="10">
        <f t="shared" si="63"/>
        <v>1.1469441646320988</v>
      </c>
      <c r="K299" s="4">
        <f t="shared" si="69"/>
        <v>-0.3972268017822137</v>
      </c>
      <c r="L299" s="10">
        <f t="shared" si="52"/>
        <v>0.64580186011212226</v>
      </c>
      <c r="M299" s="10">
        <v>78.89</v>
      </c>
      <c r="N299" s="10">
        <v>-15.83</v>
      </c>
      <c r="O299" s="10">
        <v>-59.22</v>
      </c>
      <c r="P299" s="11">
        <v>2.0000000000000001E-4</v>
      </c>
      <c r="Q299" s="11">
        <f t="shared" si="73"/>
        <v>0.70519999999999994</v>
      </c>
      <c r="R299" s="12">
        <f t="shared" si="58"/>
        <v>2.8241771617180618E-2</v>
      </c>
      <c r="S299" s="12">
        <f t="shared" si="59"/>
        <v>-5.6669697642282822E-3</v>
      </c>
      <c r="T299" s="12">
        <f t="shared" si="60"/>
        <v>-2.1200123148300623E-2</v>
      </c>
      <c r="U299" s="12">
        <f t="shared" si="65"/>
        <v>5.6483543234361241E-6</v>
      </c>
      <c r="V299" s="12">
        <f t="shared" si="53"/>
        <v>-1.1333939528456564E-6</v>
      </c>
      <c r="W299" s="12">
        <f t="shared" si="54"/>
        <v>-4.2400246296601245E-6</v>
      </c>
      <c r="X299" s="12">
        <f t="shared" si="55"/>
        <v>1.9916097344435769E-2</v>
      </c>
      <c r="Y299" s="12">
        <f t="shared" si="56"/>
        <v>-3.9963470777337846E-3</v>
      </c>
      <c r="Z299" s="12">
        <f t="shared" si="57"/>
        <v>-1.4950326844181598E-2</v>
      </c>
    </row>
    <row r="300" spans="1:26" ht="13">
      <c r="A300" s="8" t="s">
        <v>77</v>
      </c>
      <c r="B300" s="9">
        <v>2020</v>
      </c>
      <c r="C300" s="10">
        <v>21.26</v>
      </c>
      <c r="D300" s="10">
        <v>1418.38</v>
      </c>
      <c r="E300" s="10">
        <v>2429.04</v>
      </c>
      <c r="F300" s="10">
        <v>1702.71</v>
      </c>
      <c r="G300" s="10">
        <v>1397.23</v>
      </c>
      <c r="H300" s="10">
        <f t="shared" si="61"/>
        <v>8.7524289431215631E-3</v>
      </c>
      <c r="I300" s="10">
        <f t="shared" si="62"/>
        <v>0.58392616012910459</v>
      </c>
      <c r="J300" s="10">
        <f t="shared" si="63"/>
        <v>1.2186325801764921</v>
      </c>
      <c r="K300" s="4">
        <f t="shared" si="69"/>
        <v>-1.0158813478288571</v>
      </c>
      <c r="L300" s="10">
        <f t="shared" si="52"/>
        <v>0.58392616012910459</v>
      </c>
      <c r="M300" s="10">
        <v>417.99</v>
      </c>
      <c r="N300" s="10">
        <v>-42.42</v>
      </c>
      <c r="O300" s="10">
        <v>-414.41</v>
      </c>
      <c r="P300" s="11">
        <v>1E-4</v>
      </c>
      <c r="Q300" s="11">
        <f t="shared" ref="Q300:Q301" si="74">(47.56+12.86+4.19)%</f>
        <v>0.64610000000000001</v>
      </c>
      <c r="R300" s="12">
        <f t="shared" si="58"/>
        <v>0.17208032803082701</v>
      </c>
      <c r="S300" s="12">
        <f t="shared" si="59"/>
        <v>-1.7463689358759017E-2</v>
      </c>
      <c r="T300" s="12">
        <f t="shared" si="60"/>
        <v>-0.1706064947468959</v>
      </c>
      <c r="U300" s="12">
        <f t="shared" si="65"/>
        <v>1.7208032803082701E-5</v>
      </c>
      <c r="V300" s="12">
        <f t="shared" si="53"/>
        <v>-1.7463689358759017E-6</v>
      </c>
      <c r="W300" s="12">
        <f t="shared" si="54"/>
        <v>-1.7060649474689591E-5</v>
      </c>
      <c r="X300" s="12">
        <f t="shared" si="55"/>
        <v>0.11118109994071733</v>
      </c>
      <c r="Y300" s="12">
        <f t="shared" si="56"/>
        <v>-1.12832896946942E-2</v>
      </c>
      <c r="Z300" s="12">
        <f t="shared" si="57"/>
        <v>-0.11022885625596944</v>
      </c>
    </row>
    <row r="301" spans="1:26" ht="13">
      <c r="A301" s="8" t="s">
        <v>77</v>
      </c>
      <c r="B301" s="9">
        <v>2021</v>
      </c>
      <c r="C301" s="10">
        <v>56.13</v>
      </c>
      <c r="D301" s="10">
        <v>823.01</v>
      </c>
      <c r="E301" s="10">
        <v>1887.37</v>
      </c>
      <c r="F301" s="10">
        <v>1187.19</v>
      </c>
      <c r="G301" s="10">
        <v>821.17</v>
      </c>
      <c r="H301" s="10">
        <f t="shared" si="61"/>
        <v>2.9739796648245977E-2</v>
      </c>
      <c r="I301" s="10">
        <f t="shared" si="62"/>
        <v>0.43606182147644607</v>
      </c>
      <c r="J301" s="10">
        <f t="shared" si="63"/>
        <v>1.4457298732296602</v>
      </c>
      <c r="K301" s="4">
        <f t="shared" si="69"/>
        <v>-1.9540596219942823</v>
      </c>
      <c r="L301" s="10">
        <f t="shared" si="52"/>
        <v>0.43606182147644607</v>
      </c>
      <c r="M301" s="10">
        <v>493.66</v>
      </c>
      <c r="N301" s="10">
        <v>-44.71</v>
      </c>
      <c r="O301" s="10">
        <v>-448.23</v>
      </c>
      <c r="P301" s="11">
        <v>1.8000000000000001E-4</v>
      </c>
      <c r="Q301" s="11">
        <f t="shared" si="74"/>
        <v>0.64610000000000001</v>
      </c>
      <c r="R301" s="12">
        <f t="shared" si="58"/>
        <v>0.2615597365646376</v>
      </c>
      <c r="S301" s="12">
        <f t="shared" si="59"/>
        <v>-2.3689048782167779E-2</v>
      </c>
      <c r="T301" s="12">
        <f t="shared" si="60"/>
        <v>-0.23748920455448588</v>
      </c>
      <c r="U301" s="12">
        <f t="shared" si="65"/>
        <v>4.708075258163477E-5</v>
      </c>
      <c r="V301" s="12">
        <f t="shared" si="53"/>
        <v>-4.2640287807902004E-6</v>
      </c>
      <c r="W301" s="12">
        <f t="shared" si="54"/>
        <v>-4.2748056819807463E-5</v>
      </c>
      <c r="X301" s="12">
        <f t="shared" si="55"/>
        <v>0.16899374579441237</v>
      </c>
      <c r="Y301" s="12">
        <f t="shared" si="56"/>
        <v>-1.5305494418158603E-2</v>
      </c>
      <c r="Z301" s="12">
        <f t="shared" si="57"/>
        <v>-0.15344177506265333</v>
      </c>
    </row>
    <row r="302" spans="1:26" ht="13">
      <c r="A302" s="8" t="s">
        <v>78</v>
      </c>
      <c r="B302" s="9">
        <v>2017</v>
      </c>
      <c r="C302" s="10">
        <v>4.2</v>
      </c>
      <c r="D302" s="10">
        <v>38.51</v>
      </c>
      <c r="E302" s="10">
        <v>158.36000000000001</v>
      </c>
      <c r="F302" s="10">
        <v>70.97</v>
      </c>
      <c r="G302" s="10">
        <v>38</v>
      </c>
      <c r="H302" s="10">
        <f t="shared" si="61"/>
        <v>2.6521848951755491E-2</v>
      </c>
      <c r="I302" s="10">
        <f t="shared" si="62"/>
        <v>0.24318009598383428</v>
      </c>
      <c r="J302" s="10">
        <f t="shared" si="63"/>
        <v>1.8676315789473683</v>
      </c>
      <c r="K302" s="4">
        <f t="shared" si="69"/>
        <v>-3.040692299490833</v>
      </c>
      <c r="L302" s="10">
        <f t="shared" si="52"/>
        <v>0.24318009598383428</v>
      </c>
      <c r="M302" s="10">
        <v>15.94</v>
      </c>
      <c r="N302" s="10">
        <v>-8.6999999999999993</v>
      </c>
      <c r="O302" s="10">
        <v>-7.25</v>
      </c>
      <c r="P302" s="11">
        <v>2.7000000000000001E-3</v>
      </c>
      <c r="Q302" s="11">
        <f t="shared" ref="Q302:Q304" si="75">(10.51+3.53+1.11+2+12.27)%</f>
        <v>0.29419999999999996</v>
      </c>
      <c r="R302" s="12">
        <f t="shared" si="58"/>
        <v>0.10065673149785298</v>
      </c>
      <c r="S302" s="12">
        <f t="shared" si="59"/>
        <v>-5.4938115685779228E-2</v>
      </c>
      <c r="T302" s="12">
        <f t="shared" si="60"/>
        <v>-4.5781763071482691E-2</v>
      </c>
      <c r="U302" s="12">
        <f t="shared" si="65"/>
        <v>2.7177317504420304E-4</v>
      </c>
      <c r="V302" s="12">
        <f t="shared" si="53"/>
        <v>-1.4833291235160392E-4</v>
      </c>
      <c r="W302" s="12">
        <f t="shared" si="54"/>
        <v>-1.2361076029300327E-4</v>
      </c>
      <c r="X302" s="12">
        <f t="shared" si="55"/>
        <v>2.9613210406668342E-2</v>
      </c>
      <c r="Y302" s="12">
        <f t="shared" si="56"/>
        <v>-1.6162793634756246E-2</v>
      </c>
      <c r="Z302" s="12">
        <f t="shared" si="57"/>
        <v>-1.3468994695630206E-2</v>
      </c>
    </row>
    <row r="303" spans="1:26" ht="13">
      <c r="A303" s="8" t="s">
        <v>78</v>
      </c>
      <c r="B303" s="9">
        <v>2018</v>
      </c>
      <c r="C303" s="10">
        <v>5.0599999999999996</v>
      </c>
      <c r="D303" s="10">
        <v>57.29</v>
      </c>
      <c r="E303" s="10">
        <v>177.53</v>
      </c>
      <c r="F303" s="10">
        <v>94.38</v>
      </c>
      <c r="G303" s="10">
        <v>56.19</v>
      </c>
      <c r="H303" s="10">
        <f t="shared" si="61"/>
        <v>2.8502224976060381E-2</v>
      </c>
      <c r="I303" s="10">
        <f t="shared" si="62"/>
        <v>0.32270602151749</v>
      </c>
      <c r="J303" s="10">
        <f t="shared" si="63"/>
        <v>1.6796583021890017</v>
      </c>
      <c r="K303" s="4">
        <f t="shared" si="69"/>
        <v>-2.5955543229513349</v>
      </c>
      <c r="L303" s="10">
        <f t="shared" si="52"/>
        <v>0.32270602151749</v>
      </c>
      <c r="M303" s="10">
        <v>-8.9499999999999993</v>
      </c>
      <c r="N303" s="10">
        <v>-2.44</v>
      </c>
      <c r="O303" s="10">
        <v>15.29</v>
      </c>
      <c r="P303" s="11">
        <v>2.7000000000000001E-3</v>
      </c>
      <c r="Q303" s="11">
        <f t="shared" si="75"/>
        <v>0.29419999999999996</v>
      </c>
      <c r="R303" s="12">
        <f t="shared" si="58"/>
        <v>-5.0414014532755021E-2</v>
      </c>
      <c r="S303" s="12">
        <f t="shared" si="59"/>
        <v>-1.374415591730975E-2</v>
      </c>
      <c r="T303" s="12">
        <f t="shared" si="60"/>
        <v>8.6126288514617247E-2</v>
      </c>
      <c r="U303" s="12">
        <f t="shared" si="65"/>
        <v>-1.3611783923843856E-4</v>
      </c>
      <c r="V303" s="12">
        <f t="shared" si="53"/>
        <v>-3.7109220976736326E-5</v>
      </c>
      <c r="W303" s="12">
        <f t="shared" si="54"/>
        <v>2.3254097898946658E-4</v>
      </c>
      <c r="X303" s="12">
        <f t="shared" si="55"/>
        <v>-1.4831803075536526E-2</v>
      </c>
      <c r="Y303" s="12">
        <f t="shared" si="56"/>
        <v>-4.0435306708725277E-3</v>
      </c>
      <c r="Z303" s="12">
        <f t="shared" si="57"/>
        <v>2.5338354081000391E-2</v>
      </c>
    </row>
    <row r="304" spans="1:26" ht="13">
      <c r="A304" s="8" t="s">
        <v>78</v>
      </c>
      <c r="B304" s="9">
        <v>2019</v>
      </c>
      <c r="C304" s="10">
        <v>7.42</v>
      </c>
      <c r="D304" s="10">
        <v>46.55</v>
      </c>
      <c r="E304" s="10">
        <v>168.72</v>
      </c>
      <c r="F304" s="10">
        <v>85.22</v>
      </c>
      <c r="G304" s="10">
        <v>46.05</v>
      </c>
      <c r="H304" s="10">
        <f t="shared" si="61"/>
        <v>4.3978188715030821E-2</v>
      </c>
      <c r="I304" s="10">
        <f t="shared" si="62"/>
        <v>0.27590090090090086</v>
      </c>
      <c r="J304" s="10">
        <f t="shared" si="63"/>
        <v>1.8505971769815419</v>
      </c>
      <c r="K304" s="4">
        <f t="shared" si="69"/>
        <v>-2.9326691027904292</v>
      </c>
      <c r="L304" s="10">
        <f t="shared" si="52"/>
        <v>0.27590090090090086</v>
      </c>
      <c r="M304" s="10">
        <v>31.69</v>
      </c>
      <c r="N304" s="10">
        <v>-5.48</v>
      </c>
      <c r="O304" s="10">
        <v>-15.87</v>
      </c>
      <c r="P304" s="11">
        <v>3.0000000000000001E-5</v>
      </c>
      <c r="Q304" s="11">
        <f t="shared" si="75"/>
        <v>0.29419999999999996</v>
      </c>
      <c r="R304" s="12">
        <f t="shared" si="58"/>
        <v>0.18782598387861546</v>
      </c>
      <c r="S304" s="12">
        <f t="shared" si="59"/>
        <v>-3.2479848269321959E-2</v>
      </c>
      <c r="T304" s="12">
        <f t="shared" si="60"/>
        <v>-9.4061166429587478E-2</v>
      </c>
      <c r="U304" s="12">
        <f t="shared" si="65"/>
        <v>5.634779516358464E-6</v>
      </c>
      <c r="V304" s="12">
        <f t="shared" si="53"/>
        <v>-9.7439544807965873E-7</v>
      </c>
      <c r="W304" s="12">
        <f t="shared" si="54"/>
        <v>-2.8218349928876246E-6</v>
      </c>
      <c r="X304" s="12">
        <f t="shared" si="55"/>
        <v>5.5258404457088663E-2</v>
      </c>
      <c r="Y304" s="12">
        <f t="shared" si="56"/>
        <v>-9.5555713608345191E-3</v>
      </c>
      <c r="Z304" s="12">
        <f t="shared" si="57"/>
        <v>-2.7672795163584632E-2</v>
      </c>
    </row>
    <row r="305" spans="1:26" ht="13">
      <c r="A305" s="8" t="s">
        <v>78</v>
      </c>
      <c r="B305" s="9">
        <v>2020</v>
      </c>
      <c r="C305" s="10">
        <v>8.7100000000000009</v>
      </c>
      <c r="D305" s="10">
        <v>44.04</v>
      </c>
      <c r="E305" s="10">
        <v>168.41</v>
      </c>
      <c r="F305" s="10">
        <v>91.2</v>
      </c>
      <c r="G305" s="10">
        <v>43.53</v>
      </c>
      <c r="H305" s="10">
        <f t="shared" si="61"/>
        <v>5.1719019060625857E-2</v>
      </c>
      <c r="I305" s="10">
        <f t="shared" si="62"/>
        <v>0.26150466124339411</v>
      </c>
      <c r="J305" s="10">
        <f t="shared" si="63"/>
        <v>2.0951068228807719</v>
      </c>
      <c r="K305" s="4">
        <f t="shared" si="69"/>
        <v>-3.0505394439769922</v>
      </c>
      <c r="L305" s="10">
        <f t="shared" si="52"/>
        <v>0.26150466124339411</v>
      </c>
      <c r="M305" s="10">
        <v>34.24</v>
      </c>
      <c r="N305" s="10">
        <v>-3.68</v>
      </c>
      <c r="O305" s="10">
        <v>-9.43</v>
      </c>
      <c r="P305" s="11">
        <v>3.0000000000000001E-5</v>
      </c>
      <c r="Q305" s="11">
        <f>(14.35+12.27)%</f>
        <v>0.26619999999999999</v>
      </c>
      <c r="R305" s="12">
        <f t="shared" si="58"/>
        <v>0.20331334243809751</v>
      </c>
      <c r="S305" s="12">
        <f t="shared" si="59"/>
        <v>-2.1851434000356273E-2</v>
      </c>
      <c r="T305" s="12">
        <f t="shared" si="60"/>
        <v>-5.5994299625912951E-2</v>
      </c>
      <c r="U305" s="12">
        <f t="shared" si="65"/>
        <v>6.0994002731429258E-6</v>
      </c>
      <c r="V305" s="12">
        <f t="shared" si="53"/>
        <v>-6.5554302001068818E-7</v>
      </c>
      <c r="W305" s="12">
        <f t="shared" si="54"/>
        <v>-1.6798289887773885E-6</v>
      </c>
      <c r="X305" s="12">
        <f t="shared" si="55"/>
        <v>5.4122011757021554E-2</v>
      </c>
      <c r="Y305" s="12">
        <f t="shared" si="56"/>
        <v>-5.8168517308948399E-3</v>
      </c>
      <c r="Z305" s="12">
        <f t="shared" si="57"/>
        <v>-1.4905682560418028E-2</v>
      </c>
    </row>
    <row r="306" spans="1:26" ht="13">
      <c r="A306" s="8" t="s">
        <v>78</v>
      </c>
      <c r="B306" s="9">
        <v>2021</v>
      </c>
      <c r="C306" s="10">
        <v>3.46</v>
      </c>
      <c r="D306" s="10">
        <v>30.79</v>
      </c>
      <c r="E306" s="10">
        <v>152.12</v>
      </c>
      <c r="F306" s="10">
        <v>76.37</v>
      </c>
      <c r="G306" s="10">
        <v>30.28</v>
      </c>
      <c r="H306" s="10">
        <f t="shared" si="61"/>
        <v>2.274520115698133E-2</v>
      </c>
      <c r="I306" s="10">
        <f t="shared" si="62"/>
        <v>0.20240599526689454</v>
      </c>
      <c r="J306" s="10">
        <f t="shared" si="63"/>
        <v>2.5221268163804491</v>
      </c>
      <c r="K306" s="4">
        <f t="shared" si="69"/>
        <v>-3.2587277394506384</v>
      </c>
      <c r="L306" s="10">
        <f t="shared" si="52"/>
        <v>0.20240599526689454</v>
      </c>
      <c r="M306" s="10">
        <v>4.16</v>
      </c>
      <c r="N306" s="10">
        <v>-10.3</v>
      </c>
      <c r="O306" s="10">
        <v>-18.36</v>
      </c>
      <c r="P306" s="11">
        <v>1.8E-3</v>
      </c>
      <c r="Q306" s="11">
        <f>(14.77+12.27)%</f>
        <v>0.27039999999999997</v>
      </c>
      <c r="R306" s="12">
        <f t="shared" si="58"/>
        <v>2.7346831448856166E-2</v>
      </c>
      <c r="S306" s="12">
        <f t="shared" si="59"/>
        <v>-6.7709702866158294E-2</v>
      </c>
      <c r="T306" s="12">
        <f t="shared" si="60"/>
        <v>-0.12069418879831711</v>
      </c>
      <c r="U306" s="12">
        <f t="shared" si="65"/>
        <v>4.9224296607941098E-5</v>
      </c>
      <c r="V306" s="12">
        <f t="shared" si="53"/>
        <v>-1.2187746515908493E-4</v>
      </c>
      <c r="W306" s="12">
        <f t="shared" si="54"/>
        <v>-2.1724953983697081E-4</v>
      </c>
      <c r="X306" s="12">
        <f t="shared" si="55"/>
        <v>7.3945832237707065E-3</v>
      </c>
      <c r="Y306" s="12">
        <f t="shared" si="56"/>
        <v>-1.8308703655009202E-2</v>
      </c>
      <c r="Z306" s="12">
        <f t="shared" si="57"/>
        <v>-3.2635708651064944E-2</v>
      </c>
    </row>
    <row r="307" spans="1:26" ht="13">
      <c r="A307" s="8" t="s">
        <v>79</v>
      </c>
      <c r="B307" s="9">
        <v>2017</v>
      </c>
      <c r="C307" s="10">
        <v>287.44</v>
      </c>
      <c r="D307" s="10">
        <v>119.72</v>
      </c>
      <c r="E307" s="10">
        <v>1097.49</v>
      </c>
      <c r="F307" s="10">
        <v>703.59</v>
      </c>
      <c r="G307" s="10">
        <v>119.72</v>
      </c>
      <c r="H307" s="10">
        <f t="shared" si="61"/>
        <v>0.26190671441197644</v>
      </c>
      <c r="I307" s="10">
        <f t="shared" si="62"/>
        <v>0.10908527640342965</v>
      </c>
      <c r="J307" s="10">
        <f t="shared" si="63"/>
        <v>5.8769629134647516</v>
      </c>
      <c r="K307" s="4">
        <f t="shared" si="69"/>
        <v>-4.8803019910082037</v>
      </c>
      <c r="L307" s="10">
        <f t="shared" si="52"/>
        <v>0.10908527640342965</v>
      </c>
      <c r="M307" s="10">
        <v>271.14999999999998</v>
      </c>
      <c r="N307" s="10">
        <v>-60.26</v>
      </c>
      <c r="O307" s="10">
        <v>-214.6</v>
      </c>
      <c r="P307" s="11">
        <f>(0.37+15.2)%</f>
        <v>0.15569999999999998</v>
      </c>
      <c r="Q307" s="11">
        <f t="shared" ref="Q307:Q309" si="76">(0.009+0.025+0.062+0.15+0.0525)%</f>
        <v>2.9849999999999998E-3</v>
      </c>
      <c r="R307" s="12">
        <f t="shared" si="58"/>
        <v>0.24706375456723978</v>
      </c>
      <c r="S307" s="12">
        <f t="shared" si="59"/>
        <v>-5.4907106215090797E-2</v>
      </c>
      <c r="T307" s="12">
        <f t="shared" si="60"/>
        <v>-0.19553708917621115</v>
      </c>
      <c r="U307" s="12">
        <f t="shared" si="65"/>
        <v>3.8467826586119226E-2</v>
      </c>
      <c r="V307" s="12">
        <f t="shared" si="53"/>
        <v>-8.5490364376896357E-3</v>
      </c>
      <c r="W307" s="12">
        <f t="shared" si="54"/>
        <v>-3.0445124784736072E-2</v>
      </c>
      <c r="X307" s="12">
        <f t="shared" si="55"/>
        <v>7.3748530738321065E-4</v>
      </c>
      <c r="Y307" s="12">
        <f t="shared" si="56"/>
        <v>-1.6389771205204602E-4</v>
      </c>
      <c r="Z307" s="12">
        <f t="shared" si="57"/>
        <v>-5.8367821119099028E-4</v>
      </c>
    </row>
    <row r="308" spans="1:26" ht="13">
      <c r="A308" s="8" t="s">
        <v>79</v>
      </c>
      <c r="B308" s="9">
        <v>2018</v>
      </c>
      <c r="C308" s="10">
        <v>287.74</v>
      </c>
      <c r="D308" s="10">
        <v>101.8</v>
      </c>
      <c r="E308" s="10">
        <v>1167.81</v>
      </c>
      <c r="F308" s="10">
        <v>706.32</v>
      </c>
      <c r="G308" s="10">
        <v>101.8</v>
      </c>
      <c r="H308" s="10">
        <f t="shared" si="61"/>
        <v>0.24639282074995078</v>
      </c>
      <c r="I308" s="10">
        <f t="shared" si="62"/>
        <v>8.7171714576857545E-2</v>
      </c>
      <c r="J308" s="10">
        <f t="shared" si="63"/>
        <v>6.9383104125736743</v>
      </c>
      <c r="K308" s="4">
        <f t="shared" si="69"/>
        <v>-4.9396421619369848</v>
      </c>
      <c r="L308" s="10">
        <f t="shared" si="52"/>
        <v>8.7171714576857545E-2</v>
      </c>
      <c r="M308" s="10">
        <v>277.98</v>
      </c>
      <c r="N308" s="10">
        <v>-4.7300000000000004</v>
      </c>
      <c r="O308" s="10">
        <v>-204.58</v>
      </c>
      <c r="P308" s="11">
        <v>0.14929999999999999</v>
      </c>
      <c r="Q308" s="11">
        <f t="shared" si="76"/>
        <v>2.9849999999999998E-3</v>
      </c>
      <c r="R308" s="12">
        <f t="shared" si="58"/>
        <v>0.23803529683767055</v>
      </c>
      <c r="S308" s="12">
        <f t="shared" si="59"/>
        <v>-4.0503164042095894E-3</v>
      </c>
      <c r="T308" s="12">
        <f t="shared" si="60"/>
        <v>-0.17518260675966127</v>
      </c>
      <c r="U308" s="12">
        <f t="shared" si="65"/>
        <v>3.5538669817864209E-2</v>
      </c>
      <c r="V308" s="12">
        <f t="shared" si="53"/>
        <v>-6.0471223914849168E-4</v>
      </c>
      <c r="W308" s="12">
        <f t="shared" si="54"/>
        <v>-2.6154763189217424E-2</v>
      </c>
      <c r="X308" s="12">
        <f t="shared" si="55"/>
        <v>7.105353610604465E-4</v>
      </c>
      <c r="Y308" s="12">
        <f t="shared" si="56"/>
        <v>-1.2090194466565624E-5</v>
      </c>
      <c r="Z308" s="12">
        <f t="shared" si="57"/>
        <v>-5.2292008117758881E-4</v>
      </c>
    </row>
    <row r="309" spans="1:26" ht="13">
      <c r="A309" s="8" t="s">
        <v>79</v>
      </c>
      <c r="B309" s="9">
        <v>2019</v>
      </c>
      <c r="C309" s="10">
        <v>247.63</v>
      </c>
      <c r="D309" s="10">
        <v>107.48</v>
      </c>
      <c r="E309" s="10">
        <v>1278.6199999999999</v>
      </c>
      <c r="F309" s="10">
        <v>857.63</v>
      </c>
      <c r="G309" s="10">
        <v>107.48</v>
      </c>
      <c r="H309" s="10">
        <f t="shared" si="61"/>
        <v>0.19366973768594267</v>
      </c>
      <c r="I309" s="10">
        <f t="shared" si="62"/>
        <v>8.4059376515305567E-2</v>
      </c>
      <c r="J309" s="10">
        <f t="shared" si="63"/>
        <v>7.9794380349832528</v>
      </c>
      <c r="K309" s="4">
        <f t="shared" si="69"/>
        <v>-4.7242931255894334</v>
      </c>
      <c r="L309" s="10">
        <f t="shared" si="52"/>
        <v>8.4059376515305567E-2</v>
      </c>
      <c r="M309" s="10">
        <v>268.68</v>
      </c>
      <c r="N309" s="10">
        <v>-212.49</v>
      </c>
      <c r="O309" s="10">
        <v>-119.03</v>
      </c>
      <c r="P309" s="11">
        <v>0.1353</v>
      </c>
      <c r="Q309" s="11">
        <f t="shared" si="76"/>
        <v>2.9849999999999998E-3</v>
      </c>
      <c r="R309" s="12">
        <f t="shared" si="58"/>
        <v>0.21013279942437943</v>
      </c>
      <c r="S309" s="12">
        <f t="shared" si="59"/>
        <v>-0.16618698284087535</v>
      </c>
      <c r="T309" s="12">
        <f t="shared" si="60"/>
        <v>-9.3092552908604603E-2</v>
      </c>
      <c r="U309" s="12">
        <f t="shared" si="65"/>
        <v>2.8430967762118536E-2</v>
      </c>
      <c r="V309" s="12">
        <f t="shared" si="53"/>
        <v>-2.2485098778370436E-2</v>
      </c>
      <c r="W309" s="12">
        <f t="shared" si="54"/>
        <v>-1.2595422408534203E-2</v>
      </c>
      <c r="X309" s="12">
        <f t="shared" si="55"/>
        <v>6.2724640628177258E-4</v>
      </c>
      <c r="Y309" s="12">
        <f t="shared" si="56"/>
        <v>-4.9606814378001286E-4</v>
      </c>
      <c r="Z309" s="12">
        <f t="shared" si="57"/>
        <v>-2.7788127043218473E-4</v>
      </c>
    </row>
    <row r="310" spans="1:26" ht="13">
      <c r="A310" s="8" t="s">
        <v>79</v>
      </c>
      <c r="B310" s="9">
        <v>2020</v>
      </c>
      <c r="C310" s="10">
        <v>237.68</v>
      </c>
      <c r="D310" s="10">
        <v>112.81</v>
      </c>
      <c r="E310" s="10">
        <v>1396.13</v>
      </c>
      <c r="F310" s="10">
        <v>1037.28</v>
      </c>
      <c r="G310" s="10">
        <v>112.81</v>
      </c>
      <c r="H310" s="10">
        <f t="shared" si="61"/>
        <v>0.17024202617234785</v>
      </c>
      <c r="I310" s="10">
        <f t="shared" si="62"/>
        <v>8.0801931052265907E-2</v>
      </c>
      <c r="J310" s="10">
        <f t="shared" si="63"/>
        <v>9.194929527524156</v>
      </c>
      <c r="K310" s="4">
        <f t="shared" si="69"/>
        <v>-4.6422978288877461</v>
      </c>
      <c r="L310" s="10">
        <f t="shared" si="52"/>
        <v>8.0801931052265907E-2</v>
      </c>
      <c r="M310" s="10">
        <v>179.37</v>
      </c>
      <c r="N310" s="10">
        <v>-89.47</v>
      </c>
      <c r="O310" s="10">
        <v>-100.82</v>
      </c>
      <c r="P310" s="11">
        <v>0.11890000000000001</v>
      </c>
      <c r="Q310" s="11">
        <f>(0.009+0.062+0.15)%</f>
        <v>2.2099999999999997E-3</v>
      </c>
      <c r="R310" s="12">
        <f t="shared" si="58"/>
        <v>0.12847657453102504</v>
      </c>
      <c r="S310" s="12">
        <f t="shared" si="59"/>
        <v>-6.4084290144900538E-2</v>
      </c>
      <c r="T310" s="12">
        <f t="shared" si="60"/>
        <v>-7.2213905581858417E-2</v>
      </c>
      <c r="U310" s="12">
        <f t="shared" si="65"/>
        <v>1.5275864711738878E-2</v>
      </c>
      <c r="V310" s="12">
        <f t="shared" si="53"/>
        <v>-7.6196220982286747E-3</v>
      </c>
      <c r="W310" s="12">
        <f t="shared" si="54"/>
        <v>-8.5862333736829669E-3</v>
      </c>
      <c r="X310" s="12">
        <f t="shared" si="55"/>
        <v>2.8393322971356533E-4</v>
      </c>
      <c r="Y310" s="12">
        <f t="shared" si="56"/>
        <v>-1.4162628122023018E-4</v>
      </c>
      <c r="Z310" s="12">
        <f t="shared" si="57"/>
        <v>-1.5959273133590708E-4</v>
      </c>
    </row>
    <row r="311" spans="1:26" ht="13">
      <c r="A311" s="8" t="s">
        <v>79</v>
      </c>
      <c r="B311" s="9">
        <v>2021</v>
      </c>
      <c r="C311" s="10">
        <v>277.13</v>
      </c>
      <c r="D311" s="10">
        <v>126.44</v>
      </c>
      <c r="E311" s="10">
        <v>1499.39</v>
      </c>
      <c r="F311" s="10">
        <v>1170.1199999999999</v>
      </c>
      <c r="G311" s="10">
        <v>126.44</v>
      </c>
      <c r="H311" s="10">
        <f t="shared" si="61"/>
        <v>0.18482849692208164</v>
      </c>
      <c r="I311" s="10">
        <f t="shared" si="62"/>
        <v>8.4327626568137706E-2</v>
      </c>
      <c r="J311" s="10">
        <f t="shared" si="63"/>
        <v>9.2543498892755451</v>
      </c>
      <c r="K311" s="4">
        <f t="shared" si="69"/>
        <v>-4.6880781642680853</v>
      </c>
      <c r="L311" s="10">
        <f t="shared" si="52"/>
        <v>8.4327626568137706E-2</v>
      </c>
      <c r="M311" s="10">
        <v>234.6</v>
      </c>
      <c r="N311" s="10">
        <v>-60.82</v>
      </c>
      <c r="O311" s="10">
        <v>-159.11000000000001</v>
      </c>
      <c r="P311" s="11">
        <v>0.12330000000000001</v>
      </c>
      <c r="Q311" s="11">
        <f>(0.009+0.01+0.062+0.15)%</f>
        <v>2.31E-3</v>
      </c>
      <c r="R311" s="12">
        <f t="shared" si="58"/>
        <v>0.15646362854227383</v>
      </c>
      <c r="S311" s="12">
        <f t="shared" si="59"/>
        <v>-4.0563162352690092E-2</v>
      </c>
      <c r="T311" s="12">
        <f t="shared" si="60"/>
        <v>-0.10611648737153109</v>
      </c>
      <c r="U311" s="12">
        <f t="shared" si="65"/>
        <v>1.9291965399262364E-2</v>
      </c>
      <c r="V311" s="12">
        <f t="shared" si="53"/>
        <v>-5.0014379180866883E-3</v>
      </c>
      <c r="W311" s="12">
        <f t="shared" si="54"/>
        <v>-1.3084162892909784E-2</v>
      </c>
      <c r="X311" s="12">
        <f t="shared" si="55"/>
        <v>3.6143098193265253E-4</v>
      </c>
      <c r="Y311" s="12">
        <f t="shared" si="56"/>
        <v>-9.370090503471411E-5</v>
      </c>
      <c r="Z311" s="12">
        <f t="shared" si="57"/>
        <v>-2.4512908582823684E-4</v>
      </c>
    </row>
    <row r="312" spans="1:26" ht="13">
      <c r="A312" s="8" t="s">
        <v>80</v>
      </c>
      <c r="B312" s="9">
        <v>2017</v>
      </c>
      <c r="C312" s="10">
        <v>1085.42</v>
      </c>
      <c r="D312" s="10">
        <v>5610.56</v>
      </c>
      <c r="E312" s="10">
        <v>10264.4</v>
      </c>
      <c r="F312" s="10">
        <v>8840.19</v>
      </c>
      <c r="G312" s="10">
        <v>3726.61</v>
      </c>
      <c r="H312" s="10">
        <f t="shared" si="61"/>
        <v>0.10574607380850319</v>
      </c>
      <c r="I312" s="10">
        <f t="shared" si="62"/>
        <v>0.54660379564319406</v>
      </c>
      <c r="J312" s="10">
        <f t="shared" si="63"/>
        <v>2.3721800778723829</v>
      </c>
      <c r="K312" s="4">
        <f t="shared" si="69"/>
        <v>-1.6697044172835469</v>
      </c>
      <c r="L312" s="10">
        <f t="shared" ref="L312:L375" si="77">D312/E312</f>
        <v>0.54660379564319406</v>
      </c>
      <c r="M312" s="10">
        <v>-1054.1099999999999</v>
      </c>
      <c r="N312" s="10">
        <v>-1046.8</v>
      </c>
      <c r="O312" s="10">
        <v>1970.13</v>
      </c>
      <c r="P312" s="11">
        <v>0.3725</v>
      </c>
      <c r="Q312" s="11">
        <f>(8.54+0.16+1.81+0.92)%</f>
        <v>0.1143</v>
      </c>
      <c r="R312" s="12">
        <f t="shared" si="58"/>
        <v>-0.10269572503020147</v>
      </c>
      <c r="S312" s="12">
        <f t="shared" si="59"/>
        <v>-0.10198355481080239</v>
      </c>
      <c r="T312" s="12">
        <f t="shared" si="60"/>
        <v>0.19193815517711704</v>
      </c>
      <c r="U312" s="12">
        <f t="shared" si="65"/>
        <v>-3.8254157573750044E-2</v>
      </c>
      <c r="V312" s="12">
        <f t="shared" si="53"/>
        <v>-3.7988874167023887E-2</v>
      </c>
      <c r="W312" s="12">
        <f t="shared" si="54"/>
        <v>7.1496962803476102E-2</v>
      </c>
      <c r="X312" s="12">
        <f t="shared" si="55"/>
        <v>-1.1738121370952028E-2</v>
      </c>
      <c r="Y312" s="12">
        <f t="shared" si="56"/>
        <v>-1.1656720314874712E-2</v>
      </c>
      <c r="Z312" s="12">
        <f t="shared" si="57"/>
        <v>2.1938531136744478E-2</v>
      </c>
    </row>
    <row r="313" spans="1:26" ht="13">
      <c r="A313" s="8" t="s">
        <v>80</v>
      </c>
      <c r="B313" s="9">
        <v>2018</v>
      </c>
      <c r="C313" s="10">
        <v>1722.79</v>
      </c>
      <c r="D313" s="10">
        <v>7529.62</v>
      </c>
      <c r="E313" s="10">
        <v>13728.71</v>
      </c>
      <c r="F313" s="10">
        <v>11815.77</v>
      </c>
      <c r="G313" s="10">
        <v>5117.63</v>
      </c>
      <c r="H313" s="10">
        <f t="shared" si="61"/>
        <v>0.125488119422728</v>
      </c>
      <c r="I313" s="10">
        <f t="shared" si="62"/>
        <v>0.54845793960248268</v>
      </c>
      <c r="J313" s="10">
        <f t="shared" si="63"/>
        <v>2.3088363168107113</v>
      </c>
      <c r="K313" s="4">
        <f t="shared" si="69"/>
        <v>-1.7477216269353673</v>
      </c>
      <c r="L313" s="10">
        <f t="shared" si="77"/>
        <v>0.54845793960248268</v>
      </c>
      <c r="M313" s="10">
        <v>-931.75</v>
      </c>
      <c r="N313" s="10">
        <v>-0.12</v>
      </c>
      <c r="O313" s="10">
        <v>403.01</v>
      </c>
      <c r="P313" s="11">
        <v>0.48209999999999997</v>
      </c>
      <c r="Q313" s="11">
        <v>0.12690000000000001</v>
      </c>
      <c r="R313" s="12">
        <f t="shared" si="58"/>
        <v>-6.7868721824555986E-2</v>
      </c>
      <c r="S313" s="12">
        <f t="shared" si="59"/>
        <v>-8.7408066744799768E-6</v>
      </c>
      <c r="T313" s="12">
        <f t="shared" si="60"/>
        <v>2.9355270815684797E-2</v>
      </c>
      <c r="U313" s="12">
        <f t="shared" si="65"/>
        <v>-3.2719510791618438E-2</v>
      </c>
      <c r="V313" s="12">
        <f t="shared" si="53"/>
        <v>-4.2139428977667966E-6</v>
      </c>
      <c r="W313" s="12">
        <f t="shared" si="54"/>
        <v>1.415217606024164E-2</v>
      </c>
      <c r="X313" s="12">
        <f t="shared" si="55"/>
        <v>-8.6125407995361562E-3</v>
      </c>
      <c r="Y313" s="12">
        <f t="shared" si="56"/>
        <v>-1.1092083669915092E-6</v>
      </c>
      <c r="Z313" s="12">
        <f t="shared" si="57"/>
        <v>3.7251838665104012E-3</v>
      </c>
    </row>
    <row r="314" spans="1:26" ht="13">
      <c r="A314" s="8" t="s">
        <v>80</v>
      </c>
      <c r="B314" s="9">
        <v>2019</v>
      </c>
      <c r="C314" s="10">
        <v>1886.22</v>
      </c>
      <c r="D314" s="10">
        <v>10652.7</v>
      </c>
      <c r="E314" s="10">
        <v>19880.52</v>
      </c>
      <c r="F314" s="10">
        <v>17066.169999999998</v>
      </c>
      <c r="G314" s="10">
        <v>7276.58</v>
      </c>
      <c r="H314" s="10">
        <f t="shared" si="61"/>
        <v>9.4877799977062971E-2</v>
      </c>
      <c r="I314" s="10">
        <f t="shared" si="62"/>
        <v>0.53583608477041855</v>
      </c>
      <c r="J314" s="10">
        <f t="shared" si="63"/>
        <v>2.3453559226999494</v>
      </c>
      <c r="K314" s="4">
        <f t="shared" si="69"/>
        <v>-1.682065840396197</v>
      </c>
      <c r="L314" s="10">
        <f t="shared" si="77"/>
        <v>0.53583608477041855</v>
      </c>
      <c r="M314" s="10">
        <v>-1645.77</v>
      </c>
      <c r="N314" s="10">
        <v>-1412.93</v>
      </c>
      <c r="O314" s="10">
        <v>2693.42</v>
      </c>
      <c r="P314" s="11">
        <v>0.47</v>
      </c>
      <c r="Q314" s="11">
        <f>(15.16-0.02-0.01-0.01-0.03)%</f>
        <v>0.15090000000000001</v>
      </c>
      <c r="R314" s="12">
        <f t="shared" si="58"/>
        <v>-8.2783045916303991E-2</v>
      </c>
      <c r="S314" s="12">
        <f t="shared" si="59"/>
        <v>-7.1071078623697978E-2</v>
      </c>
      <c r="T314" s="12">
        <f t="shared" si="60"/>
        <v>0.13548035966866057</v>
      </c>
      <c r="U314" s="12">
        <f t="shared" si="65"/>
        <v>-3.8908031580662875E-2</v>
      </c>
      <c r="V314" s="12">
        <f t="shared" si="53"/>
        <v>-3.3403406953138051E-2</v>
      </c>
      <c r="W314" s="12">
        <f t="shared" si="54"/>
        <v>6.3675769044270469E-2</v>
      </c>
      <c r="X314" s="12">
        <f t="shared" si="55"/>
        <v>-1.2491961628770273E-2</v>
      </c>
      <c r="Y314" s="12">
        <f t="shared" si="56"/>
        <v>-1.0724625764316025E-2</v>
      </c>
      <c r="Z314" s="12">
        <f t="shared" si="57"/>
        <v>2.0443986274000882E-2</v>
      </c>
    </row>
    <row r="315" spans="1:26" ht="13">
      <c r="A315" s="8" t="s">
        <v>80</v>
      </c>
      <c r="B315" s="9">
        <v>2020</v>
      </c>
      <c r="C315" s="10">
        <v>-174.07</v>
      </c>
      <c r="D315" s="10">
        <v>14227.39</v>
      </c>
      <c r="E315" s="10">
        <v>23311.43</v>
      </c>
      <c r="F315" s="10">
        <v>19723.04</v>
      </c>
      <c r="G315" s="10">
        <v>10318.52</v>
      </c>
      <c r="H315" s="10">
        <f t="shared" si="61"/>
        <v>-7.4671523797553386E-3</v>
      </c>
      <c r="I315" s="10">
        <f t="shared" si="62"/>
        <v>0.61031820012757687</v>
      </c>
      <c r="J315" s="10">
        <f t="shared" si="63"/>
        <v>1.9114214053953473</v>
      </c>
      <c r="K315" s="4">
        <f t="shared" si="69"/>
        <v>-0.79522975918549399</v>
      </c>
      <c r="L315" s="10">
        <f t="shared" si="77"/>
        <v>0.61031820012757687</v>
      </c>
      <c r="M315" s="10">
        <v>-780.23</v>
      </c>
      <c r="N315" s="10">
        <v>-334.09</v>
      </c>
      <c r="O315" s="10">
        <v>2100.66</v>
      </c>
      <c r="P315" s="11">
        <v>0.35220000000000001</v>
      </c>
      <c r="Q315" s="11">
        <f>(12.15+0.126+0.67)%</f>
        <v>0.12945999999999999</v>
      </c>
      <c r="R315" s="12">
        <f t="shared" si="58"/>
        <v>-3.3469847195131318E-2</v>
      </c>
      <c r="S315" s="12">
        <f t="shared" si="59"/>
        <v>-1.4331596131168271E-2</v>
      </c>
      <c r="T315" s="12">
        <f t="shared" si="60"/>
        <v>9.0112875958274538E-2</v>
      </c>
      <c r="U315" s="12">
        <f t="shared" si="65"/>
        <v>-1.178808018212525E-2</v>
      </c>
      <c r="V315" s="12">
        <f t="shared" si="53"/>
        <v>-5.0475881573974653E-3</v>
      </c>
      <c r="W315" s="12">
        <f t="shared" si="54"/>
        <v>3.1737754912504294E-2</v>
      </c>
      <c r="X315" s="12">
        <f t="shared" si="55"/>
        <v>-4.3330064178817001E-3</v>
      </c>
      <c r="Y315" s="12">
        <f t="shared" si="56"/>
        <v>-1.8553684351410443E-3</v>
      </c>
      <c r="Z315" s="12">
        <f t="shared" si="57"/>
        <v>1.166601292155822E-2</v>
      </c>
    </row>
    <row r="316" spans="1:26" ht="13">
      <c r="A316" s="8" t="s">
        <v>80</v>
      </c>
      <c r="B316" s="9">
        <v>2021</v>
      </c>
      <c r="C316" s="10">
        <v>1595.06</v>
      </c>
      <c r="D316" s="10">
        <v>14872.59</v>
      </c>
      <c r="E316" s="10">
        <v>28254.06</v>
      </c>
      <c r="F316" s="10">
        <v>25255.040000000001</v>
      </c>
      <c r="G316" s="10">
        <v>13256.72</v>
      </c>
      <c r="H316" s="10">
        <f t="shared" si="61"/>
        <v>5.6454187468986755E-2</v>
      </c>
      <c r="I316" s="10">
        <f t="shared" si="62"/>
        <v>0.52638771206686752</v>
      </c>
      <c r="J316" s="10">
        <f t="shared" si="63"/>
        <v>1.9050745584126392</v>
      </c>
      <c r="K316" s="4">
        <f t="shared" si="69"/>
        <v>-1.5612541830629458</v>
      </c>
      <c r="L316" s="10">
        <f t="shared" si="77"/>
        <v>0.52638771206686752</v>
      </c>
      <c r="M316" s="10">
        <v>1224.96</v>
      </c>
      <c r="N316" s="10">
        <v>9.9</v>
      </c>
      <c r="O316" s="10">
        <v>-276.82</v>
      </c>
      <c r="P316" s="11">
        <v>0.26300000000000001</v>
      </c>
      <c r="Q316" s="11">
        <f>(14.08+0.78+0.04+0.03+0.03+0.05+0.02+0.99+0.01)%</f>
        <v>0.16029999999999997</v>
      </c>
      <c r="R316" s="12">
        <f t="shared" si="58"/>
        <v>4.3355185060129413E-2</v>
      </c>
      <c r="S316" s="12">
        <f t="shared" si="59"/>
        <v>3.5039212063682176E-4</v>
      </c>
      <c r="T316" s="12">
        <f t="shared" si="60"/>
        <v>-9.7975299833015141E-3</v>
      </c>
      <c r="U316" s="12">
        <f t="shared" si="65"/>
        <v>1.1402413670814036E-2</v>
      </c>
      <c r="V316" s="12">
        <f t="shared" si="53"/>
        <v>9.2153127727484131E-5</v>
      </c>
      <c r="W316" s="12">
        <f t="shared" si="54"/>
        <v>-2.5767503856082984E-3</v>
      </c>
      <c r="X316" s="12">
        <f t="shared" si="55"/>
        <v>6.9498361651387439E-3</v>
      </c>
      <c r="Y316" s="12">
        <f t="shared" si="56"/>
        <v>5.6167856938082519E-5</v>
      </c>
      <c r="Z316" s="12">
        <f t="shared" si="57"/>
        <v>-1.5705440563232324E-3</v>
      </c>
    </row>
    <row r="317" spans="1:26" ht="13">
      <c r="A317" s="8" t="s">
        <v>81</v>
      </c>
      <c r="B317" s="9">
        <v>2017</v>
      </c>
      <c r="C317" s="10">
        <v>5.9</v>
      </c>
      <c r="D317" s="10">
        <v>42.46</v>
      </c>
      <c r="E317" s="10">
        <v>164.95</v>
      </c>
      <c r="F317" s="10">
        <v>142.29</v>
      </c>
      <c r="G317" s="10">
        <v>42.22</v>
      </c>
      <c r="H317" s="10">
        <f t="shared" si="61"/>
        <v>3.5768414671112463E-2</v>
      </c>
      <c r="I317" s="10">
        <f t="shared" si="62"/>
        <v>0.2574113367687178</v>
      </c>
      <c r="J317" s="10">
        <f t="shared" si="63"/>
        <v>3.3702036949313121</v>
      </c>
      <c r="K317" s="4">
        <f t="shared" si="69"/>
        <v>-3.0071940612180392</v>
      </c>
      <c r="L317" s="10">
        <f t="shared" si="77"/>
        <v>0.2574113367687178</v>
      </c>
      <c r="M317" s="10">
        <v>-13.72</v>
      </c>
      <c r="N317" s="10">
        <v>1.52</v>
      </c>
      <c r="O317" s="10">
        <v>0</v>
      </c>
      <c r="P317" s="11">
        <f>ROUND(43120/9900000,6)</f>
        <v>4.3559999999999996E-3</v>
      </c>
      <c r="Q317" s="11">
        <f>(25+20.02+7.02+8.81)%</f>
        <v>0.60849999999999993</v>
      </c>
      <c r="R317" s="12">
        <f t="shared" si="58"/>
        <v>-8.3176720218247957E-2</v>
      </c>
      <c r="S317" s="12">
        <f t="shared" si="59"/>
        <v>9.214913610184906E-3</v>
      </c>
      <c r="T317" s="12">
        <f t="shared" si="60"/>
        <v>0</v>
      </c>
      <c r="U317" s="12">
        <f t="shared" si="65"/>
        <v>-3.6231779327068809E-4</v>
      </c>
      <c r="V317" s="12">
        <f t="shared" si="53"/>
        <v>4.0140163685965449E-5</v>
      </c>
      <c r="W317" s="12">
        <f t="shared" si="54"/>
        <v>0</v>
      </c>
      <c r="X317" s="12">
        <f t="shared" si="55"/>
        <v>-5.0613034252803876E-2</v>
      </c>
      <c r="Y317" s="12">
        <f t="shared" si="56"/>
        <v>5.6072749317975148E-3</v>
      </c>
      <c r="Z317" s="12">
        <f t="shared" si="57"/>
        <v>0</v>
      </c>
    </row>
    <row r="318" spans="1:26" ht="13">
      <c r="A318" s="8" t="s">
        <v>81</v>
      </c>
      <c r="B318" s="9">
        <v>2018</v>
      </c>
      <c r="C318" s="10">
        <v>0.15</v>
      </c>
      <c r="D318" s="10">
        <v>43.51</v>
      </c>
      <c r="E318" s="10">
        <v>160.63999999999999</v>
      </c>
      <c r="F318" s="10">
        <v>141.28</v>
      </c>
      <c r="G318" s="10">
        <v>43.51</v>
      </c>
      <c r="H318" s="10">
        <f t="shared" si="61"/>
        <v>9.3376494023904386E-4</v>
      </c>
      <c r="I318" s="10">
        <f t="shared" si="62"/>
        <v>0.27085408366533864</v>
      </c>
      <c r="J318" s="10">
        <f t="shared" si="63"/>
        <v>3.2470696391634108</v>
      </c>
      <c r="K318" s="4">
        <f t="shared" si="69"/>
        <v>-2.7733219438952985</v>
      </c>
      <c r="L318" s="10">
        <f t="shared" si="77"/>
        <v>0.27085408366533864</v>
      </c>
      <c r="M318" s="10">
        <v>-10.029999999999999</v>
      </c>
      <c r="N318" s="10">
        <v>-19.98</v>
      </c>
      <c r="O318" s="10">
        <v>0</v>
      </c>
      <c r="P318" s="11">
        <f>ROUND(36910/9900000,6)</f>
        <v>3.728E-3</v>
      </c>
      <c r="Q318" s="11">
        <f>(26.32+13.16+13.16)%</f>
        <v>0.52639999999999998</v>
      </c>
      <c r="R318" s="12">
        <f t="shared" si="58"/>
        <v>-6.2437749003984064E-2</v>
      </c>
      <c r="S318" s="12">
        <f t="shared" si="59"/>
        <v>-0.12437749003984065</v>
      </c>
      <c r="T318" s="12">
        <f t="shared" si="60"/>
        <v>0</v>
      </c>
      <c r="U318" s="12">
        <f t="shared" si="65"/>
        <v>-2.3276792828685259E-4</v>
      </c>
      <c r="V318" s="12">
        <f t="shared" si="53"/>
        <v>-4.6367928286852596E-4</v>
      </c>
      <c r="W318" s="12">
        <f t="shared" si="54"/>
        <v>0</v>
      </c>
      <c r="X318" s="12">
        <f t="shared" si="55"/>
        <v>-3.2867231075697209E-2</v>
      </c>
      <c r="Y318" s="12">
        <f t="shared" si="56"/>
        <v>-6.5472310756972116E-2</v>
      </c>
      <c r="Z318" s="12">
        <f t="shared" si="57"/>
        <v>0</v>
      </c>
    </row>
    <row r="319" spans="1:26" ht="13">
      <c r="A319" s="8" t="s">
        <v>81</v>
      </c>
      <c r="B319" s="9">
        <v>2019</v>
      </c>
      <c r="C319" s="10">
        <v>-6.89</v>
      </c>
      <c r="D319" s="10">
        <v>28.33</v>
      </c>
      <c r="E319" s="10">
        <v>138.71</v>
      </c>
      <c r="F319" s="10">
        <v>122.06</v>
      </c>
      <c r="G319" s="10">
        <v>28.33</v>
      </c>
      <c r="H319" s="10">
        <f t="shared" si="61"/>
        <v>-4.967197750702905E-2</v>
      </c>
      <c r="I319" s="10">
        <f t="shared" si="62"/>
        <v>0.20423905990916297</v>
      </c>
      <c r="J319" s="10">
        <f t="shared" si="63"/>
        <v>4.3085068831627256</v>
      </c>
      <c r="K319" s="4">
        <f t="shared" si="69"/>
        <v>-2.929547487268791</v>
      </c>
      <c r="L319" s="10">
        <f t="shared" si="77"/>
        <v>0.20423905990916297</v>
      </c>
      <c r="M319" s="10">
        <v>6.36</v>
      </c>
      <c r="N319" s="10">
        <v>-3.41</v>
      </c>
      <c r="O319" s="10">
        <v>-2.97</v>
      </c>
      <c r="P319" s="11">
        <f>ROUND(36810/9900000,6)</f>
        <v>3.718E-3</v>
      </c>
      <c r="Q319" s="11">
        <f t="shared" ref="Q319:Q321" si="78">(26.32+13.16+13.16+13.16)%</f>
        <v>0.65799999999999992</v>
      </c>
      <c r="R319" s="12">
        <f t="shared" si="58"/>
        <v>4.5851056160334511E-2</v>
      </c>
      <c r="S319" s="12">
        <f t="shared" si="59"/>
        <v>-2.458366375892149E-2</v>
      </c>
      <c r="T319" s="12">
        <f t="shared" si="60"/>
        <v>-2.1411578112609041E-2</v>
      </c>
      <c r="U319" s="12">
        <f t="shared" si="65"/>
        <v>1.7047422680412371E-4</v>
      </c>
      <c r="V319" s="12">
        <f t="shared" si="53"/>
        <v>-9.1402061855670098E-5</v>
      </c>
      <c r="W319" s="12">
        <f t="shared" si="54"/>
        <v>-7.9608247422680408E-5</v>
      </c>
      <c r="X319" s="12">
        <f t="shared" si="55"/>
        <v>3.0169994953500104E-2</v>
      </c>
      <c r="Y319" s="12">
        <f t="shared" si="56"/>
        <v>-1.6176050753370339E-2</v>
      </c>
      <c r="Z319" s="12">
        <f t="shared" si="57"/>
        <v>-1.4088818398096748E-2</v>
      </c>
    </row>
    <row r="320" spans="1:26" ht="13">
      <c r="A320" s="8" t="s">
        <v>81</v>
      </c>
      <c r="B320" s="9">
        <v>2020</v>
      </c>
      <c r="C320" s="10">
        <v>0.11</v>
      </c>
      <c r="D320" s="10">
        <v>21.79</v>
      </c>
      <c r="E320" s="10">
        <v>131.96</v>
      </c>
      <c r="F320" s="10">
        <v>119.17</v>
      </c>
      <c r="G320" s="10">
        <v>21.79</v>
      </c>
      <c r="H320" s="10">
        <f t="shared" si="61"/>
        <v>8.3358593513185809E-4</v>
      </c>
      <c r="I320" s="10">
        <f t="shared" si="62"/>
        <v>0.16512579569566535</v>
      </c>
      <c r="J320" s="10">
        <f t="shared" si="63"/>
        <v>5.4690224873795321</v>
      </c>
      <c r="K320" s="4">
        <f t="shared" si="69"/>
        <v>-3.3844101911923188</v>
      </c>
      <c r="L320" s="10">
        <f t="shared" si="77"/>
        <v>0.16512579569566535</v>
      </c>
      <c r="M320" s="10">
        <v>-9.7100000000000009</v>
      </c>
      <c r="N320" s="10">
        <v>6.66</v>
      </c>
      <c r="O320" s="10">
        <v>0</v>
      </c>
      <c r="P320" s="11">
        <v>6.1000000000000004E-3</v>
      </c>
      <c r="Q320" s="11">
        <f t="shared" si="78"/>
        <v>0.65799999999999992</v>
      </c>
      <c r="R320" s="12">
        <f t="shared" si="58"/>
        <v>-7.3582903910275846E-2</v>
      </c>
      <c r="S320" s="12">
        <f t="shared" si="59"/>
        <v>5.0469839345256139E-2</v>
      </c>
      <c r="T320" s="12">
        <f t="shared" si="60"/>
        <v>0</v>
      </c>
      <c r="U320" s="12">
        <f t="shared" si="65"/>
        <v>-4.4885571385268271E-4</v>
      </c>
      <c r="V320" s="12">
        <f t="shared" si="53"/>
        <v>3.0786602000606246E-4</v>
      </c>
      <c r="W320" s="12">
        <f t="shared" si="54"/>
        <v>0</v>
      </c>
      <c r="X320" s="12">
        <f t="shared" si="55"/>
        <v>-4.8417550772961504E-2</v>
      </c>
      <c r="Y320" s="12">
        <f t="shared" si="56"/>
        <v>3.3209154289178533E-2</v>
      </c>
      <c r="Z320" s="12">
        <f t="shared" si="57"/>
        <v>0</v>
      </c>
    </row>
    <row r="321" spans="1:26" ht="13">
      <c r="A321" s="8" t="s">
        <v>81</v>
      </c>
      <c r="B321" s="9">
        <v>2021</v>
      </c>
      <c r="C321" s="10">
        <v>0.39</v>
      </c>
      <c r="D321" s="10">
        <v>18.98</v>
      </c>
      <c r="E321" s="10">
        <v>129.54</v>
      </c>
      <c r="F321" s="10">
        <v>118.65</v>
      </c>
      <c r="G321" s="10">
        <v>18.98</v>
      </c>
      <c r="H321" s="10">
        <f t="shared" si="61"/>
        <v>3.0106530801296901E-3</v>
      </c>
      <c r="I321" s="10">
        <f t="shared" si="62"/>
        <v>0.14651844989964491</v>
      </c>
      <c r="J321" s="10">
        <f t="shared" si="63"/>
        <v>6.2513171759747106</v>
      </c>
      <c r="K321" s="4">
        <f t="shared" si="69"/>
        <v>-3.5033980431365066</v>
      </c>
      <c r="L321" s="10">
        <f t="shared" si="77"/>
        <v>0.14651844989964491</v>
      </c>
      <c r="M321" s="10">
        <v>-7.21</v>
      </c>
      <c r="N321" s="10">
        <v>9.8699999999999992</v>
      </c>
      <c r="O321" s="10">
        <v>0</v>
      </c>
      <c r="P321" s="11">
        <v>6.1000000000000004E-3</v>
      </c>
      <c r="Q321" s="11">
        <f t="shared" si="78"/>
        <v>0.65799999999999992</v>
      </c>
      <c r="R321" s="12">
        <f t="shared" si="58"/>
        <v>-5.5658483865987346E-2</v>
      </c>
      <c r="S321" s="12">
        <f t="shared" si="59"/>
        <v>7.6192681797128292E-2</v>
      </c>
      <c r="T321" s="12">
        <f t="shared" si="60"/>
        <v>0</v>
      </c>
      <c r="U321" s="12">
        <f t="shared" si="65"/>
        <v>-3.3951675158252283E-4</v>
      </c>
      <c r="V321" s="12">
        <f t="shared" si="53"/>
        <v>4.6477535896248263E-4</v>
      </c>
      <c r="W321" s="12">
        <f t="shared" si="54"/>
        <v>0</v>
      </c>
      <c r="X321" s="12">
        <f t="shared" si="55"/>
        <v>-3.6623282383819671E-2</v>
      </c>
      <c r="Y321" s="12">
        <f t="shared" si="56"/>
        <v>5.0134784622510413E-2</v>
      </c>
      <c r="Z321" s="12">
        <f t="shared" si="57"/>
        <v>0</v>
      </c>
    </row>
    <row r="322" spans="1:26" ht="13">
      <c r="A322" s="8" t="s">
        <v>82</v>
      </c>
      <c r="B322" s="9">
        <v>2017</v>
      </c>
      <c r="C322" s="10">
        <v>45.08</v>
      </c>
      <c r="D322" s="10">
        <v>263.08</v>
      </c>
      <c r="E322" s="10">
        <v>1056.69</v>
      </c>
      <c r="F322" s="10">
        <v>768.88</v>
      </c>
      <c r="G322" s="10">
        <v>208.24</v>
      </c>
      <c r="H322" s="10">
        <f t="shared" si="61"/>
        <v>4.2661518515364011E-2</v>
      </c>
      <c r="I322" s="10">
        <f t="shared" si="62"/>
        <v>0.24896611115842865</v>
      </c>
      <c r="J322" s="10">
        <f t="shared" si="63"/>
        <v>3.6922781406069918</v>
      </c>
      <c r="K322" s="4">
        <f t="shared" si="69"/>
        <v>-3.0876391122785223</v>
      </c>
      <c r="L322" s="10">
        <f t="shared" si="77"/>
        <v>0.24896611115842865</v>
      </c>
      <c r="M322" s="10">
        <v>96.48</v>
      </c>
      <c r="N322" s="10">
        <v>-5.3</v>
      </c>
      <c r="O322" s="10">
        <v>-40.380000000000003</v>
      </c>
      <c r="P322" s="11">
        <v>0.22</v>
      </c>
      <c r="Q322" s="11">
        <f>(8.3+5.83+4.78+2.4+0.05+0.05+0.44+0.23)%</f>
        <v>0.22080000000000002</v>
      </c>
      <c r="R322" s="12">
        <f t="shared" ref="R322:R385" si="79">M322/E322</f>
        <v>9.1303977514692103E-2</v>
      </c>
      <c r="S322" s="12">
        <f t="shared" ref="S322:S385" si="80">N322/E322</f>
        <v>-5.0156621147167089E-3</v>
      </c>
      <c r="T322" s="12">
        <f t="shared" ref="T322:T385" si="81">O322/E322</f>
        <v>-3.8213667206086932E-2</v>
      </c>
      <c r="U322" s="12">
        <f t="shared" si="65"/>
        <v>2.0086875053232263E-2</v>
      </c>
      <c r="V322" s="12">
        <f t="shared" si="53"/>
        <v>-1.1034456652376759E-3</v>
      </c>
      <c r="W322" s="12">
        <f t="shared" si="54"/>
        <v>-8.4070067853391252E-3</v>
      </c>
      <c r="X322" s="12">
        <f t="shared" si="55"/>
        <v>2.0159918235244018E-2</v>
      </c>
      <c r="Y322" s="12">
        <f t="shared" si="56"/>
        <v>-1.1074581949294495E-3</v>
      </c>
      <c r="Z322" s="12">
        <f t="shared" si="57"/>
        <v>-8.437577719103995E-3</v>
      </c>
    </row>
    <row r="323" spans="1:26" ht="13">
      <c r="A323" s="8" t="str">
        <f t="shared" ref="A323:A326" si="82">A322</f>
        <v>ELC</v>
      </c>
      <c r="B323" s="9">
        <v>2018</v>
      </c>
      <c r="C323" s="10">
        <v>8.98</v>
      </c>
      <c r="D323" s="10">
        <v>263.75</v>
      </c>
      <c r="E323" s="10">
        <v>1056.46</v>
      </c>
      <c r="F323" s="10">
        <v>776</v>
      </c>
      <c r="G323" s="10">
        <v>218.7</v>
      </c>
      <c r="H323" s="10">
        <f t="shared" ref="H323:H386" si="83">C323/E323</f>
        <v>8.5000851901633756E-3</v>
      </c>
      <c r="I323" s="10">
        <f t="shared" ref="I323:I386" si="84">D323/E323</f>
        <v>0.24965450655964258</v>
      </c>
      <c r="J323" s="10">
        <f t="shared" ref="J323:J386" si="85">F323/G323</f>
        <v>3.548239597622314</v>
      </c>
      <c r="K323" s="4">
        <f t="shared" si="69"/>
        <v>-2.9294126543562617</v>
      </c>
      <c r="L323" s="10">
        <f t="shared" si="77"/>
        <v>0.24965450655964258</v>
      </c>
      <c r="M323" s="10">
        <v>-22.04</v>
      </c>
      <c r="N323" s="10">
        <v>-25.55</v>
      </c>
      <c r="O323" s="10">
        <v>-0.39</v>
      </c>
      <c r="P323" s="11">
        <f>0.79%+21.78%</f>
        <v>0.22570000000000001</v>
      </c>
      <c r="Q323" s="11">
        <f>(8.3+5.87+5.83+4.78+2.4+0.05+0.05+0.44+0.23)%</f>
        <v>0.27950000000000003</v>
      </c>
      <c r="R323" s="12">
        <f t="shared" si="79"/>
        <v>-2.0862124453363117E-2</v>
      </c>
      <c r="S323" s="12">
        <f t="shared" si="80"/>
        <v>-2.4184540825019404E-2</v>
      </c>
      <c r="T323" s="12">
        <f t="shared" si="81"/>
        <v>-3.6915737462847625E-4</v>
      </c>
      <c r="U323" s="12">
        <f t="shared" si="65"/>
        <v>-4.7085814891240554E-3</v>
      </c>
      <c r="V323" s="12">
        <f t="shared" si="53"/>
        <v>-5.4584508642068798E-3</v>
      </c>
      <c r="W323" s="12">
        <f t="shared" si="54"/>
        <v>-8.3318819453647087E-5</v>
      </c>
      <c r="X323" s="12">
        <f t="shared" si="55"/>
        <v>-5.8309637847149915E-3</v>
      </c>
      <c r="Y323" s="12">
        <f t="shared" si="56"/>
        <v>-6.7595791605929243E-3</v>
      </c>
      <c r="Z323" s="12">
        <f t="shared" si="57"/>
        <v>-1.0317948620865912E-4</v>
      </c>
    </row>
    <row r="324" spans="1:26" ht="13">
      <c r="A324" s="8" t="str">
        <f t="shared" si="82"/>
        <v>ELC</v>
      </c>
      <c r="B324" s="9">
        <v>2019</v>
      </c>
      <c r="C324" s="10">
        <v>30.71</v>
      </c>
      <c r="D324" s="10">
        <v>589.77</v>
      </c>
      <c r="E324" s="10">
        <v>1413.36</v>
      </c>
      <c r="F324" s="10">
        <v>1111.58</v>
      </c>
      <c r="G324" s="10">
        <v>562.9</v>
      </c>
      <c r="H324" s="10">
        <f t="shared" si="83"/>
        <v>2.1728363615780837E-2</v>
      </c>
      <c r="I324" s="10">
        <f t="shared" si="84"/>
        <v>0.4172822210901681</v>
      </c>
      <c r="J324" s="10">
        <f t="shared" si="85"/>
        <v>1.9747379641144074</v>
      </c>
      <c r="K324" s="4">
        <f t="shared" si="69"/>
        <v>-2.0271679279135126</v>
      </c>
      <c r="L324" s="10">
        <f t="shared" si="77"/>
        <v>0.4172822210901681</v>
      </c>
      <c r="M324" s="10">
        <v>53.29</v>
      </c>
      <c r="N324" s="10">
        <v>-54.49</v>
      </c>
      <c r="O324" s="10">
        <v>-61.22</v>
      </c>
      <c r="P324" s="11">
        <f>0.53%+19.59%</f>
        <v>0.20119999999999999</v>
      </c>
      <c r="Q324" s="11">
        <f t="shared" ref="Q324:Q325" si="86">(8.3+5.87+5.83+4.78+2.4+0.44+0.23)%</f>
        <v>0.27850000000000003</v>
      </c>
      <c r="R324" s="12">
        <f t="shared" si="79"/>
        <v>3.7704477274013701E-2</v>
      </c>
      <c r="S324" s="12">
        <f t="shared" si="80"/>
        <v>-3.8553517858153627E-2</v>
      </c>
      <c r="T324" s="12">
        <f t="shared" si="81"/>
        <v>-4.331522046753835E-2</v>
      </c>
      <c r="U324" s="12">
        <f t="shared" si="65"/>
        <v>7.5861408275315562E-3</v>
      </c>
      <c r="V324" s="12">
        <f t="shared" si="53"/>
        <v>-7.7569677930605097E-3</v>
      </c>
      <c r="W324" s="12">
        <f t="shared" si="54"/>
        <v>-8.7150223580687164E-3</v>
      </c>
      <c r="X324" s="12">
        <f t="shared" si="55"/>
        <v>1.0500696920812817E-2</v>
      </c>
      <c r="Y324" s="12">
        <f t="shared" si="56"/>
        <v>-1.0737154723495786E-2</v>
      </c>
      <c r="Z324" s="12">
        <f t="shared" si="57"/>
        <v>-1.2063288900209431E-2</v>
      </c>
    </row>
    <row r="325" spans="1:26" ht="13">
      <c r="A325" s="8" t="str">
        <f t="shared" si="82"/>
        <v>ELC</v>
      </c>
      <c r="B325" s="9">
        <v>2020</v>
      </c>
      <c r="C325" s="10">
        <v>31.2</v>
      </c>
      <c r="D325" s="10">
        <v>644.87</v>
      </c>
      <c r="E325" s="10">
        <v>1498.16</v>
      </c>
      <c r="F325" s="10">
        <v>1205.82</v>
      </c>
      <c r="G325" s="10">
        <v>635.69000000000005</v>
      </c>
      <c r="H325" s="10">
        <f t="shared" si="83"/>
        <v>2.0825546003097131E-2</v>
      </c>
      <c r="I325" s="10">
        <f t="shared" si="84"/>
        <v>0.43044134137875795</v>
      </c>
      <c r="J325" s="10">
        <f t="shared" si="85"/>
        <v>1.896867970237065</v>
      </c>
      <c r="K325" s="4">
        <f t="shared" si="69"/>
        <v>-1.9477867830359645</v>
      </c>
      <c r="L325" s="10">
        <f t="shared" si="77"/>
        <v>0.43044134137875795</v>
      </c>
      <c r="M325" s="10">
        <v>264.69</v>
      </c>
      <c r="N325" s="10">
        <v>-2.71</v>
      </c>
      <c r="O325" s="10">
        <v>-0.02</v>
      </c>
      <c r="P325" s="11">
        <v>0.18</v>
      </c>
      <c r="Q325" s="11">
        <f t="shared" si="86"/>
        <v>0.27850000000000003</v>
      </c>
      <c r="R325" s="12">
        <f t="shared" si="79"/>
        <v>0.17667672344742882</v>
      </c>
      <c r="S325" s="12">
        <f t="shared" si="80"/>
        <v>-1.8088855662946547E-3</v>
      </c>
      <c r="T325" s="12">
        <f t="shared" si="81"/>
        <v>-1.3349708976344314E-5</v>
      </c>
      <c r="U325" s="12">
        <f t="shared" si="65"/>
        <v>3.1801810220537186E-2</v>
      </c>
      <c r="V325" s="12">
        <f t="shared" si="53"/>
        <v>-3.2559940193303783E-4</v>
      </c>
      <c r="W325" s="12">
        <f t="shared" si="54"/>
        <v>-2.4029476157419767E-6</v>
      </c>
      <c r="X325" s="12">
        <f t="shared" si="55"/>
        <v>4.9204467480108934E-2</v>
      </c>
      <c r="Y325" s="12">
        <f t="shared" si="56"/>
        <v>-5.0377463021306133E-4</v>
      </c>
      <c r="Z325" s="12">
        <f t="shared" si="57"/>
        <v>-3.7178939499118919E-6</v>
      </c>
    </row>
    <row r="326" spans="1:26" ht="13">
      <c r="A326" s="8" t="str">
        <f t="shared" si="82"/>
        <v>ELC</v>
      </c>
      <c r="B326" s="9">
        <v>2021</v>
      </c>
      <c r="C326" s="10">
        <v>50.31</v>
      </c>
      <c r="D326" s="10">
        <v>276.94</v>
      </c>
      <c r="E326" s="10">
        <v>1145.33</v>
      </c>
      <c r="F326" s="10">
        <v>878.35</v>
      </c>
      <c r="G326" s="10">
        <v>267.97000000000003</v>
      </c>
      <c r="H326" s="10">
        <f t="shared" si="83"/>
        <v>4.3926204674635261E-2</v>
      </c>
      <c r="I326" s="10">
        <f t="shared" si="84"/>
        <v>0.24179930675001965</v>
      </c>
      <c r="J326" s="10">
        <f t="shared" si="85"/>
        <v>3.2777922901817367</v>
      </c>
      <c r="K326" s="4">
        <f t="shared" si="69"/>
        <v>-3.1325230417214729</v>
      </c>
      <c r="L326" s="10">
        <f t="shared" si="77"/>
        <v>0.24179930675001965</v>
      </c>
      <c r="M326" s="10">
        <v>-97.38</v>
      </c>
      <c r="N326" s="10">
        <v>15.31</v>
      </c>
      <c r="O326" s="10">
        <v>-67.47</v>
      </c>
      <c r="P326" s="11">
        <v>0.04</v>
      </c>
      <c r="Q326" s="11">
        <f>(8.71+5.87+5.83+4.78+2.4+1.14+0.16)%</f>
        <v>0.28890000000000005</v>
      </c>
      <c r="R326" s="12">
        <f t="shared" si="79"/>
        <v>-8.502353033623497E-2</v>
      </c>
      <c r="S326" s="12">
        <f t="shared" si="80"/>
        <v>1.3367326447399441E-2</v>
      </c>
      <c r="T326" s="12">
        <f t="shared" si="81"/>
        <v>-5.8908786114045736E-2</v>
      </c>
      <c r="U326" s="12">
        <f t="shared" si="65"/>
        <v>-3.400941213449399E-3</v>
      </c>
      <c r="V326" s="12">
        <f t="shared" si="53"/>
        <v>5.3469305789597766E-4</v>
      </c>
      <c r="W326" s="12">
        <f t="shared" si="54"/>
        <v>-2.3563514445618296E-3</v>
      </c>
      <c r="X326" s="12">
        <f t="shared" si="55"/>
        <v>-2.4563297914138287E-2</v>
      </c>
      <c r="Y326" s="12">
        <f t="shared" si="56"/>
        <v>3.8618206106536992E-3</v>
      </c>
      <c r="Z326" s="12">
        <f t="shared" si="57"/>
        <v>-1.7018748308347816E-2</v>
      </c>
    </row>
    <row r="327" spans="1:26" ht="13">
      <c r="A327" s="8" t="s">
        <v>83</v>
      </c>
      <c r="B327" s="9">
        <v>2017</v>
      </c>
      <c r="C327" s="10">
        <v>1.2</v>
      </c>
      <c r="D327" s="10">
        <v>145.22</v>
      </c>
      <c r="E327" s="10">
        <v>266.16000000000003</v>
      </c>
      <c r="F327" s="10">
        <v>228.67</v>
      </c>
      <c r="G327" s="10">
        <v>144.44</v>
      </c>
      <c r="H327" s="10">
        <f t="shared" si="83"/>
        <v>4.5085662759242551E-3</v>
      </c>
      <c r="I327" s="10">
        <f t="shared" si="84"/>
        <v>0.54561166215810031</v>
      </c>
      <c r="J327" s="10">
        <f t="shared" si="85"/>
        <v>1.5831487122680696</v>
      </c>
      <c r="K327" s="4">
        <f t="shared" si="69"/>
        <v>-1.2166346687895593</v>
      </c>
      <c r="L327" s="10">
        <f t="shared" si="77"/>
        <v>0.54561166215810031</v>
      </c>
      <c r="M327" s="10">
        <v>0.13</v>
      </c>
      <c r="N327" s="10">
        <v>-13.66</v>
      </c>
      <c r="O327" s="10">
        <v>-8.89</v>
      </c>
      <c r="P327" s="11">
        <v>0</v>
      </c>
      <c r="Q327" s="11">
        <f t="shared" ref="Q327:Q329" si="87">4.56%+20.72%</f>
        <v>0.25279999999999997</v>
      </c>
      <c r="R327" s="12">
        <f t="shared" si="79"/>
        <v>4.8842801322512776E-4</v>
      </c>
      <c r="S327" s="12">
        <f t="shared" si="80"/>
        <v>-5.1322512774271113E-2</v>
      </c>
      <c r="T327" s="12">
        <f t="shared" si="81"/>
        <v>-3.3400961827472195E-2</v>
      </c>
      <c r="U327" s="12">
        <f t="shared" si="65"/>
        <v>0</v>
      </c>
      <c r="V327" s="12">
        <f t="shared" si="53"/>
        <v>0</v>
      </c>
      <c r="W327" s="12">
        <f t="shared" si="54"/>
        <v>0</v>
      </c>
      <c r="X327" s="12">
        <f t="shared" si="55"/>
        <v>1.2347460174331229E-4</v>
      </c>
      <c r="Y327" s="12">
        <f t="shared" si="56"/>
        <v>-1.2974331229335737E-2</v>
      </c>
      <c r="Z327" s="12">
        <f t="shared" si="57"/>
        <v>-8.4437631499849706E-3</v>
      </c>
    </row>
    <row r="328" spans="1:26" ht="13">
      <c r="A328" s="8" t="str">
        <f t="shared" ref="A328:A331" si="88">A327</f>
        <v>EMC</v>
      </c>
      <c r="B328" s="9">
        <v>2018</v>
      </c>
      <c r="C328" s="10">
        <v>0.63</v>
      </c>
      <c r="D328" s="10">
        <v>170.15</v>
      </c>
      <c r="E328" s="10">
        <v>291.60000000000002</v>
      </c>
      <c r="F328" s="10">
        <v>233.18</v>
      </c>
      <c r="G328" s="10">
        <v>169.35</v>
      </c>
      <c r="H328" s="10">
        <f t="shared" si="83"/>
        <v>2.1604938271604936E-3</v>
      </c>
      <c r="I328" s="10">
        <f t="shared" si="84"/>
        <v>0.58350480109739367</v>
      </c>
      <c r="J328" s="10">
        <f t="shared" si="85"/>
        <v>1.376911721287275</v>
      </c>
      <c r="K328" s="4">
        <f t="shared" si="69"/>
        <v>-0.98925250285222699</v>
      </c>
      <c r="L328" s="10">
        <f t="shared" si="77"/>
        <v>0.58350480109739367</v>
      </c>
      <c r="M328" s="10">
        <v>43.12</v>
      </c>
      <c r="N328" s="10">
        <v>-5.29</v>
      </c>
      <c r="O328" s="10">
        <v>-34.92</v>
      </c>
      <c r="P328" s="11">
        <v>0</v>
      </c>
      <c r="Q328" s="11">
        <f t="shared" si="87"/>
        <v>0.25279999999999997</v>
      </c>
      <c r="R328" s="12">
        <f t="shared" si="79"/>
        <v>0.14787379972565157</v>
      </c>
      <c r="S328" s="12">
        <f t="shared" si="80"/>
        <v>-1.8141289437585733E-2</v>
      </c>
      <c r="T328" s="12">
        <f t="shared" si="81"/>
        <v>-0.11975308641975309</v>
      </c>
      <c r="U328" s="12">
        <f t="shared" si="65"/>
        <v>0</v>
      </c>
      <c r="V328" s="12">
        <f t="shared" si="53"/>
        <v>0</v>
      </c>
      <c r="W328" s="12">
        <f t="shared" si="54"/>
        <v>0</v>
      </c>
      <c r="X328" s="12">
        <f t="shared" si="55"/>
        <v>3.7382496570644713E-2</v>
      </c>
      <c r="Y328" s="12">
        <f t="shared" si="56"/>
        <v>-4.5861179698216724E-3</v>
      </c>
      <c r="Z328" s="12">
        <f t="shared" si="57"/>
        <v>-3.0273580246913578E-2</v>
      </c>
    </row>
    <row r="329" spans="1:26" ht="13">
      <c r="A329" s="8" t="str">
        <f t="shared" si="88"/>
        <v>EMC</v>
      </c>
      <c r="B329" s="9">
        <v>2019</v>
      </c>
      <c r="C329" s="10">
        <v>1.25</v>
      </c>
      <c r="D329" s="10">
        <v>181.66</v>
      </c>
      <c r="E329" s="10">
        <v>342.38</v>
      </c>
      <c r="F329" s="10">
        <v>243.6</v>
      </c>
      <c r="G329" s="10">
        <v>181.65</v>
      </c>
      <c r="H329" s="10">
        <f t="shared" si="83"/>
        <v>3.6509141889129039E-3</v>
      </c>
      <c r="I329" s="10">
        <f t="shared" si="84"/>
        <v>0.5305800572463345</v>
      </c>
      <c r="J329" s="10">
        <f t="shared" si="85"/>
        <v>1.3410404624277457</v>
      </c>
      <c r="K329" s="4">
        <f t="shared" si="69"/>
        <v>-1.2974869493957126</v>
      </c>
      <c r="L329" s="10">
        <f t="shared" si="77"/>
        <v>0.5305800572463345</v>
      </c>
      <c r="M329" s="10">
        <v>-35.99</v>
      </c>
      <c r="N329" s="10">
        <v>-35.28</v>
      </c>
      <c r="O329" s="10">
        <v>74.63</v>
      </c>
      <c r="P329" s="11">
        <v>0</v>
      </c>
      <c r="Q329" s="11">
        <f t="shared" si="87"/>
        <v>0.25279999999999997</v>
      </c>
      <c r="R329" s="12">
        <f t="shared" si="79"/>
        <v>-0.10511712132718033</v>
      </c>
      <c r="S329" s="12">
        <f t="shared" si="80"/>
        <v>-0.10304340206787781</v>
      </c>
      <c r="T329" s="12">
        <f t="shared" si="81"/>
        <v>0.217974180734856</v>
      </c>
      <c r="U329" s="12">
        <f t="shared" si="65"/>
        <v>0</v>
      </c>
      <c r="V329" s="12">
        <f t="shared" si="53"/>
        <v>0</v>
      </c>
      <c r="W329" s="12">
        <f t="shared" si="54"/>
        <v>0</v>
      </c>
      <c r="X329" s="12">
        <f t="shared" si="55"/>
        <v>-2.6573608271511184E-2</v>
      </c>
      <c r="Y329" s="12">
        <f t="shared" si="56"/>
        <v>-2.6049372042759505E-2</v>
      </c>
      <c r="Z329" s="12">
        <f t="shared" si="57"/>
        <v>5.5103872889771588E-2</v>
      </c>
    </row>
    <row r="330" spans="1:26" ht="13">
      <c r="A330" s="8" t="str">
        <f t="shared" si="88"/>
        <v>EMC</v>
      </c>
      <c r="B330" s="9">
        <v>2020</v>
      </c>
      <c r="C330" s="10">
        <v>2.11</v>
      </c>
      <c r="D330" s="10">
        <v>296.93</v>
      </c>
      <c r="E330" s="10">
        <v>458.21</v>
      </c>
      <c r="F330" s="10">
        <v>355.39</v>
      </c>
      <c r="G330" s="10">
        <v>296.92</v>
      </c>
      <c r="H330" s="10">
        <f t="shared" si="83"/>
        <v>4.6048754937692326E-3</v>
      </c>
      <c r="I330" s="10">
        <f t="shared" si="84"/>
        <v>0.64802164946203711</v>
      </c>
      <c r="J330" s="10">
        <f t="shared" si="85"/>
        <v>1.1969217297588575</v>
      </c>
      <c r="K330" s="4">
        <f t="shared" si="69"/>
        <v>-0.63178622470738521</v>
      </c>
      <c r="L330" s="10">
        <f t="shared" si="77"/>
        <v>0.64802164946203711</v>
      </c>
      <c r="M330" s="10">
        <v>11.61</v>
      </c>
      <c r="N330" s="10">
        <v>-3.6</v>
      </c>
      <c r="O330" s="10">
        <v>4.51</v>
      </c>
      <c r="P330" s="11">
        <v>0</v>
      </c>
      <c r="Q330" s="11">
        <f t="shared" ref="Q330:Q331" si="89">13.33%+20.72%</f>
        <v>0.34050000000000002</v>
      </c>
      <c r="R330" s="12">
        <f t="shared" si="79"/>
        <v>2.5337727242967199E-2</v>
      </c>
      <c r="S330" s="12">
        <f t="shared" si="80"/>
        <v>-7.8566596102223885E-3</v>
      </c>
      <c r="T330" s="12">
        <f t="shared" si="81"/>
        <v>9.8426485672508234E-3</v>
      </c>
      <c r="U330" s="12">
        <f t="shared" si="65"/>
        <v>0</v>
      </c>
      <c r="V330" s="12">
        <f t="shared" si="53"/>
        <v>0</v>
      </c>
      <c r="W330" s="12">
        <f t="shared" si="54"/>
        <v>0</v>
      </c>
      <c r="X330" s="12">
        <f t="shared" si="55"/>
        <v>8.6274961262303319E-3</v>
      </c>
      <c r="Y330" s="12">
        <f t="shared" si="56"/>
        <v>-2.6751925972807234E-3</v>
      </c>
      <c r="Z330" s="12">
        <f t="shared" si="57"/>
        <v>3.3514218371489056E-3</v>
      </c>
    </row>
    <row r="331" spans="1:26" ht="13">
      <c r="A331" s="8" t="str">
        <f t="shared" si="88"/>
        <v>EMC</v>
      </c>
      <c r="B331" s="9">
        <v>2021</v>
      </c>
      <c r="C331" s="10">
        <v>2.69</v>
      </c>
      <c r="D331" s="10">
        <v>578.45000000000005</v>
      </c>
      <c r="E331" s="10">
        <v>741.97</v>
      </c>
      <c r="F331" s="10">
        <v>654.72</v>
      </c>
      <c r="G331" s="10">
        <v>578.44000000000005</v>
      </c>
      <c r="H331" s="10">
        <f t="shared" si="83"/>
        <v>3.6254835101149638E-3</v>
      </c>
      <c r="I331" s="10">
        <f t="shared" si="84"/>
        <v>0.77961373101338327</v>
      </c>
      <c r="J331" s="10">
        <f t="shared" si="85"/>
        <v>1.1318719314017012</v>
      </c>
      <c r="K331" s="4">
        <f t="shared" si="69"/>
        <v>0.12295610325516042</v>
      </c>
      <c r="L331" s="10">
        <f t="shared" si="77"/>
        <v>0.77961373101338327</v>
      </c>
      <c r="M331" s="10">
        <v>-130.33000000000001</v>
      </c>
      <c r="N331" s="10">
        <v>3.44</v>
      </c>
      <c r="O331" s="10">
        <v>109.98</v>
      </c>
      <c r="P331" s="11">
        <v>1.8E-3</v>
      </c>
      <c r="Q331" s="11">
        <f t="shared" si="89"/>
        <v>0.34050000000000002</v>
      </c>
      <c r="R331" s="12">
        <f t="shared" si="79"/>
        <v>-0.17565400218337671</v>
      </c>
      <c r="S331" s="12">
        <f t="shared" si="80"/>
        <v>4.6363060501098423E-3</v>
      </c>
      <c r="T331" s="12">
        <f t="shared" si="81"/>
        <v>0.14822701726484899</v>
      </c>
      <c r="U331" s="12">
        <f t="shared" si="65"/>
        <v>-3.1617720393007807E-4</v>
      </c>
      <c r="V331" s="12">
        <f t="shared" si="53"/>
        <v>8.3453508901977154E-6</v>
      </c>
      <c r="W331" s="12">
        <f t="shared" si="54"/>
        <v>2.668086310767282E-4</v>
      </c>
      <c r="X331" s="12">
        <f t="shared" si="55"/>
        <v>-5.9810187743439776E-2</v>
      </c>
      <c r="Y331" s="12">
        <f t="shared" si="56"/>
        <v>1.5786622100624015E-3</v>
      </c>
      <c r="Z331" s="12">
        <f t="shared" si="57"/>
        <v>5.0471299378681084E-2</v>
      </c>
    </row>
    <row r="332" spans="1:26" ht="13">
      <c r="A332" s="8" t="s">
        <v>84</v>
      </c>
      <c r="B332" s="9">
        <v>2017</v>
      </c>
      <c r="C332" s="10">
        <v>50.92</v>
      </c>
      <c r="D332" s="10">
        <v>359.93</v>
      </c>
      <c r="E332" s="10">
        <v>1276.45</v>
      </c>
      <c r="F332" s="10">
        <v>967.78</v>
      </c>
      <c r="G332" s="10">
        <v>164.72</v>
      </c>
      <c r="H332" s="10">
        <f t="shared" si="83"/>
        <v>3.9891887657174191E-2</v>
      </c>
      <c r="I332" s="10">
        <f t="shared" si="84"/>
        <v>0.28197735908182853</v>
      </c>
      <c r="J332" s="10">
        <f t="shared" si="85"/>
        <v>5.875303545410393</v>
      </c>
      <c r="K332" s="4">
        <f t="shared" si="69"/>
        <v>-2.8957437618725033</v>
      </c>
      <c r="L332" s="10">
        <f t="shared" si="77"/>
        <v>0.28197735908182853</v>
      </c>
      <c r="M332" s="10">
        <v>106.01</v>
      </c>
      <c r="N332" s="10">
        <v>-142.63999999999999</v>
      </c>
      <c r="O332" s="10">
        <v>88.44</v>
      </c>
      <c r="P332" s="11">
        <v>0.47799999999999998</v>
      </c>
      <c r="Q332" s="11">
        <v>0.18110000000000001</v>
      </c>
      <c r="R332" s="12">
        <f t="shared" si="79"/>
        <v>8.3050648282345568E-2</v>
      </c>
      <c r="S332" s="12">
        <f t="shared" si="80"/>
        <v>-0.11174742449763013</v>
      </c>
      <c r="T332" s="12">
        <f t="shared" si="81"/>
        <v>6.9285910141407808E-2</v>
      </c>
      <c r="U332" s="12">
        <f t="shared" si="65"/>
        <v>3.969820987896118E-2</v>
      </c>
      <c r="V332" s="12">
        <f t="shared" si="53"/>
        <v>-5.3415268909867197E-2</v>
      </c>
      <c r="W332" s="12">
        <f t="shared" si="54"/>
        <v>3.3118665047592928E-2</v>
      </c>
      <c r="X332" s="12">
        <f t="shared" si="55"/>
        <v>1.5040472403932784E-2</v>
      </c>
      <c r="Y332" s="12">
        <f t="shared" si="56"/>
        <v>-2.0237458576520817E-2</v>
      </c>
      <c r="Z332" s="12">
        <f t="shared" si="57"/>
        <v>1.2547678326608955E-2</v>
      </c>
    </row>
    <row r="333" spans="1:26" ht="13">
      <c r="A333" s="8" t="str">
        <f t="shared" ref="A333:A336" si="90">A332</f>
        <v>EVE</v>
      </c>
      <c r="B333" s="9">
        <v>2018</v>
      </c>
      <c r="C333" s="10">
        <v>76.209999999999994</v>
      </c>
      <c r="D333" s="10">
        <v>581.13</v>
      </c>
      <c r="E333" s="10">
        <v>1490.11</v>
      </c>
      <c r="F333" s="10">
        <v>1176.27</v>
      </c>
      <c r="G333" s="10">
        <v>215.55</v>
      </c>
      <c r="H333" s="10">
        <f t="shared" si="83"/>
        <v>5.114387528437498E-2</v>
      </c>
      <c r="I333" s="10">
        <f t="shared" si="84"/>
        <v>0.38999134292099241</v>
      </c>
      <c r="J333" s="10">
        <f t="shared" si="85"/>
        <v>5.4570633263743904</v>
      </c>
      <c r="K333" s="4">
        <f t="shared" si="69"/>
        <v>-2.3290250374355286</v>
      </c>
      <c r="L333" s="10">
        <f t="shared" si="77"/>
        <v>0.38999134292099241</v>
      </c>
      <c r="M333" s="10">
        <v>83.01</v>
      </c>
      <c r="N333" s="10">
        <v>-266.27999999999997</v>
      </c>
      <c r="O333" s="10">
        <v>112.91</v>
      </c>
      <c r="P333" s="11">
        <v>0.49659999999999999</v>
      </c>
      <c r="Q333" s="11">
        <v>0.1983</v>
      </c>
      <c r="R333" s="12">
        <f t="shared" si="79"/>
        <v>5.570729677674803E-2</v>
      </c>
      <c r="S333" s="12">
        <f t="shared" si="80"/>
        <v>-0.178698216910161</v>
      </c>
      <c r="T333" s="12">
        <f t="shared" si="81"/>
        <v>7.577292951527069E-2</v>
      </c>
      <c r="U333" s="12">
        <f t="shared" si="65"/>
        <v>2.7664243579333073E-2</v>
      </c>
      <c r="V333" s="12">
        <f t="shared" si="53"/>
        <v>-8.8741534517585943E-2</v>
      </c>
      <c r="W333" s="12">
        <f t="shared" si="54"/>
        <v>3.7628836797283426E-2</v>
      </c>
      <c r="X333" s="12">
        <f t="shared" si="55"/>
        <v>1.1046756950829136E-2</v>
      </c>
      <c r="Y333" s="12">
        <f t="shared" si="56"/>
        <v>-3.5435856413284929E-2</v>
      </c>
      <c r="Z333" s="12">
        <f t="shared" si="57"/>
        <v>1.5025771922878179E-2</v>
      </c>
    </row>
    <row r="334" spans="1:26" ht="13">
      <c r="A334" s="8" t="str">
        <f t="shared" si="90"/>
        <v>EVE</v>
      </c>
      <c r="B334" s="9">
        <v>2019</v>
      </c>
      <c r="C334" s="10">
        <v>71.89</v>
      </c>
      <c r="D334" s="10">
        <v>599.11</v>
      </c>
      <c r="E334" s="10">
        <v>1537.63</v>
      </c>
      <c r="F334" s="10">
        <v>1233.24</v>
      </c>
      <c r="G334" s="10">
        <v>241.89</v>
      </c>
      <c r="H334" s="10">
        <f t="shared" si="83"/>
        <v>4.6753770412908173E-2</v>
      </c>
      <c r="I334" s="10">
        <f t="shared" si="84"/>
        <v>0.38963209614796795</v>
      </c>
      <c r="J334" s="10">
        <f t="shared" si="85"/>
        <v>5.0983504898921002</v>
      </c>
      <c r="K334" s="4">
        <f t="shared" si="69"/>
        <v>-2.3098824207742377</v>
      </c>
      <c r="L334" s="10">
        <f t="shared" si="77"/>
        <v>0.38963209614796795</v>
      </c>
      <c r="M334" s="10">
        <v>51.3</v>
      </c>
      <c r="N334" s="10">
        <v>-57.06</v>
      </c>
      <c r="O334" s="10">
        <v>8.34</v>
      </c>
      <c r="P334" s="11">
        <v>0.46779999999999999</v>
      </c>
      <c r="Q334" s="11">
        <v>0.17979999999999999</v>
      </c>
      <c r="R334" s="12">
        <f t="shared" si="79"/>
        <v>3.3363032719184713E-2</v>
      </c>
      <c r="S334" s="12">
        <f t="shared" si="80"/>
        <v>-3.7109057445549321E-2</v>
      </c>
      <c r="T334" s="12">
        <f t="shared" si="81"/>
        <v>5.4239316350487435E-3</v>
      </c>
      <c r="U334" s="12">
        <f t="shared" si="65"/>
        <v>1.5607226706034608E-2</v>
      </c>
      <c r="V334" s="12">
        <f t="shared" si="53"/>
        <v>-1.7359617073027973E-2</v>
      </c>
      <c r="W334" s="12">
        <f t="shared" si="54"/>
        <v>2.5373152188758021E-3</v>
      </c>
      <c r="X334" s="12">
        <f t="shared" si="55"/>
        <v>5.9986732829094107E-3</v>
      </c>
      <c r="Y334" s="12">
        <f t="shared" si="56"/>
        <v>-6.6722085287097676E-3</v>
      </c>
      <c r="Z334" s="12">
        <f t="shared" si="57"/>
        <v>9.7522290798176398E-4</v>
      </c>
    </row>
    <row r="335" spans="1:26" ht="13">
      <c r="A335" s="8" t="str">
        <f t="shared" si="90"/>
        <v>EVE</v>
      </c>
      <c r="B335" s="9">
        <v>2020</v>
      </c>
      <c r="C335" s="10">
        <v>42.06</v>
      </c>
      <c r="D335" s="10">
        <v>408.71</v>
      </c>
      <c r="E335" s="10">
        <v>1353.03</v>
      </c>
      <c r="F335" s="10">
        <v>1087.29</v>
      </c>
      <c r="G335" s="10">
        <v>153.16999999999999</v>
      </c>
      <c r="H335" s="10">
        <f t="shared" si="83"/>
        <v>3.1085785237577882E-2</v>
      </c>
      <c r="I335" s="10">
        <f t="shared" si="84"/>
        <v>0.30207016843676782</v>
      </c>
      <c r="J335" s="10">
        <f t="shared" si="85"/>
        <v>7.0985832734869758</v>
      </c>
      <c r="K335" s="4">
        <f t="shared" si="69"/>
        <v>-2.7464804065734714</v>
      </c>
      <c r="L335" s="10">
        <f t="shared" si="77"/>
        <v>0.30207016843676782</v>
      </c>
      <c r="M335" s="10">
        <v>157.30000000000001</v>
      </c>
      <c r="N335" s="10">
        <v>31.38</v>
      </c>
      <c r="O335" s="10">
        <v>-206.78</v>
      </c>
      <c r="P335" s="11">
        <v>0.47510000000000002</v>
      </c>
      <c r="Q335" s="11">
        <v>0.17979999999999999</v>
      </c>
      <c r="R335" s="12">
        <f t="shared" si="79"/>
        <v>0.11625758482812651</v>
      </c>
      <c r="S335" s="12">
        <f t="shared" si="80"/>
        <v>2.3192390412629431E-2</v>
      </c>
      <c r="T335" s="12">
        <f t="shared" si="81"/>
        <v>-0.15282735785607118</v>
      </c>
      <c r="U335" s="12">
        <f t="shared" si="65"/>
        <v>5.5233978551842908E-2</v>
      </c>
      <c r="V335" s="12">
        <f t="shared" si="53"/>
        <v>1.1018704685040244E-2</v>
      </c>
      <c r="W335" s="12">
        <f t="shared" si="54"/>
        <v>-7.2608277717419428E-2</v>
      </c>
      <c r="X335" s="12">
        <f t="shared" si="55"/>
        <v>2.0903113752097146E-2</v>
      </c>
      <c r="Y335" s="12">
        <f t="shared" si="56"/>
        <v>4.1699917961907718E-3</v>
      </c>
      <c r="Z335" s="12">
        <f t="shared" si="57"/>
        <v>-2.7478358942521597E-2</v>
      </c>
    </row>
    <row r="336" spans="1:26" ht="13">
      <c r="A336" s="8" t="str">
        <f t="shared" si="90"/>
        <v>EVE</v>
      </c>
      <c r="B336" s="9">
        <v>2021</v>
      </c>
      <c r="C336" s="10">
        <v>59.72</v>
      </c>
      <c r="D336" s="10">
        <v>304.70999999999998</v>
      </c>
      <c r="E336" s="10">
        <v>1268.74</v>
      </c>
      <c r="F336" s="10">
        <v>965.61</v>
      </c>
      <c r="G336" s="10">
        <v>271.92</v>
      </c>
      <c r="H336" s="10">
        <f t="shared" si="83"/>
        <v>4.7070321736525998E-2</v>
      </c>
      <c r="I336" s="10">
        <f t="shared" si="84"/>
        <v>0.24016741018648421</v>
      </c>
      <c r="J336" s="10">
        <f t="shared" si="85"/>
        <v>3.5510812003530448</v>
      </c>
      <c r="K336" s="4">
        <f t="shared" si="69"/>
        <v>-3.1570665345528188</v>
      </c>
      <c r="L336" s="10">
        <f t="shared" si="77"/>
        <v>0.24016741018648421</v>
      </c>
      <c r="M336" s="10">
        <v>-52.57</v>
      </c>
      <c r="N336" s="10">
        <v>215.35</v>
      </c>
      <c r="O336" s="10">
        <v>-162.59</v>
      </c>
      <c r="P336" s="11">
        <v>0.49309999999999998</v>
      </c>
      <c r="Q336" s="11">
        <v>0.19409999999999999</v>
      </c>
      <c r="R336" s="12">
        <f t="shared" si="79"/>
        <v>-4.1434809338398729E-2</v>
      </c>
      <c r="S336" s="12">
        <f t="shared" si="80"/>
        <v>0.16973532796317606</v>
      </c>
      <c r="T336" s="12">
        <f t="shared" si="81"/>
        <v>-0.12815076374986206</v>
      </c>
      <c r="U336" s="12">
        <f t="shared" si="65"/>
        <v>-2.0431504484764412E-2</v>
      </c>
      <c r="V336" s="12">
        <f t="shared" si="53"/>
        <v>8.3696490218642117E-2</v>
      </c>
      <c r="W336" s="12">
        <f t="shared" si="54"/>
        <v>-6.3191141605056983E-2</v>
      </c>
      <c r="X336" s="12">
        <f t="shared" si="55"/>
        <v>-8.0424964925831927E-3</v>
      </c>
      <c r="Y336" s="12">
        <f t="shared" si="56"/>
        <v>3.2945627157652473E-2</v>
      </c>
      <c r="Z336" s="12">
        <f t="shared" si="57"/>
        <v>-2.4874063243848225E-2</v>
      </c>
    </row>
    <row r="337" spans="1:26" ht="13">
      <c r="A337" s="8" t="s">
        <v>85</v>
      </c>
      <c r="B337" s="9">
        <v>2017</v>
      </c>
      <c r="C337" s="10">
        <v>26.43</v>
      </c>
      <c r="D337" s="10">
        <v>41.14</v>
      </c>
      <c r="E337" s="10">
        <v>392</v>
      </c>
      <c r="F337" s="10">
        <v>214.74</v>
      </c>
      <c r="G337" s="10">
        <v>40.03</v>
      </c>
      <c r="H337" s="10">
        <f t="shared" si="83"/>
        <v>6.7423469387755106E-2</v>
      </c>
      <c r="I337" s="10">
        <f t="shared" si="84"/>
        <v>0.10494897959183673</v>
      </c>
      <c r="J337" s="10">
        <f t="shared" si="85"/>
        <v>5.3644766425181114</v>
      </c>
      <c r="K337" s="4">
        <f t="shared" si="69"/>
        <v>-4.026654335141501</v>
      </c>
      <c r="L337" s="10">
        <f t="shared" si="77"/>
        <v>0.10494897959183673</v>
      </c>
      <c r="M337" s="10">
        <v>-67.25</v>
      </c>
      <c r="N337" s="10">
        <v>85.28</v>
      </c>
      <c r="O337" s="10">
        <v>-3.92</v>
      </c>
      <c r="P337" s="11">
        <v>4.5999999999999999E-3</v>
      </c>
      <c r="Q337" s="11">
        <f>40.5103%-0.0003%-0.0036%-0.0003%</f>
        <v>0.40506100000000006</v>
      </c>
      <c r="R337" s="12">
        <f t="shared" si="79"/>
        <v>-0.17155612244897958</v>
      </c>
      <c r="S337" s="12">
        <f t="shared" si="80"/>
        <v>0.21755102040816326</v>
      </c>
      <c r="T337" s="12">
        <f t="shared" si="81"/>
        <v>-0.01</v>
      </c>
      <c r="U337" s="12">
        <f t="shared" si="65"/>
        <v>-7.891581632653061E-4</v>
      </c>
      <c r="V337" s="12">
        <f t="shared" si="53"/>
        <v>1.000734693877551E-3</v>
      </c>
      <c r="W337" s="12">
        <f t="shared" si="54"/>
        <v>-4.6E-5</v>
      </c>
      <c r="X337" s="12">
        <f t="shared" si="55"/>
        <v>-6.9490694515306123E-2</v>
      </c>
      <c r="Y337" s="12">
        <f t="shared" si="56"/>
        <v>8.8121433877551031E-2</v>
      </c>
      <c r="Z337" s="12">
        <f t="shared" si="57"/>
        <v>-4.0506100000000005E-3</v>
      </c>
    </row>
    <row r="338" spans="1:26" ht="13">
      <c r="A338" s="8" t="str">
        <f t="shared" ref="A338:A341" si="91">A337</f>
        <v>EVG</v>
      </c>
      <c r="B338" s="9">
        <v>2018</v>
      </c>
      <c r="C338" s="10">
        <v>27.11</v>
      </c>
      <c r="D338" s="10">
        <v>91.97</v>
      </c>
      <c r="E338" s="10">
        <v>760.46</v>
      </c>
      <c r="F338" s="10">
        <v>343.3</v>
      </c>
      <c r="G338" s="10">
        <v>91.03</v>
      </c>
      <c r="H338" s="10">
        <f t="shared" si="83"/>
        <v>3.5649475317570942E-2</v>
      </c>
      <c r="I338" s="10">
        <f t="shared" si="84"/>
        <v>0.12093995739420876</v>
      </c>
      <c r="J338" s="10">
        <f t="shared" si="85"/>
        <v>3.7712841920246074</v>
      </c>
      <c r="K338" s="4">
        <f t="shared" si="69"/>
        <v>-3.786150018550178</v>
      </c>
      <c r="L338" s="10">
        <f t="shared" si="77"/>
        <v>0.12093995739420876</v>
      </c>
      <c r="M338" s="10">
        <v>-373.31</v>
      </c>
      <c r="N338" s="10">
        <v>62.75</v>
      </c>
      <c r="O338" s="10">
        <v>298.01</v>
      </c>
      <c r="P338" s="11">
        <v>7.9690000000000004E-3</v>
      </c>
      <c r="Q338" s="11">
        <f t="shared" ref="Q338:Q339" si="92">(25.33+7.5+1.57+2.5)%</f>
        <v>0.36899999999999999</v>
      </c>
      <c r="R338" s="12">
        <f t="shared" si="79"/>
        <v>-0.49090024458880149</v>
      </c>
      <c r="S338" s="12">
        <f t="shared" si="80"/>
        <v>8.2515845672356203E-2</v>
      </c>
      <c r="T338" s="12">
        <f t="shared" si="81"/>
        <v>0.39188122978197404</v>
      </c>
      <c r="U338" s="12">
        <f t="shared" si="65"/>
        <v>-3.9119840491281593E-3</v>
      </c>
      <c r="V338" s="12">
        <f t="shared" si="53"/>
        <v>6.5756877416300657E-4</v>
      </c>
      <c r="W338" s="12">
        <f t="shared" si="54"/>
        <v>3.1229015201325512E-3</v>
      </c>
      <c r="X338" s="12">
        <f t="shared" si="55"/>
        <v>-0.18114219025326775</v>
      </c>
      <c r="Y338" s="12">
        <f t="shared" si="56"/>
        <v>3.0448347053099439E-2</v>
      </c>
      <c r="Z338" s="12">
        <f t="shared" si="57"/>
        <v>0.14460417378954843</v>
      </c>
    </row>
    <row r="339" spans="1:26" ht="13">
      <c r="A339" s="8" t="str">
        <f t="shared" si="91"/>
        <v>EVG</v>
      </c>
      <c r="B339" s="9">
        <v>2019</v>
      </c>
      <c r="C339" s="10">
        <v>18.25</v>
      </c>
      <c r="D339" s="10">
        <v>124.13</v>
      </c>
      <c r="E339" s="10">
        <v>848.99</v>
      </c>
      <c r="F339" s="10">
        <v>397.88</v>
      </c>
      <c r="G339" s="10">
        <v>121.73</v>
      </c>
      <c r="H339" s="10">
        <f t="shared" si="83"/>
        <v>2.1496130696474634E-2</v>
      </c>
      <c r="I339" s="10">
        <f t="shared" si="84"/>
        <v>0.14620902484128198</v>
      </c>
      <c r="J339" s="10">
        <f t="shared" si="85"/>
        <v>3.2685451408855664</v>
      </c>
      <c r="K339" s="4">
        <f t="shared" si="69"/>
        <v>-3.5764153271023704</v>
      </c>
      <c r="L339" s="10">
        <f t="shared" si="77"/>
        <v>0.14620902484128198</v>
      </c>
      <c r="M339" s="10">
        <v>8.74</v>
      </c>
      <c r="N339" s="10">
        <v>-31.66</v>
      </c>
      <c r="O339" s="10">
        <v>28.62</v>
      </c>
      <c r="P339" s="11">
        <v>7.9690000000000004E-3</v>
      </c>
      <c r="Q339" s="11">
        <f t="shared" si="92"/>
        <v>0.36899999999999999</v>
      </c>
      <c r="R339" s="12">
        <f t="shared" si="79"/>
        <v>1.0294585330804839E-2</v>
      </c>
      <c r="S339" s="12">
        <f t="shared" si="80"/>
        <v>-3.7291369745226684E-2</v>
      </c>
      <c r="T339" s="12">
        <f t="shared" si="81"/>
        <v>3.3710644412772828E-2</v>
      </c>
      <c r="U339" s="12">
        <f t="shared" si="65"/>
        <v>8.2037550501183769E-5</v>
      </c>
      <c r="V339" s="12">
        <f t="shared" si="53"/>
        <v>-2.9717492549971147E-4</v>
      </c>
      <c r="W339" s="12">
        <f t="shared" si="54"/>
        <v>2.6864012532538668E-4</v>
      </c>
      <c r="X339" s="12">
        <f t="shared" si="55"/>
        <v>3.7987019870669853E-3</v>
      </c>
      <c r="Y339" s="12">
        <f t="shared" si="56"/>
        <v>-1.3760515435988645E-2</v>
      </c>
      <c r="Z339" s="12">
        <f t="shared" si="57"/>
        <v>1.2439227788313174E-2</v>
      </c>
    </row>
    <row r="340" spans="1:26" ht="13">
      <c r="A340" s="8" t="str">
        <f t="shared" si="91"/>
        <v>EVG</v>
      </c>
      <c r="B340" s="9">
        <v>2020</v>
      </c>
      <c r="C340" s="10">
        <v>19.38</v>
      </c>
      <c r="D340" s="10">
        <v>285.95</v>
      </c>
      <c r="E340" s="10">
        <v>1028.9100000000001</v>
      </c>
      <c r="F340" s="10">
        <v>523.27</v>
      </c>
      <c r="G340" s="10">
        <v>239.92</v>
      </c>
      <c r="H340" s="10">
        <f t="shared" si="83"/>
        <v>1.8835466658891447E-2</v>
      </c>
      <c r="I340" s="10">
        <f t="shared" si="84"/>
        <v>0.27791546393756494</v>
      </c>
      <c r="J340" s="10">
        <f t="shared" si="85"/>
        <v>2.1810186728909637</v>
      </c>
      <c r="K340" s="4">
        <f t="shared" si="69"/>
        <v>-2.8093655302124558</v>
      </c>
      <c r="L340" s="10">
        <f t="shared" si="77"/>
        <v>0.27791546393756494</v>
      </c>
      <c r="M340" s="10">
        <v>52.76</v>
      </c>
      <c r="N340" s="10">
        <v>-38.520000000000003</v>
      </c>
      <c r="O340" s="10">
        <v>-9.43</v>
      </c>
      <c r="P340" s="11">
        <v>1.4E-2</v>
      </c>
      <c r="Q340" s="11">
        <f>(25.33+7.5+0.78+2.5)%</f>
        <v>0.36109999999999998</v>
      </c>
      <c r="R340" s="12">
        <f t="shared" si="79"/>
        <v>5.1277565579107981E-2</v>
      </c>
      <c r="S340" s="12">
        <f t="shared" si="80"/>
        <v>-3.7437676764731607E-2</v>
      </c>
      <c r="T340" s="12">
        <f t="shared" si="81"/>
        <v>-9.1650387303068293E-3</v>
      </c>
      <c r="U340" s="12">
        <f t="shared" si="65"/>
        <v>7.178859181075117E-4</v>
      </c>
      <c r="V340" s="12">
        <f t="shared" si="53"/>
        <v>-5.2412747470624251E-4</v>
      </c>
      <c r="W340" s="12">
        <f t="shared" si="54"/>
        <v>-1.2831054222429562E-4</v>
      </c>
      <c r="X340" s="12">
        <f t="shared" si="55"/>
        <v>1.8516328930615892E-2</v>
      </c>
      <c r="Y340" s="12">
        <f t="shared" si="56"/>
        <v>-1.3518745079744583E-2</v>
      </c>
      <c r="Z340" s="12">
        <f t="shared" si="57"/>
        <v>-3.3094954855137958E-3</v>
      </c>
    </row>
    <row r="341" spans="1:26" ht="13">
      <c r="A341" s="8" t="str">
        <f t="shared" si="91"/>
        <v>EVG</v>
      </c>
      <c r="B341" s="9">
        <v>2021</v>
      </c>
      <c r="C341" s="10">
        <v>23.84</v>
      </c>
      <c r="D341" s="10">
        <v>464.39</v>
      </c>
      <c r="E341" s="10">
        <v>2030.46</v>
      </c>
      <c r="F341" s="10">
        <v>1381.44</v>
      </c>
      <c r="G341" s="10">
        <v>349.04</v>
      </c>
      <c r="H341" s="10">
        <f t="shared" si="83"/>
        <v>1.1741181801168208E-2</v>
      </c>
      <c r="I341" s="10">
        <f t="shared" si="84"/>
        <v>0.22871172049683322</v>
      </c>
      <c r="J341" s="10">
        <f t="shared" si="85"/>
        <v>3.9578271831308731</v>
      </c>
      <c r="K341" s="4">
        <f t="shared" si="69"/>
        <v>-3.0650098200058307</v>
      </c>
      <c r="L341" s="10">
        <f t="shared" si="77"/>
        <v>0.22871172049683322</v>
      </c>
      <c r="M341" s="10">
        <v>-340.03</v>
      </c>
      <c r="N341" s="10">
        <v>-65.48</v>
      </c>
      <c r="O341" s="10">
        <v>449.4</v>
      </c>
      <c r="P341" s="11">
        <v>8.2000000000000007E-3</v>
      </c>
      <c r="Q341" s="11">
        <f>(25.33+7.5+0.78+1.43)%</f>
        <v>0.35039999999999999</v>
      </c>
      <c r="R341" s="12">
        <f t="shared" si="79"/>
        <v>-0.16746451543000107</v>
      </c>
      <c r="S341" s="12">
        <f t="shared" si="80"/>
        <v>-3.224885001428248E-2</v>
      </c>
      <c r="T341" s="12">
        <f t="shared" si="81"/>
        <v>0.22132915693980673</v>
      </c>
      <c r="U341" s="12">
        <f t="shared" si="65"/>
        <v>-1.3732090265260088E-3</v>
      </c>
      <c r="V341" s="12">
        <f t="shared" si="53"/>
        <v>-2.6444057011711634E-4</v>
      </c>
      <c r="W341" s="12">
        <f t="shared" si="54"/>
        <v>1.8148990869064153E-3</v>
      </c>
      <c r="X341" s="12">
        <f t="shared" si="55"/>
        <v>-5.8679566206672376E-2</v>
      </c>
      <c r="Y341" s="12">
        <f t="shared" si="56"/>
        <v>-1.1299997045004581E-2</v>
      </c>
      <c r="Z341" s="12">
        <f t="shared" si="57"/>
        <v>7.7553736591708278E-2</v>
      </c>
    </row>
    <row r="342" spans="1:26" ht="13">
      <c r="A342" s="8" t="s">
        <v>86</v>
      </c>
      <c r="B342" s="9">
        <v>2017</v>
      </c>
      <c r="C342" s="10">
        <v>30.27</v>
      </c>
      <c r="D342" s="10">
        <v>469.25</v>
      </c>
      <c r="E342" s="10">
        <v>1037.18</v>
      </c>
      <c r="F342" s="10">
        <v>686.99</v>
      </c>
      <c r="G342" s="10">
        <v>453.83</v>
      </c>
      <c r="H342" s="10">
        <f t="shared" si="83"/>
        <v>2.9184905223779863E-2</v>
      </c>
      <c r="I342" s="10">
        <f t="shared" si="84"/>
        <v>0.45242870090051868</v>
      </c>
      <c r="J342" s="10">
        <f t="shared" si="85"/>
        <v>1.5137606592777031</v>
      </c>
      <c r="K342" s="4">
        <f t="shared" si="69"/>
        <v>-1.8585435210111638</v>
      </c>
      <c r="L342" s="10">
        <f t="shared" si="77"/>
        <v>0.45242870090051868</v>
      </c>
      <c r="M342" s="10">
        <v>8.49</v>
      </c>
      <c r="N342" s="10">
        <v>-10.66</v>
      </c>
      <c r="O342" s="10">
        <v>-3.43</v>
      </c>
      <c r="P342" s="11">
        <f>(1.5+3.7)%</f>
        <v>5.2000000000000005E-2</v>
      </c>
      <c r="Q342" s="11">
        <f>ROUND((25000+25000+27500)/(5150000+4950000),6)</f>
        <v>7.6730000000000001E-3</v>
      </c>
      <c r="R342" s="12">
        <f t="shared" si="79"/>
        <v>8.185657262963034E-3</v>
      </c>
      <c r="S342" s="12">
        <f t="shared" si="80"/>
        <v>-1.0277868836653232E-2</v>
      </c>
      <c r="T342" s="12">
        <f t="shared" si="81"/>
        <v>-3.3070441003490232E-3</v>
      </c>
      <c r="U342" s="12">
        <f t="shared" si="65"/>
        <v>4.2565417767407779E-4</v>
      </c>
      <c r="V342" s="12">
        <f t="shared" si="53"/>
        <v>-5.3444917950596813E-4</v>
      </c>
      <c r="W342" s="12">
        <f t="shared" si="54"/>
        <v>-1.7196629321814921E-4</v>
      </c>
      <c r="X342" s="12">
        <f t="shared" si="55"/>
        <v>6.2808548178715364E-5</v>
      </c>
      <c r="Y342" s="12">
        <f t="shared" si="56"/>
        <v>-7.8862087583640256E-5</v>
      </c>
      <c r="Z342" s="12">
        <f t="shared" si="57"/>
        <v>-2.5374949381978056E-5</v>
      </c>
    </row>
    <row r="343" spans="1:26" ht="13">
      <c r="A343" s="8" t="str">
        <f t="shared" ref="A343:A346" si="93">A342</f>
        <v>FCM</v>
      </c>
      <c r="B343" s="9">
        <v>2018</v>
      </c>
      <c r="C343" s="10">
        <v>36.71</v>
      </c>
      <c r="D343" s="10">
        <v>386.95</v>
      </c>
      <c r="E343" s="10">
        <v>934.97</v>
      </c>
      <c r="F343" s="10">
        <v>711.16</v>
      </c>
      <c r="G343" s="10">
        <v>381.42</v>
      </c>
      <c r="H343" s="10">
        <f t="shared" si="83"/>
        <v>3.9263291870327392E-2</v>
      </c>
      <c r="I343" s="10">
        <f t="shared" si="84"/>
        <v>0.4138635464239494</v>
      </c>
      <c r="J343" s="10">
        <f t="shared" si="85"/>
        <v>1.8645063184940485</v>
      </c>
      <c r="K343" s="4">
        <f t="shared" si="69"/>
        <v>-2.1251206240739378</v>
      </c>
      <c r="L343" s="10">
        <f t="shared" si="77"/>
        <v>0.4138635464239494</v>
      </c>
      <c r="M343" s="10">
        <v>58.63</v>
      </c>
      <c r="N343" s="10">
        <v>5.25</v>
      </c>
      <c r="O343" s="10">
        <v>-57.17</v>
      </c>
      <c r="P343" s="11">
        <v>2.5600000000000001E-2</v>
      </c>
      <c r="Q343" s="11">
        <f>(0.06+0.06+0.07+0.029)%</f>
        <v>2.1900000000000001E-3</v>
      </c>
      <c r="R343" s="12">
        <f t="shared" si="79"/>
        <v>6.2707894370942388E-2</v>
      </c>
      <c r="S343" s="12">
        <f t="shared" si="80"/>
        <v>5.6151534273826964E-3</v>
      </c>
      <c r="T343" s="12">
        <f t="shared" si="81"/>
        <v>-6.1146346941613097E-2</v>
      </c>
      <c r="U343" s="12">
        <f t="shared" si="65"/>
        <v>1.6053220958961252E-3</v>
      </c>
      <c r="V343" s="12">
        <f t="shared" si="53"/>
        <v>1.4374792774099704E-4</v>
      </c>
      <c r="W343" s="12">
        <f t="shared" si="54"/>
        <v>-1.5653464817052955E-3</v>
      </c>
      <c r="X343" s="12">
        <f t="shared" si="55"/>
        <v>1.3733028867236383E-4</v>
      </c>
      <c r="Y343" s="12">
        <f t="shared" si="56"/>
        <v>1.2297186005968106E-5</v>
      </c>
      <c r="Z343" s="12">
        <f t="shared" si="57"/>
        <v>-1.339104998021327E-4</v>
      </c>
    </row>
    <row r="344" spans="1:26" ht="13">
      <c r="A344" s="8" t="str">
        <f t="shared" si="93"/>
        <v>FCM</v>
      </c>
      <c r="B344" s="9">
        <v>2019</v>
      </c>
      <c r="C344" s="10">
        <v>47.44</v>
      </c>
      <c r="D344" s="10">
        <v>336.38</v>
      </c>
      <c r="E344" s="10">
        <v>905.91</v>
      </c>
      <c r="F344" s="10">
        <v>694.68</v>
      </c>
      <c r="G344" s="10">
        <v>335.52</v>
      </c>
      <c r="H344" s="10">
        <f t="shared" si="83"/>
        <v>5.2367232948085353E-2</v>
      </c>
      <c r="I344" s="10">
        <f t="shared" si="84"/>
        <v>0.37131723901932862</v>
      </c>
      <c r="J344" s="10">
        <f t="shared" si="85"/>
        <v>2.0704577968526467</v>
      </c>
      <c r="K344" s="4">
        <f t="shared" si="69"/>
        <v>-2.4274261170436215</v>
      </c>
      <c r="L344" s="10">
        <f t="shared" si="77"/>
        <v>0.37131723901932862</v>
      </c>
      <c r="M344" s="10">
        <v>163.19</v>
      </c>
      <c r="N344" s="10">
        <v>-63.54</v>
      </c>
      <c r="O344" s="10">
        <v>-50.86</v>
      </c>
      <c r="P344" s="11">
        <v>2.53E-2</v>
      </c>
      <c r="Q344" s="11">
        <f t="shared" ref="Q344:Q345" si="94">(0.07+0.029)%</f>
        <v>9.8999999999999999E-4</v>
      </c>
      <c r="R344" s="12">
        <f t="shared" si="79"/>
        <v>0.1801393074367211</v>
      </c>
      <c r="S344" s="12">
        <f t="shared" si="80"/>
        <v>-7.0139417822962541E-2</v>
      </c>
      <c r="T344" s="12">
        <f t="shared" si="81"/>
        <v>-5.6142442405978522E-2</v>
      </c>
      <c r="U344" s="12">
        <f t="shared" si="65"/>
        <v>4.5575244781490441E-3</v>
      </c>
      <c r="V344" s="12">
        <f t="shared" si="53"/>
        <v>-1.7745272709209523E-3</v>
      </c>
      <c r="W344" s="12">
        <f t="shared" si="54"/>
        <v>-1.4204037928712565E-3</v>
      </c>
      <c r="X344" s="12">
        <f t="shared" si="55"/>
        <v>1.7833791436235388E-4</v>
      </c>
      <c r="Y344" s="12">
        <f t="shared" si="56"/>
        <v>-6.9438023644732909E-5</v>
      </c>
      <c r="Z344" s="12">
        <f t="shared" si="57"/>
        <v>-5.5581017981918738E-5</v>
      </c>
    </row>
    <row r="345" spans="1:26" ht="13">
      <c r="A345" s="8" t="str">
        <f t="shared" si="93"/>
        <v>FCM</v>
      </c>
      <c r="B345" s="9">
        <v>2020</v>
      </c>
      <c r="C345" s="10">
        <v>27.87</v>
      </c>
      <c r="D345" s="10">
        <v>244.79</v>
      </c>
      <c r="E345" s="10">
        <v>809.78</v>
      </c>
      <c r="F345" s="10">
        <v>632.34</v>
      </c>
      <c r="G345" s="10">
        <v>244.12</v>
      </c>
      <c r="H345" s="10">
        <f t="shared" si="83"/>
        <v>3.4416755168070343E-2</v>
      </c>
      <c r="I345" s="10">
        <f t="shared" si="84"/>
        <v>0.30229198053792389</v>
      </c>
      <c r="J345" s="10">
        <f t="shared" si="85"/>
        <v>2.5902834671473047</v>
      </c>
      <c r="K345" s="4">
        <f t="shared" si="69"/>
        <v>-2.742172243058739</v>
      </c>
      <c r="L345" s="10">
        <f t="shared" si="77"/>
        <v>0.30229198053792389</v>
      </c>
      <c r="M345" s="10">
        <v>58.03</v>
      </c>
      <c r="N345" s="10">
        <v>-0.94</v>
      </c>
      <c r="O345" s="10">
        <v>-99.82</v>
      </c>
      <c r="P345" s="11">
        <v>2.0400000000000001E-2</v>
      </c>
      <c r="Q345" s="11">
        <f t="shared" si="94"/>
        <v>9.8999999999999999E-4</v>
      </c>
      <c r="R345" s="12">
        <f t="shared" si="79"/>
        <v>7.1661438909333408E-2</v>
      </c>
      <c r="S345" s="12">
        <f t="shared" si="80"/>
        <v>-1.160809108646793E-3</v>
      </c>
      <c r="T345" s="12">
        <f t="shared" si="81"/>
        <v>-0.12326804811183284</v>
      </c>
      <c r="U345" s="12">
        <f t="shared" si="65"/>
        <v>1.4618933537504017E-3</v>
      </c>
      <c r="V345" s="12">
        <f t="shared" si="53"/>
        <v>-2.3680505816394578E-5</v>
      </c>
      <c r="W345" s="12">
        <f t="shared" si="54"/>
        <v>-2.5146681814813901E-3</v>
      </c>
      <c r="X345" s="12">
        <f t="shared" si="55"/>
        <v>7.0944824520240078E-5</v>
      </c>
      <c r="Y345" s="12">
        <f t="shared" si="56"/>
        <v>-1.1492010175603251E-6</v>
      </c>
      <c r="Z345" s="12">
        <f t="shared" si="57"/>
        <v>-1.2203536763071451E-4</v>
      </c>
    </row>
    <row r="346" spans="1:26" ht="13">
      <c r="A346" s="8" t="str">
        <f t="shared" si="93"/>
        <v>FCM</v>
      </c>
      <c r="B346" s="9">
        <v>2021</v>
      </c>
      <c r="C346" s="10">
        <v>13.36</v>
      </c>
      <c r="D346" s="10">
        <v>240.98</v>
      </c>
      <c r="E346" s="10">
        <v>805.53</v>
      </c>
      <c r="F346" s="10">
        <v>652</v>
      </c>
      <c r="G346" s="10">
        <v>240.51</v>
      </c>
      <c r="H346" s="10">
        <f t="shared" si="83"/>
        <v>1.6585353742256649E-2</v>
      </c>
      <c r="I346" s="10">
        <f t="shared" si="84"/>
        <v>0.29915707670726105</v>
      </c>
      <c r="J346" s="10">
        <f t="shared" si="85"/>
        <v>2.7109059914348679</v>
      </c>
      <c r="K346" s="4">
        <f t="shared" si="69"/>
        <v>-2.680282378574506</v>
      </c>
      <c r="L346" s="10">
        <f t="shared" si="77"/>
        <v>0.29915707670726105</v>
      </c>
      <c r="M346" s="10">
        <v>53.7</v>
      </c>
      <c r="N346" s="10">
        <v>-7.49</v>
      </c>
      <c r="O346" s="10">
        <v>-18.71</v>
      </c>
      <c r="P346" s="11">
        <v>2.24E-2</v>
      </c>
      <c r="Q346" s="11">
        <v>6.9999999999999999E-4</v>
      </c>
      <c r="R346" s="12">
        <f t="shared" si="79"/>
        <v>6.6664183829280105E-2</v>
      </c>
      <c r="S346" s="12">
        <f t="shared" si="80"/>
        <v>-9.2982260126872988E-3</v>
      </c>
      <c r="T346" s="12">
        <f t="shared" si="81"/>
        <v>-2.322694375131901E-2</v>
      </c>
      <c r="U346" s="12">
        <f t="shared" si="65"/>
        <v>1.4932777177758744E-3</v>
      </c>
      <c r="V346" s="12">
        <f t="shared" si="53"/>
        <v>-2.082802626841955E-4</v>
      </c>
      <c r="W346" s="12">
        <f t="shared" si="54"/>
        <v>-5.2028354002954579E-4</v>
      </c>
      <c r="X346" s="12">
        <f t="shared" si="55"/>
        <v>4.6664928680496076E-5</v>
      </c>
      <c r="Y346" s="12">
        <f t="shared" si="56"/>
        <v>-6.5087582088811094E-6</v>
      </c>
      <c r="Z346" s="12">
        <f t="shared" si="57"/>
        <v>-1.6258860625923306E-5</v>
      </c>
    </row>
    <row r="347" spans="1:26" ht="13">
      <c r="A347" s="8" t="s">
        <v>87</v>
      </c>
      <c r="B347" s="9">
        <v>2017</v>
      </c>
      <c r="C347" s="10">
        <v>177.55</v>
      </c>
      <c r="D347" s="10">
        <v>2450.79</v>
      </c>
      <c r="E347" s="10">
        <v>3837.85</v>
      </c>
      <c r="F347" s="10">
        <v>2856.72</v>
      </c>
      <c r="G347" s="10">
        <v>1798.32</v>
      </c>
      <c r="H347" s="10">
        <f t="shared" si="83"/>
        <v>4.6262881561290832E-2</v>
      </c>
      <c r="I347" s="10">
        <f t="shared" si="84"/>
        <v>0.63858410307854663</v>
      </c>
      <c r="J347" s="10">
        <f t="shared" si="85"/>
        <v>1.5885493126918457</v>
      </c>
      <c r="K347" s="4">
        <f t="shared" ref="K347:K410" si="95">-4.3 -4.5*(C347/E347)+5.7*(D347/E347)-0.004*(F347/G347)</f>
        <v>-0.8746077767288597</v>
      </c>
      <c r="L347" s="10">
        <f t="shared" si="77"/>
        <v>0.63858410307854663</v>
      </c>
      <c r="M347" s="10">
        <v>-57.93</v>
      </c>
      <c r="N347" s="10">
        <v>134.97999999999999</v>
      </c>
      <c r="O347" s="10">
        <v>-95.83</v>
      </c>
      <c r="P347" s="11">
        <v>0.44059999999999999</v>
      </c>
      <c r="Q347" s="11">
        <f>(6.94+1.2+1.42+1.05+0.57+0.96+0.31+0.25)%</f>
        <v>0.127</v>
      </c>
      <c r="R347" s="12">
        <f t="shared" si="79"/>
        <v>-1.5094388785387653E-2</v>
      </c>
      <c r="S347" s="12">
        <f t="shared" si="80"/>
        <v>3.5170733613872351E-2</v>
      </c>
      <c r="T347" s="12">
        <f t="shared" si="81"/>
        <v>-2.496970960303295E-2</v>
      </c>
      <c r="U347" s="12">
        <f t="shared" si="65"/>
        <v>-6.6505876988417999E-3</v>
      </c>
      <c r="V347" s="12">
        <f t="shared" si="53"/>
        <v>1.5496225230272158E-2</v>
      </c>
      <c r="W347" s="12">
        <f t="shared" si="54"/>
        <v>-1.1001654051096318E-2</v>
      </c>
      <c r="X347" s="12">
        <f t="shared" si="55"/>
        <v>-1.9169873757442319E-3</v>
      </c>
      <c r="Y347" s="12">
        <f t="shared" si="56"/>
        <v>4.4666831689617889E-3</v>
      </c>
      <c r="Z347" s="12">
        <f t="shared" si="57"/>
        <v>-3.1711531195851845E-3</v>
      </c>
    </row>
    <row r="348" spans="1:26" ht="13">
      <c r="A348" s="8" t="str">
        <f t="shared" ref="A348:A351" si="96">A347</f>
        <v>FCN</v>
      </c>
      <c r="B348" s="9">
        <v>2018</v>
      </c>
      <c r="C348" s="10">
        <v>248.7</v>
      </c>
      <c r="D348" s="10">
        <v>2789.04</v>
      </c>
      <c r="E348" s="10">
        <v>4723.25</v>
      </c>
      <c r="F348" s="10">
        <v>3650.76</v>
      </c>
      <c r="G348" s="10">
        <v>2172.17</v>
      </c>
      <c r="H348" s="10">
        <f t="shared" si="83"/>
        <v>5.2654422272799449E-2</v>
      </c>
      <c r="I348" s="10">
        <f t="shared" si="84"/>
        <v>0.59049171650875987</v>
      </c>
      <c r="J348" s="10">
        <f t="shared" si="85"/>
        <v>1.6806971830013304</v>
      </c>
      <c r="K348" s="4">
        <f t="shared" si="95"/>
        <v>-1.1778649048596717</v>
      </c>
      <c r="L348" s="10">
        <f t="shared" si="77"/>
        <v>0.59049171650875987</v>
      </c>
      <c r="M348" s="10">
        <v>-157.24</v>
      </c>
      <c r="N348" s="10">
        <v>-364.27</v>
      </c>
      <c r="O348" s="10">
        <v>481.55</v>
      </c>
      <c r="P348" s="11">
        <v>0.3664</v>
      </c>
      <c r="Q348" s="11">
        <f t="shared" ref="Q348:Q349" si="97">(6.23+1.53+1.15+0.43+0.46+0.95+0.313+0.27)%</f>
        <v>0.11333</v>
      </c>
      <c r="R348" s="12">
        <f t="shared" si="79"/>
        <v>-3.3290636743767532E-2</v>
      </c>
      <c r="S348" s="12">
        <f t="shared" si="80"/>
        <v>-7.7122743873392255E-2</v>
      </c>
      <c r="T348" s="12">
        <f t="shared" si="81"/>
        <v>0.10195310432435294</v>
      </c>
      <c r="U348" s="12">
        <f t="shared" si="65"/>
        <v>-1.2197689302916424E-2</v>
      </c>
      <c r="V348" s="12">
        <f t="shared" si="53"/>
        <v>-2.8257773355210923E-2</v>
      </c>
      <c r="W348" s="12">
        <f t="shared" si="54"/>
        <v>3.7355617424442919E-2</v>
      </c>
      <c r="X348" s="12">
        <f t="shared" si="55"/>
        <v>-3.7728278621711746E-3</v>
      </c>
      <c r="Y348" s="12">
        <f t="shared" si="56"/>
        <v>-8.7403205631715435E-3</v>
      </c>
      <c r="Z348" s="12">
        <f t="shared" si="57"/>
        <v>1.1554345313078918E-2</v>
      </c>
    </row>
    <row r="349" spans="1:26" ht="13">
      <c r="A349" s="8" t="str">
        <f t="shared" si="96"/>
        <v>FCN</v>
      </c>
      <c r="B349" s="9">
        <v>2019</v>
      </c>
      <c r="C349" s="10">
        <v>211.56</v>
      </c>
      <c r="D349" s="10">
        <v>3191.63</v>
      </c>
      <c r="E349" s="10">
        <v>5647.46</v>
      </c>
      <c r="F349" s="10">
        <v>4501.54</v>
      </c>
      <c r="G349" s="10">
        <v>2803.79</v>
      </c>
      <c r="H349" s="10">
        <f t="shared" si="83"/>
        <v>3.7461088701823478E-2</v>
      </c>
      <c r="I349" s="10">
        <f t="shared" si="84"/>
        <v>0.56514433037152989</v>
      </c>
      <c r="J349" s="10">
        <f t="shared" si="85"/>
        <v>1.6055196715873872</v>
      </c>
      <c r="K349" s="4">
        <f t="shared" si="95"/>
        <v>-1.2536742947268342</v>
      </c>
      <c r="L349" s="10">
        <f t="shared" si="77"/>
        <v>0.56514433037152989</v>
      </c>
      <c r="M349" s="10">
        <v>-28.6</v>
      </c>
      <c r="N349" s="10">
        <v>-124.73</v>
      </c>
      <c r="O349" s="10">
        <v>197.26</v>
      </c>
      <c r="P349" s="11">
        <v>0.50439999999999996</v>
      </c>
      <c r="Q349" s="11">
        <f t="shared" si="97"/>
        <v>0.11333</v>
      </c>
      <c r="R349" s="12">
        <f t="shared" si="79"/>
        <v>-5.0642235624510845E-3</v>
      </c>
      <c r="S349" s="12">
        <f t="shared" si="80"/>
        <v>-2.2086035137920412E-2</v>
      </c>
      <c r="T349" s="12">
        <f t="shared" si="81"/>
        <v>3.4928976920597932E-2</v>
      </c>
      <c r="U349" s="12">
        <f t="shared" si="65"/>
        <v>-2.5543943649003267E-3</v>
      </c>
      <c r="V349" s="12">
        <f t="shared" si="53"/>
        <v>-1.1140196123567054E-2</v>
      </c>
      <c r="W349" s="12">
        <f t="shared" si="54"/>
        <v>1.7618175958749597E-2</v>
      </c>
      <c r="X349" s="12">
        <f t="shared" si="55"/>
        <v>-5.7392845633258145E-4</v>
      </c>
      <c r="Y349" s="12">
        <f t="shared" si="56"/>
        <v>-2.5030103621805203E-3</v>
      </c>
      <c r="Z349" s="12">
        <f t="shared" si="57"/>
        <v>3.9585009544113635E-3</v>
      </c>
    </row>
    <row r="350" spans="1:26" ht="13">
      <c r="A350" s="8" t="str">
        <f t="shared" si="96"/>
        <v>FCN</v>
      </c>
      <c r="B350" s="9">
        <v>2020</v>
      </c>
      <c r="C350" s="10">
        <v>133.59</v>
      </c>
      <c r="D350" s="10">
        <v>4277.2</v>
      </c>
      <c r="E350" s="10">
        <v>6780.11</v>
      </c>
      <c r="F350" s="10">
        <v>5557.41</v>
      </c>
      <c r="G350" s="10">
        <v>3896.09</v>
      </c>
      <c r="H350" s="10">
        <f t="shared" si="83"/>
        <v>1.9703220154245287E-2</v>
      </c>
      <c r="I350" s="10">
        <f t="shared" si="84"/>
        <v>0.63084522227515483</v>
      </c>
      <c r="J350" s="10">
        <f t="shared" si="85"/>
        <v>1.4264069875182555</v>
      </c>
      <c r="K350" s="4">
        <f t="shared" si="95"/>
        <v>-0.79855235167579364</v>
      </c>
      <c r="L350" s="10">
        <f t="shared" si="77"/>
        <v>0.63084522227515483</v>
      </c>
      <c r="M350" s="10">
        <v>88.66</v>
      </c>
      <c r="N350" s="10">
        <v>-355.25</v>
      </c>
      <c r="O350" s="10">
        <v>388.52</v>
      </c>
      <c r="P350" s="11">
        <v>0.39250000000000002</v>
      </c>
      <c r="Q350" s="11">
        <f>(5.16+0.38+0.95+0.98+0.01+0.03+0.27+0.008+0.19+0.008)%</f>
        <v>7.9860000000000014E-2</v>
      </c>
      <c r="R350" s="12">
        <f t="shared" si="79"/>
        <v>1.3076484009846448E-2</v>
      </c>
      <c r="S350" s="12">
        <f t="shared" si="80"/>
        <v>-5.2395905081186002E-2</v>
      </c>
      <c r="T350" s="12">
        <f t="shared" si="81"/>
        <v>5.730290511510875E-2</v>
      </c>
      <c r="U350" s="12">
        <f t="shared" si="65"/>
        <v>5.1325199738647305E-3</v>
      </c>
      <c r="V350" s="12">
        <f t="shared" si="53"/>
        <v>-2.0565392744365505E-2</v>
      </c>
      <c r="W350" s="12">
        <f t="shared" si="54"/>
        <v>2.2491390257680186E-2</v>
      </c>
      <c r="X350" s="12">
        <f t="shared" si="55"/>
        <v>1.0442880130263376E-3</v>
      </c>
      <c r="Y350" s="12">
        <f t="shared" si="56"/>
        <v>-4.184336979783515E-3</v>
      </c>
      <c r="Z350" s="12">
        <f t="shared" si="57"/>
        <v>4.5762100024925858E-3</v>
      </c>
    </row>
    <row r="351" spans="1:26" ht="13">
      <c r="A351" s="8" t="str">
        <f t="shared" si="96"/>
        <v>FCN</v>
      </c>
      <c r="B351" s="9">
        <v>2021</v>
      </c>
      <c r="C351" s="10">
        <v>70.78</v>
      </c>
      <c r="D351" s="10">
        <v>4566.5200000000004</v>
      </c>
      <c r="E351" s="10">
        <v>7495.7</v>
      </c>
      <c r="F351" s="10">
        <v>5062.62</v>
      </c>
      <c r="G351" s="10">
        <v>3365.48</v>
      </c>
      <c r="H351" s="10">
        <f t="shared" si="83"/>
        <v>9.4427471750470268E-3</v>
      </c>
      <c r="I351" s="10">
        <f t="shared" si="84"/>
        <v>0.60921861867470695</v>
      </c>
      <c r="J351" s="10">
        <f t="shared" si="85"/>
        <v>1.5042787358712575</v>
      </c>
      <c r="K351" s="4">
        <f t="shared" si="95"/>
        <v>-0.87596335078536713</v>
      </c>
      <c r="L351" s="10">
        <f t="shared" si="77"/>
        <v>0.60921861867470695</v>
      </c>
      <c r="M351" s="10">
        <v>-110.39</v>
      </c>
      <c r="N351" s="10">
        <v>-1208.55</v>
      </c>
      <c r="O351" s="10">
        <v>1272.98</v>
      </c>
      <c r="P351" s="11">
        <v>0.32100000000000001</v>
      </c>
      <c r="Q351" s="11">
        <f>(3.18+0.07+0.4+0.3+0.15+0.001)%</f>
        <v>4.1009999999999998E-2</v>
      </c>
      <c r="R351" s="12">
        <f t="shared" si="79"/>
        <v>-1.472711020985365E-2</v>
      </c>
      <c r="S351" s="12">
        <f t="shared" si="80"/>
        <v>-0.1612324399322278</v>
      </c>
      <c r="T351" s="12">
        <f t="shared" si="81"/>
        <v>0.16982803473991756</v>
      </c>
      <c r="U351" s="12">
        <f t="shared" si="65"/>
        <v>-4.7274023773630214E-3</v>
      </c>
      <c r="V351" s="12">
        <f t="shared" si="53"/>
        <v>-5.1755613218245122E-2</v>
      </c>
      <c r="W351" s="12">
        <f t="shared" si="54"/>
        <v>5.451479915151354E-2</v>
      </c>
      <c r="X351" s="12">
        <f t="shared" si="55"/>
        <v>-6.0395878970609818E-4</v>
      </c>
      <c r="Y351" s="12">
        <f t="shared" si="56"/>
        <v>-6.6121423616206619E-3</v>
      </c>
      <c r="Z351" s="12">
        <f t="shared" si="57"/>
        <v>6.9646477046840186E-3</v>
      </c>
    </row>
    <row r="352" spans="1:26" ht="13">
      <c r="A352" s="8" t="s">
        <v>88</v>
      </c>
      <c r="B352" s="9">
        <v>2017</v>
      </c>
      <c r="C352" s="10">
        <v>2.79</v>
      </c>
      <c r="D352" s="10">
        <v>384.08</v>
      </c>
      <c r="E352" s="10">
        <v>950.31</v>
      </c>
      <c r="F352" s="10">
        <v>379.56</v>
      </c>
      <c r="G352" s="10">
        <v>330.4</v>
      </c>
      <c r="H352" s="10">
        <f t="shared" si="83"/>
        <v>2.9358840799318118E-3</v>
      </c>
      <c r="I352" s="10">
        <f t="shared" si="84"/>
        <v>0.40416285212193914</v>
      </c>
      <c r="J352" s="10">
        <f t="shared" si="85"/>
        <v>1.1487893462469734</v>
      </c>
      <c r="K352" s="4">
        <f t="shared" si="95"/>
        <v>-2.0140783786496277</v>
      </c>
      <c r="L352" s="10">
        <f t="shared" si="77"/>
        <v>0.40416285212193914</v>
      </c>
      <c r="M352" s="10">
        <v>97.6</v>
      </c>
      <c r="N352" s="10">
        <v>-117.55</v>
      </c>
      <c r="O352" s="10">
        <v>21.34</v>
      </c>
      <c r="P352" s="11">
        <f>0.84%</f>
        <v>8.3999999999999995E-3</v>
      </c>
      <c r="Q352" s="11">
        <v>3.3799999999999997E-2</v>
      </c>
      <c r="R352" s="12">
        <f t="shared" si="79"/>
        <v>0.10270332838757879</v>
      </c>
      <c r="S352" s="12">
        <f t="shared" si="80"/>
        <v>-0.12369647799139229</v>
      </c>
      <c r="T352" s="12">
        <f t="shared" si="81"/>
        <v>2.2455830202775938E-2</v>
      </c>
      <c r="U352" s="12">
        <f t="shared" si="65"/>
        <v>8.6270795845566173E-4</v>
      </c>
      <c r="V352" s="12">
        <f t="shared" si="53"/>
        <v>-1.0390504151276952E-3</v>
      </c>
      <c r="W352" s="12">
        <f t="shared" si="54"/>
        <v>1.8862897370331786E-4</v>
      </c>
      <c r="X352" s="12">
        <f t="shared" si="55"/>
        <v>3.4713724995001625E-3</v>
      </c>
      <c r="Y352" s="12">
        <f t="shared" si="56"/>
        <v>-4.1809409561090593E-3</v>
      </c>
      <c r="Z352" s="12">
        <f t="shared" si="57"/>
        <v>7.5900706085382666E-4</v>
      </c>
    </row>
    <row r="353" spans="1:26" ht="13">
      <c r="A353" s="8" t="str">
        <f t="shared" ref="A353:A356" si="98">A352</f>
        <v>FDC</v>
      </c>
      <c r="B353" s="9">
        <v>2018</v>
      </c>
      <c r="C353" s="10">
        <v>-35.53</v>
      </c>
      <c r="D353" s="10">
        <v>389.08</v>
      </c>
      <c r="E353" s="10">
        <v>944.38</v>
      </c>
      <c r="F353" s="10">
        <v>122.42</v>
      </c>
      <c r="G353" s="10">
        <v>361.51</v>
      </c>
      <c r="H353" s="10">
        <f t="shared" si="83"/>
        <v>-3.7622567186937461E-2</v>
      </c>
      <c r="I353" s="10">
        <f t="shared" si="84"/>
        <v>0.41199517143522735</v>
      </c>
      <c r="J353" s="10">
        <f t="shared" si="85"/>
        <v>0.33863516915161407</v>
      </c>
      <c r="K353" s="4">
        <f t="shared" si="95"/>
        <v>-1.7836805111545913</v>
      </c>
      <c r="L353" s="10">
        <f t="shared" si="77"/>
        <v>0.41199517143522735</v>
      </c>
      <c r="M353" s="10">
        <v>0.6</v>
      </c>
      <c r="N353" s="10">
        <v>9.5</v>
      </c>
      <c r="O353" s="10">
        <v>9.68</v>
      </c>
      <c r="P353" s="11">
        <v>6.3E-3</v>
      </c>
      <c r="Q353" s="11">
        <v>3.3799999999999997E-2</v>
      </c>
      <c r="R353" s="12">
        <f t="shared" si="79"/>
        <v>6.3533747008619407E-4</v>
      </c>
      <c r="S353" s="12">
        <f t="shared" si="80"/>
        <v>1.0059509943031408E-2</v>
      </c>
      <c r="T353" s="12">
        <f t="shared" si="81"/>
        <v>1.0250111184057265E-2</v>
      </c>
      <c r="U353" s="12">
        <f t="shared" si="65"/>
        <v>4.0026260615430227E-6</v>
      </c>
      <c r="V353" s="12">
        <f t="shared" si="53"/>
        <v>6.3374912641097874E-5</v>
      </c>
      <c r="W353" s="12">
        <f t="shared" si="54"/>
        <v>6.4575700459560767E-5</v>
      </c>
      <c r="X353" s="12">
        <f t="shared" si="55"/>
        <v>2.1474406488913359E-5</v>
      </c>
      <c r="Y353" s="12">
        <f t="shared" si="56"/>
        <v>3.4001143607446157E-4</v>
      </c>
      <c r="Z353" s="12">
        <f t="shared" si="57"/>
        <v>3.4645375802113554E-4</v>
      </c>
    </row>
    <row r="354" spans="1:26" ht="13">
      <c r="A354" s="8" t="str">
        <f t="shared" si="98"/>
        <v>FDC</v>
      </c>
      <c r="B354" s="9">
        <v>2019</v>
      </c>
      <c r="C354" s="10">
        <v>65.760000000000005</v>
      </c>
      <c r="D354" s="10">
        <v>340.84</v>
      </c>
      <c r="E354" s="10">
        <v>951.85</v>
      </c>
      <c r="F354" s="10">
        <v>329.28</v>
      </c>
      <c r="G354" s="10">
        <v>327.55</v>
      </c>
      <c r="H354" s="10">
        <f t="shared" si="83"/>
        <v>6.9086515732520878E-2</v>
      </c>
      <c r="I354" s="10">
        <f t="shared" si="84"/>
        <v>0.35808163050900876</v>
      </c>
      <c r="J354" s="10">
        <f t="shared" si="85"/>
        <v>1.0052816363913906</v>
      </c>
      <c r="K354" s="4">
        <f t="shared" si="95"/>
        <v>-2.5738451534405589</v>
      </c>
      <c r="L354" s="10">
        <f t="shared" si="77"/>
        <v>0.35808163050900876</v>
      </c>
      <c r="M354" s="10">
        <v>-53.36</v>
      </c>
      <c r="N354" s="10">
        <v>53.57</v>
      </c>
      <c r="O354" s="10">
        <v>-23.42</v>
      </c>
      <c r="P354" s="11">
        <v>6.9999999999999999E-4</v>
      </c>
      <c r="Q354" s="11">
        <v>3.3799999999999997E-2</v>
      </c>
      <c r="R354" s="12">
        <f t="shared" si="79"/>
        <v>-5.6059253033566209E-2</v>
      </c>
      <c r="S354" s="12">
        <f t="shared" si="80"/>
        <v>5.6279876030887216E-2</v>
      </c>
      <c r="T354" s="12">
        <f t="shared" si="81"/>
        <v>-2.4604717129799863E-2</v>
      </c>
      <c r="U354" s="12">
        <f t="shared" si="65"/>
        <v>-3.9241477123496344E-5</v>
      </c>
      <c r="V354" s="12">
        <f t="shared" si="53"/>
        <v>3.939591322162105E-5</v>
      </c>
      <c r="W354" s="12">
        <f t="shared" si="54"/>
        <v>-1.7223301990859905E-5</v>
      </c>
      <c r="X354" s="12">
        <f t="shared" si="55"/>
        <v>-1.8948027525345376E-3</v>
      </c>
      <c r="Y354" s="12">
        <f t="shared" si="56"/>
        <v>1.9022598098439878E-3</v>
      </c>
      <c r="Z354" s="12">
        <f t="shared" si="57"/>
        <v>-8.3163943898723535E-4</v>
      </c>
    </row>
    <row r="355" spans="1:26" ht="13">
      <c r="A355" s="8" t="str">
        <f t="shared" si="98"/>
        <v>FDC</v>
      </c>
      <c r="B355" s="9">
        <v>2020</v>
      </c>
      <c r="C355" s="10">
        <v>-25.95</v>
      </c>
      <c r="D355" s="10">
        <v>399.9</v>
      </c>
      <c r="E355" s="10">
        <v>984.87</v>
      </c>
      <c r="F355" s="10">
        <v>380.38</v>
      </c>
      <c r="G355" s="10">
        <v>378.92</v>
      </c>
      <c r="H355" s="10">
        <f t="shared" si="83"/>
        <v>-2.6348655152456667E-2</v>
      </c>
      <c r="I355" s="10">
        <f t="shared" si="84"/>
        <v>0.40604343720491026</v>
      </c>
      <c r="J355" s="10">
        <f t="shared" si="85"/>
        <v>1.0038530560540484</v>
      </c>
      <c r="K355" s="4">
        <f t="shared" si="95"/>
        <v>-1.8709988719701725</v>
      </c>
      <c r="L355" s="10">
        <f t="shared" si="77"/>
        <v>0.40604343720491026</v>
      </c>
      <c r="M355" s="10">
        <v>1.45</v>
      </c>
      <c r="N355" s="10">
        <v>18</v>
      </c>
      <c r="O355" s="10">
        <v>-18.579999999999998</v>
      </c>
      <c r="P355" s="11">
        <v>6.9999999999999999E-4</v>
      </c>
      <c r="Q355" s="11">
        <v>0</v>
      </c>
      <c r="R355" s="12">
        <f t="shared" si="79"/>
        <v>1.4722755287499873E-3</v>
      </c>
      <c r="S355" s="12">
        <f t="shared" si="80"/>
        <v>1.8276523805172255E-2</v>
      </c>
      <c r="T355" s="12">
        <f t="shared" si="81"/>
        <v>-1.8865434016672251E-2</v>
      </c>
      <c r="U355" s="12">
        <f t="shared" si="65"/>
        <v>1.030592870124991E-6</v>
      </c>
      <c r="V355" s="12">
        <f t="shared" si="53"/>
        <v>1.2793566663620578E-5</v>
      </c>
      <c r="W355" s="12">
        <f t="shared" si="54"/>
        <v>-1.3205803811670575E-5</v>
      </c>
      <c r="X355" s="12">
        <f t="shared" si="55"/>
        <v>0</v>
      </c>
      <c r="Y355" s="12">
        <f t="shared" si="56"/>
        <v>0</v>
      </c>
      <c r="Z355" s="12">
        <f t="shared" si="57"/>
        <v>0</v>
      </c>
    </row>
    <row r="356" spans="1:26" ht="13">
      <c r="A356" s="8" t="str">
        <f t="shared" si="98"/>
        <v>FDC</v>
      </c>
      <c r="B356" s="9">
        <v>2021</v>
      </c>
      <c r="C356" s="10">
        <v>9.4499999999999993</v>
      </c>
      <c r="D356" s="10">
        <v>162.16</v>
      </c>
      <c r="E356" s="10">
        <v>804.71</v>
      </c>
      <c r="F356" s="10">
        <v>570.76</v>
      </c>
      <c r="G356" s="10">
        <v>160.66</v>
      </c>
      <c r="H356" s="10">
        <f t="shared" si="83"/>
        <v>1.1743360962334255E-2</v>
      </c>
      <c r="I356" s="10">
        <f t="shared" si="84"/>
        <v>0.20151358874625641</v>
      </c>
      <c r="J356" s="10">
        <f t="shared" si="85"/>
        <v>3.5525955433835428</v>
      </c>
      <c r="K356" s="4">
        <f t="shared" si="95"/>
        <v>-3.2184280506503757</v>
      </c>
      <c r="L356" s="10">
        <f t="shared" si="77"/>
        <v>0.20151358874625641</v>
      </c>
      <c r="M356" s="10">
        <v>9.66</v>
      </c>
      <c r="N356" s="10">
        <v>81.180000000000007</v>
      </c>
      <c r="O356" s="10">
        <v>-52.02</v>
      </c>
      <c r="P356" s="11">
        <v>2.0000000000000001E-4</v>
      </c>
      <c r="Q356" s="11">
        <v>4.6100000000000002E-2</v>
      </c>
      <c r="R356" s="12">
        <f t="shared" si="79"/>
        <v>1.2004324539275017E-2</v>
      </c>
      <c r="S356" s="12">
        <f t="shared" si="80"/>
        <v>0.10088106274310001</v>
      </c>
      <c r="T356" s="12">
        <f t="shared" si="81"/>
        <v>-6.4644406059325726E-2</v>
      </c>
      <c r="U356" s="12">
        <f t="shared" si="65"/>
        <v>2.4008649078550036E-6</v>
      </c>
      <c r="V356" s="12">
        <f t="shared" si="53"/>
        <v>2.0176212548620002E-5</v>
      </c>
      <c r="W356" s="12">
        <f t="shared" si="54"/>
        <v>-1.2928881211865146E-5</v>
      </c>
      <c r="X356" s="12">
        <f t="shared" si="55"/>
        <v>5.533993612605783E-4</v>
      </c>
      <c r="Y356" s="12">
        <f t="shared" si="56"/>
        <v>4.6506169924569107E-3</v>
      </c>
      <c r="Z356" s="12">
        <f t="shared" si="57"/>
        <v>-2.9801071193349161E-3</v>
      </c>
    </row>
    <row r="357" spans="1:26" ht="13">
      <c r="A357" s="8" t="s">
        <v>89</v>
      </c>
      <c r="B357" s="9">
        <v>2017</v>
      </c>
      <c r="C357" s="10">
        <v>112.58</v>
      </c>
      <c r="D357" s="10">
        <v>901.61</v>
      </c>
      <c r="E357" s="10">
        <v>4899.49</v>
      </c>
      <c r="F357" s="10">
        <v>2421.8200000000002</v>
      </c>
      <c r="G357" s="10">
        <v>665.92</v>
      </c>
      <c r="H357" s="10">
        <f t="shared" si="83"/>
        <v>2.2977901781614005E-2</v>
      </c>
      <c r="I357" s="10">
        <f t="shared" si="84"/>
        <v>0.18402119404264528</v>
      </c>
      <c r="J357" s="10">
        <f t="shared" si="85"/>
        <v>3.6368032196059592</v>
      </c>
      <c r="K357" s="4">
        <f t="shared" si="95"/>
        <v>-3.3690269648526083</v>
      </c>
      <c r="L357" s="10">
        <f t="shared" si="77"/>
        <v>0.18402119404264528</v>
      </c>
      <c r="M357" s="10">
        <v>96.91</v>
      </c>
      <c r="N357" s="10">
        <v>-757.62</v>
      </c>
      <c r="O357" s="10">
        <v>657.63</v>
      </c>
      <c r="P357" s="11">
        <v>6.7000000000000002E-3</v>
      </c>
      <c r="Q357" s="11">
        <v>4.0000000000000002E-4</v>
      </c>
      <c r="R357" s="12">
        <f t="shared" si="79"/>
        <v>1.9779609714480485E-2</v>
      </c>
      <c r="S357" s="12">
        <f t="shared" si="80"/>
        <v>-0.15463242092544327</v>
      </c>
      <c r="T357" s="12">
        <f t="shared" si="81"/>
        <v>0.13422417435284081</v>
      </c>
      <c r="U357" s="12">
        <f t="shared" si="65"/>
        <v>1.3252338508701924E-4</v>
      </c>
      <c r="V357" s="12">
        <f t="shared" si="53"/>
        <v>-1.0360372202004699E-3</v>
      </c>
      <c r="W357" s="12">
        <f t="shared" si="54"/>
        <v>8.9930196816403346E-4</v>
      </c>
      <c r="X357" s="12">
        <f t="shared" si="55"/>
        <v>7.9118438857921944E-6</v>
      </c>
      <c r="Y357" s="12">
        <f t="shared" si="56"/>
        <v>-6.1852968370177316E-5</v>
      </c>
      <c r="Z357" s="12">
        <f t="shared" si="57"/>
        <v>5.368966974113633E-5</v>
      </c>
    </row>
    <row r="358" spans="1:26" ht="13">
      <c r="A358" s="8" t="str">
        <f t="shared" ref="A358:A361" si="99">A357</f>
        <v>FIT</v>
      </c>
      <c r="B358" s="9">
        <v>2018</v>
      </c>
      <c r="C358" s="10">
        <v>-9.31</v>
      </c>
      <c r="D358" s="10">
        <v>1228.67</v>
      </c>
      <c r="E358" s="10">
        <v>5197.29</v>
      </c>
      <c r="F358" s="10">
        <v>2568.44</v>
      </c>
      <c r="G358" s="10">
        <v>598.49</v>
      </c>
      <c r="H358" s="10">
        <f t="shared" si="83"/>
        <v>-1.7913181677374171E-3</v>
      </c>
      <c r="I358" s="10">
        <f t="shared" si="84"/>
        <v>0.23640589614972421</v>
      </c>
      <c r="J358" s="10">
        <f t="shared" si="85"/>
        <v>4.2915336931277048</v>
      </c>
      <c r="K358" s="4">
        <f t="shared" si="95"/>
        <v>-2.9615915949642639</v>
      </c>
      <c r="L358" s="10">
        <f t="shared" si="77"/>
        <v>0.23640589614972421</v>
      </c>
      <c r="M358" s="10">
        <v>-145.44</v>
      </c>
      <c r="N358" s="10">
        <v>-252.09</v>
      </c>
      <c r="O358" s="10">
        <v>394.19</v>
      </c>
      <c r="P358" s="11">
        <v>2.2499999999999999E-2</v>
      </c>
      <c r="Q358" s="11">
        <v>4.0000000000000002E-4</v>
      </c>
      <c r="R358" s="12">
        <f t="shared" si="79"/>
        <v>-2.7983814641861431E-2</v>
      </c>
      <c r="S358" s="12">
        <f t="shared" si="80"/>
        <v>-4.8504124264761056E-2</v>
      </c>
      <c r="T358" s="12">
        <f t="shared" si="81"/>
        <v>7.5845296298647946E-2</v>
      </c>
      <c r="U358" s="12">
        <f t="shared" si="65"/>
        <v>-6.2963582944188217E-4</v>
      </c>
      <c r="V358" s="12">
        <f t="shared" si="53"/>
        <v>-1.0913427959571237E-3</v>
      </c>
      <c r="W358" s="12">
        <f t="shared" si="54"/>
        <v>1.7065191667195788E-3</v>
      </c>
      <c r="X358" s="12">
        <f t="shared" si="55"/>
        <v>-1.1193525856744574E-5</v>
      </c>
      <c r="Y358" s="12">
        <f t="shared" si="56"/>
        <v>-1.9401649705904422E-5</v>
      </c>
      <c r="Z358" s="12">
        <f t="shared" si="57"/>
        <v>3.033811851945918E-5</v>
      </c>
    </row>
    <row r="359" spans="1:26" ht="13">
      <c r="A359" s="8" t="str">
        <f t="shared" si="99"/>
        <v>FIT</v>
      </c>
      <c r="B359" s="9">
        <v>2019</v>
      </c>
      <c r="C359" s="10">
        <v>92.08</v>
      </c>
      <c r="D359" s="10">
        <v>1238.04</v>
      </c>
      <c r="E359" s="10">
        <v>5284.71</v>
      </c>
      <c r="F359" s="10">
        <v>2766.19</v>
      </c>
      <c r="G359" s="10">
        <v>716.67</v>
      </c>
      <c r="H359" s="10">
        <f t="shared" si="83"/>
        <v>1.7423851072244267E-2</v>
      </c>
      <c r="I359" s="10">
        <f t="shared" si="84"/>
        <v>0.23426829475978814</v>
      </c>
      <c r="J359" s="10">
        <f t="shared" si="85"/>
        <v>3.8597820475253606</v>
      </c>
      <c r="K359" s="4">
        <f t="shared" si="95"/>
        <v>-3.0585171778844082</v>
      </c>
      <c r="L359" s="10">
        <f t="shared" si="77"/>
        <v>0.23426829475978814</v>
      </c>
      <c r="M359" s="10">
        <v>128.69999999999999</v>
      </c>
      <c r="N359" s="10">
        <v>-125.63</v>
      </c>
      <c r="O359" s="10">
        <v>-19.98</v>
      </c>
      <c r="P359" s="11">
        <v>1.77E-2</v>
      </c>
      <c r="Q359" s="11">
        <v>4.0000000000000002E-4</v>
      </c>
      <c r="R359" s="12">
        <f t="shared" si="79"/>
        <v>2.4353275771045145E-2</v>
      </c>
      <c r="S359" s="12">
        <f t="shared" si="80"/>
        <v>-2.3772354585209026E-2</v>
      </c>
      <c r="T359" s="12">
        <f t="shared" si="81"/>
        <v>-3.780718336483932E-3</v>
      </c>
      <c r="U359" s="12">
        <f t="shared" si="65"/>
        <v>4.3105298114749909E-4</v>
      </c>
      <c r="V359" s="12">
        <f t="shared" si="53"/>
        <v>-4.207706761581998E-4</v>
      </c>
      <c r="W359" s="12">
        <f t="shared" si="54"/>
        <v>-6.6918714555765603E-5</v>
      </c>
      <c r="X359" s="12">
        <f t="shared" si="55"/>
        <v>9.741310308418059E-6</v>
      </c>
      <c r="Y359" s="12">
        <f t="shared" si="56"/>
        <v>-9.5089418340836111E-6</v>
      </c>
      <c r="Z359" s="12">
        <f t="shared" si="57"/>
        <v>-1.5122873345935729E-6</v>
      </c>
    </row>
    <row r="360" spans="1:26" ht="13">
      <c r="A360" s="8" t="str">
        <f t="shared" si="99"/>
        <v>FIT</v>
      </c>
      <c r="B360" s="9">
        <v>2020</v>
      </c>
      <c r="C360" s="10">
        <v>83.35</v>
      </c>
      <c r="D360" s="10">
        <v>1237.4000000000001</v>
      </c>
      <c r="E360" s="10">
        <v>5283.98</v>
      </c>
      <c r="F360" s="10">
        <v>3329.7</v>
      </c>
      <c r="G360" s="10">
        <v>735.41</v>
      </c>
      <c r="H360" s="10">
        <f t="shared" si="83"/>
        <v>1.5774094527231369E-2</v>
      </c>
      <c r="I360" s="10">
        <f t="shared" si="84"/>
        <v>0.23417953890817153</v>
      </c>
      <c r="J360" s="10">
        <f t="shared" si="85"/>
        <v>4.5276784378781905</v>
      </c>
      <c r="K360" s="4">
        <f t="shared" si="95"/>
        <v>-3.0542707673474756</v>
      </c>
      <c r="L360" s="10">
        <f t="shared" si="77"/>
        <v>0.23417953890817153</v>
      </c>
      <c r="M360" s="10">
        <v>72.5</v>
      </c>
      <c r="N360" s="10">
        <v>-1.58</v>
      </c>
      <c r="O360" s="10">
        <v>-35.130000000000003</v>
      </c>
      <c r="P360" s="11">
        <v>1.6799999999999999E-2</v>
      </c>
      <c r="Q360" s="11">
        <v>0</v>
      </c>
      <c r="R360" s="12">
        <f t="shared" si="79"/>
        <v>1.3720718095072276E-2</v>
      </c>
      <c r="S360" s="12">
        <f t="shared" si="80"/>
        <v>-2.9901702883054066E-4</v>
      </c>
      <c r="T360" s="12">
        <f t="shared" si="81"/>
        <v>-6.6483976093777803E-3</v>
      </c>
      <c r="U360" s="12">
        <f t="shared" si="65"/>
        <v>2.3050806399721422E-4</v>
      </c>
      <c r="V360" s="12">
        <f t="shared" si="53"/>
        <v>-5.0234860843530825E-6</v>
      </c>
      <c r="W360" s="12">
        <f t="shared" si="54"/>
        <v>-1.1169307983754671E-4</v>
      </c>
      <c r="X360" s="12">
        <f t="shared" si="55"/>
        <v>0</v>
      </c>
      <c r="Y360" s="12">
        <f t="shared" si="56"/>
        <v>0</v>
      </c>
      <c r="Z360" s="12">
        <f t="shared" si="57"/>
        <v>0</v>
      </c>
    </row>
    <row r="361" spans="1:26" ht="13">
      <c r="A361" s="8" t="str">
        <f t="shared" si="99"/>
        <v>FIT</v>
      </c>
      <c r="B361" s="9">
        <v>2021</v>
      </c>
      <c r="C361" s="10">
        <v>231.47</v>
      </c>
      <c r="D361" s="10">
        <v>1284.3699999999999</v>
      </c>
      <c r="E361" s="10">
        <v>5984.08</v>
      </c>
      <c r="F361" s="10">
        <v>3695.01</v>
      </c>
      <c r="G361" s="10">
        <v>1159.01</v>
      </c>
      <c r="H361" s="10">
        <f t="shared" si="83"/>
        <v>3.8680966831994228E-2</v>
      </c>
      <c r="I361" s="10">
        <f t="shared" si="84"/>
        <v>0.21463115466370769</v>
      </c>
      <c r="J361" s="10">
        <f t="shared" si="85"/>
        <v>3.1880743047946094</v>
      </c>
      <c r="K361" s="4">
        <f t="shared" si="95"/>
        <v>-3.2634190663800182</v>
      </c>
      <c r="L361" s="10">
        <f t="shared" si="77"/>
        <v>0.21463115466370769</v>
      </c>
      <c r="M361" s="10">
        <v>-8.68</v>
      </c>
      <c r="N361" s="10">
        <v>269.20999999999998</v>
      </c>
      <c r="O361" s="10">
        <v>-22.74</v>
      </c>
      <c r="P361" s="11">
        <v>1.6799999999999999E-2</v>
      </c>
      <c r="Q361" s="11">
        <v>4.0000000000000002E-4</v>
      </c>
      <c r="R361" s="12">
        <f t="shared" si="79"/>
        <v>-1.4505153674416117E-3</v>
      </c>
      <c r="S361" s="12">
        <f t="shared" si="80"/>
        <v>4.4987700699188511E-2</v>
      </c>
      <c r="T361" s="12">
        <f t="shared" si="81"/>
        <v>-3.8000828865924251E-3</v>
      </c>
      <c r="U361" s="12">
        <f t="shared" si="65"/>
        <v>-2.4368658173019074E-5</v>
      </c>
      <c r="V361" s="12">
        <f t="shared" si="53"/>
        <v>7.5579337174636692E-4</v>
      </c>
      <c r="W361" s="12">
        <f t="shared" si="54"/>
        <v>-6.3841392494752737E-5</v>
      </c>
      <c r="X361" s="12">
        <f t="shared" si="55"/>
        <v>-5.8020614697664469E-7</v>
      </c>
      <c r="Y361" s="12">
        <f t="shared" si="56"/>
        <v>1.7995080279675404E-5</v>
      </c>
      <c r="Z361" s="12">
        <f t="shared" si="57"/>
        <v>-1.5200331546369701E-6</v>
      </c>
    </row>
    <row r="362" spans="1:26" ht="13">
      <c r="A362" s="8" t="s">
        <v>90</v>
      </c>
      <c r="B362" s="9">
        <v>2017</v>
      </c>
      <c r="C362" s="10">
        <v>112.36</v>
      </c>
      <c r="D362" s="10">
        <v>1075.56</v>
      </c>
      <c r="E362" s="10">
        <v>1649.75</v>
      </c>
      <c r="F362" s="10">
        <v>1343.06</v>
      </c>
      <c r="G362" s="10">
        <v>1068.6099999999999</v>
      </c>
      <c r="H362" s="10">
        <f t="shared" si="83"/>
        <v>6.8107288983179276E-2</v>
      </c>
      <c r="I362" s="10">
        <f t="shared" si="84"/>
        <v>0.65195332626155478</v>
      </c>
      <c r="J362" s="10">
        <f t="shared" si="85"/>
        <v>1.2568289647298827</v>
      </c>
      <c r="K362" s="4">
        <f t="shared" si="95"/>
        <v>-0.89537615659236325</v>
      </c>
      <c r="L362" s="10">
        <f t="shared" si="77"/>
        <v>0.65195332626155478</v>
      </c>
      <c r="M362" s="10">
        <v>-279.97000000000003</v>
      </c>
      <c r="N362" s="10">
        <v>-47.46</v>
      </c>
      <c r="O362" s="10">
        <v>168.33</v>
      </c>
      <c r="P362" s="11">
        <v>0.1094</v>
      </c>
      <c r="Q362" s="11">
        <f>(1.17+0.13+0.36+0.17+0.18+0.17+0.08+0.08)%</f>
        <v>2.3399999999999997E-2</v>
      </c>
      <c r="R362" s="12">
        <f t="shared" si="79"/>
        <v>-0.16970450068192153</v>
      </c>
      <c r="S362" s="12">
        <f t="shared" si="80"/>
        <v>-2.876799515078042E-2</v>
      </c>
      <c r="T362" s="12">
        <f t="shared" si="81"/>
        <v>0.10203364146082741</v>
      </c>
      <c r="U362" s="12">
        <f t="shared" si="65"/>
        <v>-1.8565672374602216E-2</v>
      </c>
      <c r="V362" s="12">
        <f t="shared" si="53"/>
        <v>-3.1472186694953778E-3</v>
      </c>
      <c r="W362" s="12">
        <f t="shared" si="54"/>
        <v>1.1162480375814519E-2</v>
      </c>
      <c r="X362" s="12">
        <f t="shared" si="55"/>
        <v>-3.9710853159569629E-3</v>
      </c>
      <c r="Y362" s="12">
        <f t="shared" si="56"/>
        <v>-6.7317108652826174E-4</v>
      </c>
      <c r="Z362" s="12">
        <f t="shared" si="57"/>
        <v>2.3875872101833612E-3</v>
      </c>
    </row>
    <row r="363" spans="1:26" ht="13">
      <c r="A363" s="8" t="str">
        <f t="shared" ref="A363:A366" si="100">A362</f>
        <v>FMC</v>
      </c>
      <c r="B363" s="9">
        <v>2018</v>
      </c>
      <c r="C363" s="10">
        <v>180.5</v>
      </c>
      <c r="D363" s="10">
        <v>806.31</v>
      </c>
      <c r="E363" s="10">
        <v>1495.24</v>
      </c>
      <c r="F363" s="10">
        <v>1187.0899999999999</v>
      </c>
      <c r="G363" s="10">
        <v>798.65</v>
      </c>
      <c r="H363" s="10">
        <f t="shared" si="83"/>
        <v>0.12071640673069206</v>
      </c>
      <c r="I363" s="10">
        <f t="shared" si="84"/>
        <v>0.53925122388379121</v>
      </c>
      <c r="J363" s="10">
        <f t="shared" si="85"/>
        <v>1.4863707506417079</v>
      </c>
      <c r="K363" s="4">
        <f t="shared" si="95"/>
        <v>-1.7754373371530709</v>
      </c>
      <c r="L363" s="10">
        <f t="shared" si="77"/>
        <v>0.53925122388379121</v>
      </c>
      <c r="M363" s="10">
        <v>364.37</v>
      </c>
      <c r="N363" s="10">
        <v>-76.08</v>
      </c>
      <c r="O363" s="10">
        <v>-427.96</v>
      </c>
      <c r="P363" s="11">
        <v>6.6600000000000006E-2</v>
      </c>
      <c r="Q363" s="11">
        <f>(1.38+0.12+0.47+0.28+0.27+0.28+0.11+0.01+0.11+0.07+0.1+0.1+0.07)%</f>
        <v>3.3699999999999994E-2</v>
      </c>
      <c r="R363" s="12">
        <f t="shared" si="79"/>
        <v>0.24368663224632836</v>
      </c>
      <c r="S363" s="12">
        <f t="shared" si="80"/>
        <v>-5.0881463845268989E-2</v>
      </c>
      <c r="T363" s="12">
        <f t="shared" si="81"/>
        <v>-0.28621492201920762</v>
      </c>
      <c r="U363" s="12">
        <f t="shared" si="65"/>
        <v>1.622952970760547E-2</v>
      </c>
      <c r="V363" s="12">
        <f t="shared" si="53"/>
        <v>-3.3887054920949148E-3</v>
      </c>
      <c r="W363" s="12">
        <f t="shared" si="54"/>
        <v>-1.906191380647923E-2</v>
      </c>
      <c r="X363" s="12">
        <f t="shared" si="55"/>
        <v>8.2122395067012639E-3</v>
      </c>
      <c r="Y363" s="12">
        <f t="shared" si="56"/>
        <v>-1.7147053315855645E-3</v>
      </c>
      <c r="Z363" s="12">
        <f t="shared" si="57"/>
        <v>-9.6454428720472943E-3</v>
      </c>
    </row>
    <row r="364" spans="1:26" ht="13">
      <c r="A364" s="8" t="str">
        <f t="shared" si="100"/>
        <v>FMC</v>
      </c>
      <c r="B364" s="9">
        <v>2019</v>
      </c>
      <c r="C364" s="10">
        <v>229.78</v>
      </c>
      <c r="D364" s="10">
        <v>582.08000000000004</v>
      </c>
      <c r="E364" s="10">
        <v>1520.84</v>
      </c>
      <c r="F364" s="10">
        <v>1098.18</v>
      </c>
      <c r="G364" s="10">
        <v>571.85</v>
      </c>
      <c r="H364" s="10">
        <f t="shared" si="83"/>
        <v>0.15108755687646303</v>
      </c>
      <c r="I364" s="10">
        <f t="shared" si="84"/>
        <v>0.38273585650035513</v>
      </c>
      <c r="J364" s="10">
        <f t="shared" si="85"/>
        <v>1.9203987059543588</v>
      </c>
      <c r="K364" s="4">
        <f t="shared" si="95"/>
        <v>-2.8059812187158766</v>
      </c>
      <c r="L364" s="10">
        <f t="shared" si="77"/>
        <v>0.38273585650035513</v>
      </c>
      <c r="M364" s="10">
        <v>556.70000000000005</v>
      </c>
      <c r="N364" s="10">
        <v>-151.18</v>
      </c>
      <c r="O364" s="10">
        <v>-188.73</v>
      </c>
      <c r="P364" s="11">
        <v>7.3800000000000004E-2</v>
      </c>
      <c r="Q364" s="11">
        <f>(1.65+0.52+0.33+0.32+0.33+0.11+0.17+0.11+0.14+0.13+0.1)%</f>
        <v>3.9099999999999996E-2</v>
      </c>
      <c r="R364" s="12">
        <f t="shared" si="79"/>
        <v>0.36604771047578977</v>
      </c>
      <c r="S364" s="12">
        <f t="shared" si="80"/>
        <v>-9.9405591646721553E-2</v>
      </c>
      <c r="T364" s="12">
        <f t="shared" si="81"/>
        <v>-0.12409589437416164</v>
      </c>
      <c r="U364" s="12">
        <f t="shared" si="65"/>
        <v>2.7014321033113287E-2</v>
      </c>
      <c r="V364" s="12">
        <f t="shared" si="53"/>
        <v>-7.3361326635280506E-3</v>
      </c>
      <c r="W364" s="12">
        <f t="shared" si="54"/>
        <v>-9.1582770048131302E-3</v>
      </c>
      <c r="X364" s="12">
        <f t="shared" si="55"/>
        <v>1.4312465479603378E-2</v>
      </c>
      <c r="Y364" s="12">
        <f t="shared" si="56"/>
        <v>-3.8867586333868123E-3</v>
      </c>
      <c r="Z364" s="12">
        <f t="shared" si="57"/>
        <v>-4.8521494700297201E-3</v>
      </c>
    </row>
    <row r="365" spans="1:26" ht="13">
      <c r="A365" s="8" t="str">
        <f t="shared" si="100"/>
        <v>FMC</v>
      </c>
      <c r="B365" s="9">
        <v>2020</v>
      </c>
      <c r="C365" s="10">
        <v>225.96</v>
      </c>
      <c r="D365" s="10">
        <v>630.01</v>
      </c>
      <c r="E365" s="10">
        <v>1711.16</v>
      </c>
      <c r="F365" s="10">
        <v>1221.01</v>
      </c>
      <c r="G365" s="10">
        <v>619.65</v>
      </c>
      <c r="H365" s="10">
        <f t="shared" si="83"/>
        <v>0.13205077257532902</v>
      </c>
      <c r="I365" s="10">
        <f t="shared" si="84"/>
        <v>0.36817714299071974</v>
      </c>
      <c r="J365" s="10">
        <f t="shared" si="85"/>
        <v>1.970483337367869</v>
      </c>
      <c r="K365" s="4">
        <f t="shared" si="95"/>
        <v>-2.8035006948913495</v>
      </c>
      <c r="L365" s="10">
        <f t="shared" si="77"/>
        <v>0.36817714299071974</v>
      </c>
      <c r="M365" s="10">
        <v>42.01</v>
      </c>
      <c r="N365" s="10">
        <v>-60.85</v>
      </c>
      <c r="O365" s="10">
        <v>42.5</v>
      </c>
      <c r="P365" s="11">
        <v>8.4900000000000003E-2</v>
      </c>
      <c r="Q365" s="11">
        <f>(1.65+0.52+0.33+0.32+0.13+0.17+0.14+0.05)%</f>
        <v>3.3099999999999997E-2</v>
      </c>
      <c r="R365" s="12">
        <f t="shared" si="79"/>
        <v>2.4550597255662821E-2</v>
      </c>
      <c r="S365" s="12">
        <f t="shared" si="80"/>
        <v>-3.5560672292479951E-2</v>
      </c>
      <c r="T365" s="12">
        <f t="shared" si="81"/>
        <v>2.4836952710442037E-2</v>
      </c>
      <c r="U365" s="12">
        <f t="shared" si="65"/>
        <v>2.0843457070057734E-3</v>
      </c>
      <c r="V365" s="12">
        <f t="shared" si="53"/>
        <v>-3.0191010776315481E-3</v>
      </c>
      <c r="W365" s="12">
        <f t="shared" si="54"/>
        <v>2.1086572851165292E-3</v>
      </c>
      <c r="X365" s="12">
        <f t="shared" si="55"/>
        <v>8.1262476916243932E-4</v>
      </c>
      <c r="Y365" s="12">
        <f t="shared" si="56"/>
        <v>-1.1770582528810862E-3</v>
      </c>
      <c r="Z365" s="12">
        <f t="shared" si="57"/>
        <v>8.2210313471563136E-4</v>
      </c>
    </row>
    <row r="366" spans="1:26" ht="13">
      <c r="A366" s="8" t="str">
        <f t="shared" si="100"/>
        <v>FMC</v>
      </c>
      <c r="B366" s="9">
        <v>2021</v>
      </c>
      <c r="C366" s="10">
        <v>287.08999999999997</v>
      </c>
      <c r="D366" s="10">
        <v>723.03</v>
      </c>
      <c r="E366" s="10">
        <v>2699.78</v>
      </c>
      <c r="F366" s="10">
        <v>2150.12</v>
      </c>
      <c r="G366" s="10">
        <v>713.1</v>
      </c>
      <c r="H366" s="10">
        <f t="shared" si="83"/>
        <v>0.1063382942313818</v>
      </c>
      <c r="I366" s="10">
        <f t="shared" si="84"/>
        <v>0.26781071050233718</v>
      </c>
      <c r="J366" s="10">
        <f t="shared" si="85"/>
        <v>3.0151731874912353</v>
      </c>
      <c r="K366" s="4">
        <f t="shared" si="95"/>
        <v>-3.2640619669278603</v>
      </c>
      <c r="L366" s="10">
        <f t="shared" si="77"/>
        <v>0.26781071050233718</v>
      </c>
      <c r="M366" s="10">
        <v>178.37</v>
      </c>
      <c r="N366" s="10">
        <v>-232.52</v>
      </c>
      <c r="O366" s="10">
        <v>555.17999999999995</v>
      </c>
      <c r="P366" s="11">
        <v>0.32450000000000001</v>
      </c>
      <c r="Q366" s="11">
        <f>(1.09+0.47+0.22+0.01+0.12+0.1)%</f>
        <v>2.0100000000000003E-2</v>
      </c>
      <c r="R366" s="12">
        <f t="shared" si="79"/>
        <v>6.6068346309699308E-2</v>
      </c>
      <c r="S366" s="12">
        <f t="shared" si="80"/>
        <v>-8.6125536154797802E-2</v>
      </c>
      <c r="T366" s="12">
        <f t="shared" si="81"/>
        <v>0.20563897799079922</v>
      </c>
      <c r="U366" s="12">
        <f t="shared" si="65"/>
        <v>2.1439178377497425E-2</v>
      </c>
      <c r="V366" s="12">
        <f t="shared" si="53"/>
        <v>-2.7947736482231887E-2</v>
      </c>
      <c r="W366" s="12">
        <f t="shared" si="54"/>
        <v>6.6729848358014349E-2</v>
      </c>
      <c r="X366" s="12">
        <f t="shared" si="55"/>
        <v>1.3279737608249563E-3</v>
      </c>
      <c r="Y366" s="12">
        <f t="shared" si="56"/>
        <v>-1.7311232767114361E-3</v>
      </c>
      <c r="Z366" s="12">
        <f t="shared" si="57"/>
        <v>4.133343457615065E-3</v>
      </c>
    </row>
    <row r="367" spans="1:26" ht="13">
      <c r="A367" s="8" t="s">
        <v>91</v>
      </c>
      <c r="B367" s="9">
        <v>2017</v>
      </c>
      <c r="C367" s="10">
        <v>3528.11</v>
      </c>
      <c r="D367" s="10">
        <v>11761.3</v>
      </c>
      <c r="E367" s="10">
        <v>24999.68</v>
      </c>
      <c r="F367" s="10">
        <v>16059.94</v>
      </c>
      <c r="G367" s="10">
        <v>11100.34</v>
      </c>
      <c r="H367" s="10">
        <f t="shared" si="83"/>
        <v>0.14112620641544213</v>
      </c>
      <c r="I367" s="10">
        <f t="shared" si="84"/>
        <v>0.47045802186267982</v>
      </c>
      <c r="J367" s="10">
        <f t="shared" si="85"/>
        <v>1.446797125133104</v>
      </c>
      <c r="K367" s="4">
        <f t="shared" si="95"/>
        <v>-2.259244392752747</v>
      </c>
      <c r="L367" s="10">
        <f t="shared" si="77"/>
        <v>0.47045802186267982</v>
      </c>
      <c r="M367" s="10">
        <v>1988.18</v>
      </c>
      <c r="N367" s="10">
        <v>-2608.7800000000002</v>
      </c>
      <c r="O367" s="10">
        <v>-1912.1</v>
      </c>
      <c r="P367" s="11">
        <v>0.49</v>
      </c>
      <c r="Q367" s="11">
        <f>(7.1+3.42+1.13)%</f>
        <v>0.11649999999999999</v>
      </c>
      <c r="R367" s="12">
        <f t="shared" si="79"/>
        <v>7.9528217961189904E-2</v>
      </c>
      <c r="S367" s="12">
        <f t="shared" si="80"/>
        <v>-0.10435253571245713</v>
      </c>
      <c r="T367" s="12">
        <f t="shared" si="81"/>
        <v>-7.6484979007731296E-2</v>
      </c>
      <c r="U367" s="12">
        <f t="shared" si="65"/>
        <v>3.8968826800983049E-2</v>
      </c>
      <c r="V367" s="12">
        <f t="shared" si="53"/>
        <v>-5.1132742499103996E-2</v>
      </c>
      <c r="W367" s="12">
        <f t="shared" si="54"/>
        <v>-3.7477639713788334E-2</v>
      </c>
      <c r="X367" s="12">
        <f t="shared" si="55"/>
        <v>9.2650373924786228E-3</v>
      </c>
      <c r="Y367" s="12">
        <f t="shared" si="56"/>
        <v>-1.2157070410501255E-2</v>
      </c>
      <c r="Z367" s="12">
        <f t="shared" si="57"/>
        <v>-8.9105000544006958E-3</v>
      </c>
    </row>
    <row r="368" spans="1:26" ht="13">
      <c r="A368" s="8" t="str">
        <f t="shared" ref="A368:A371" si="101">A367</f>
        <v>FPT</v>
      </c>
      <c r="B368" s="9">
        <v>2018</v>
      </c>
      <c r="C368" s="10">
        <v>3234</v>
      </c>
      <c r="D368" s="10">
        <v>14982.1</v>
      </c>
      <c r="E368" s="10">
        <v>29757.07</v>
      </c>
      <c r="F368" s="10">
        <v>18406.09</v>
      </c>
      <c r="G368" s="10">
        <v>14451.15</v>
      </c>
      <c r="H368" s="10">
        <f t="shared" si="83"/>
        <v>0.1086800548575515</v>
      </c>
      <c r="I368" s="10">
        <f t="shared" si="84"/>
        <v>0.50348034937579544</v>
      </c>
      <c r="J368" s="10">
        <f t="shared" si="85"/>
        <v>1.2736764894143373</v>
      </c>
      <c r="K368" s="4">
        <f t="shared" si="95"/>
        <v>-1.9243169613746045</v>
      </c>
      <c r="L368" s="10">
        <f t="shared" si="77"/>
        <v>0.50348034937579544</v>
      </c>
      <c r="M368" s="10">
        <v>3588.32</v>
      </c>
      <c r="N368" s="10">
        <v>-3696.73</v>
      </c>
      <c r="O368" s="10">
        <v>553.48</v>
      </c>
      <c r="P368" s="11">
        <v>0.49</v>
      </c>
      <c r="Q368" s="11">
        <f>(7.1+3.42+1.12)%</f>
        <v>0.1164</v>
      </c>
      <c r="R368" s="12">
        <f t="shared" si="79"/>
        <v>0.1205871411399039</v>
      </c>
      <c r="S368" s="12">
        <f t="shared" si="80"/>
        <v>-0.12423030896523078</v>
      </c>
      <c r="T368" s="12">
        <f t="shared" si="81"/>
        <v>1.8599949524600375E-2</v>
      </c>
      <c r="U368" s="12">
        <f t="shared" si="65"/>
        <v>5.9087699158552914E-2</v>
      </c>
      <c r="V368" s="12">
        <f t="shared" si="53"/>
        <v>-6.0872851392963084E-2</v>
      </c>
      <c r="W368" s="12">
        <f t="shared" si="54"/>
        <v>9.1139752670541842E-3</v>
      </c>
      <c r="X368" s="12">
        <f t="shared" si="55"/>
        <v>1.4036343228684814E-2</v>
      </c>
      <c r="Y368" s="12">
        <f t="shared" si="56"/>
        <v>-1.4460407963552864E-2</v>
      </c>
      <c r="Z368" s="12">
        <f t="shared" si="57"/>
        <v>2.1650341246634837E-3</v>
      </c>
    </row>
    <row r="369" spans="1:26" ht="13">
      <c r="A369" s="8" t="str">
        <f t="shared" si="101"/>
        <v>FPT</v>
      </c>
      <c r="B369" s="9">
        <v>2019</v>
      </c>
      <c r="C369" s="10">
        <v>3911.71</v>
      </c>
      <c r="D369" s="10">
        <v>16594.87</v>
      </c>
      <c r="E369" s="10">
        <v>33394.160000000003</v>
      </c>
      <c r="F369" s="10">
        <v>18979.18</v>
      </c>
      <c r="G369" s="10">
        <v>16102.26</v>
      </c>
      <c r="H369" s="10">
        <f t="shared" si="83"/>
        <v>0.11713754740349809</v>
      </c>
      <c r="I369" s="10">
        <f t="shared" si="84"/>
        <v>0.49693928519238084</v>
      </c>
      <c r="J369" s="10">
        <f t="shared" si="85"/>
        <v>1.1786656034618743</v>
      </c>
      <c r="K369" s="4">
        <f t="shared" si="95"/>
        <v>-1.999279700133018</v>
      </c>
      <c r="L369" s="10">
        <f t="shared" si="77"/>
        <v>0.49693928519238084</v>
      </c>
      <c r="M369" s="10">
        <v>3898.75</v>
      </c>
      <c r="N369" s="10">
        <v>-3845.07</v>
      </c>
      <c r="O369" s="10">
        <v>-514.37</v>
      </c>
      <c r="P369" s="11">
        <v>0.49</v>
      </c>
      <c r="Q369" s="11">
        <f>(7.08+2.75+1.13)%</f>
        <v>0.1096</v>
      </c>
      <c r="R369" s="12">
        <f t="shared" si="79"/>
        <v>0.1167494555934331</v>
      </c>
      <c r="S369" s="12">
        <f t="shared" si="80"/>
        <v>-0.11514198889865772</v>
      </c>
      <c r="T369" s="12">
        <f t="shared" si="81"/>
        <v>-1.5402992619068722E-2</v>
      </c>
      <c r="U369" s="12">
        <f t="shared" si="65"/>
        <v>5.7207233240782217E-2</v>
      </c>
      <c r="V369" s="12">
        <f t="shared" si="53"/>
        <v>-5.641957456034228E-2</v>
      </c>
      <c r="W369" s="12">
        <f t="shared" si="54"/>
        <v>-7.5474663833436737E-3</v>
      </c>
      <c r="X369" s="12">
        <f t="shared" si="55"/>
        <v>1.2795740333040267E-2</v>
      </c>
      <c r="Y369" s="12">
        <f t="shared" si="56"/>
        <v>-1.2619561983292886E-2</v>
      </c>
      <c r="Z369" s="12">
        <f t="shared" si="57"/>
        <v>-1.688167991049932E-3</v>
      </c>
    </row>
    <row r="370" spans="1:26" ht="13">
      <c r="A370" s="8" t="str">
        <f t="shared" si="101"/>
        <v>FPT</v>
      </c>
      <c r="B370" s="9">
        <v>2020</v>
      </c>
      <c r="C370" s="10">
        <v>4423.75</v>
      </c>
      <c r="D370" s="10">
        <v>23128.66</v>
      </c>
      <c r="E370" s="10">
        <v>41734.32</v>
      </c>
      <c r="F370" s="10">
        <v>25265.93</v>
      </c>
      <c r="G370" s="10">
        <v>22364.71</v>
      </c>
      <c r="H370" s="10">
        <f t="shared" si="83"/>
        <v>0.10599789334054083</v>
      </c>
      <c r="I370" s="10">
        <f t="shared" si="84"/>
        <v>0.5541880160021776</v>
      </c>
      <c r="J370" s="10">
        <f t="shared" si="85"/>
        <v>1.1297231218289887</v>
      </c>
      <c r="K370" s="4">
        <f t="shared" si="95"/>
        <v>-1.6226377213073373</v>
      </c>
      <c r="L370" s="10">
        <f t="shared" si="77"/>
        <v>0.5541880160021776</v>
      </c>
      <c r="M370" s="10">
        <v>6339.68</v>
      </c>
      <c r="N370" s="10">
        <v>-8144.12</v>
      </c>
      <c r="O370" s="10">
        <v>3037.36</v>
      </c>
      <c r="P370" s="11">
        <v>0.49</v>
      </c>
      <c r="Q370" s="11">
        <f>(0.05+0.13+0.08+0.03)%</f>
        <v>2.9000000000000002E-3</v>
      </c>
      <c r="R370" s="12">
        <f t="shared" si="79"/>
        <v>0.15190567379557163</v>
      </c>
      <c r="S370" s="12">
        <f t="shared" si="80"/>
        <v>-0.19514203178582998</v>
      </c>
      <c r="T370" s="12">
        <f t="shared" si="81"/>
        <v>7.2778471052122096E-2</v>
      </c>
      <c r="U370" s="12">
        <f t="shared" si="65"/>
        <v>7.4433780159830099E-2</v>
      </c>
      <c r="V370" s="12">
        <f t="shared" si="53"/>
        <v>-9.5619595575056684E-2</v>
      </c>
      <c r="W370" s="12">
        <f t="shared" si="54"/>
        <v>3.5661450815539827E-2</v>
      </c>
      <c r="X370" s="12">
        <f t="shared" si="55"/>
        <v>4.4052645400715777E-4</v>
      </c>
      <c r="Y370" s="12">
        <f t="shared" si="56"/>
        <v>-5.6591189217890703E-4</v>
      </c>
      <c r="Z370" s="12">
        <f t="shared" si="57"/>
        <v>2.1105756605115409E-4</v>
      </c>
    </row>
    <row r="371" spans="1:26" ht="13">
      <c r="A371" s="8" t="str">
        <f t="shared" si="101"/>
        <v>FPT</v>
      </c>
      <c r="B371" s="9">
        <v>2021</v>
      </c>
      <c r="C371" s="10">
        <v>5349.3</v>
      </c>
      <c r="D371" s="10">
        <v>32279.96</v>
      </c>
      <c r="E371" s="10">
        <v>53697.94</v>
      </c>
      <c r="F371" s="10">
        <v>35118.370000000003</v>
      </c>
      <c r="G371" s="10">
        <v>29761.11</v>
      </c>
      <c r="H371" s="10">
        <f t="shared" si="83"/>
        <v>9.9618346625587495E-2</v>
      </c>
      <c r="I371" s="10">
        <f t="shared" si="84"/>
        <v>0.6011396340343782</v>
      </c>
      <c r="J371" s="10">
        <f t="shared" si="85"/>
        <v>1.1800087429534718</v>
      </c>
      <c r="K371" s="4">
        <f t="shared" si="95"/>
        <v>-1.3265066807910013</v>
      </c>
      <c r="L371" s="10">
        <f t="shared" si="77"/>
        <v>0.6011396340343782</v>
      </c>
      <c r="M371" s="10">
        <v>5839.69</v>
      </c>
      <c r="N371" s="10">
        <v>-10412.89</v>
      </c>
      <c r="O371" s="10">
        <v>5364.66</v>
      </c>
      <c r="P371" s="11">
        <v>0.49</v>
      </c>
      <c r="Q371" s="11">
        <f>(0.02+0.1+0.09+0.03)%</f>
        <v>2.4000000000000002E-3</v>
      </c>
      <c r="R371" s="12">
        <f t="shared" si="79"/>
        <v>0.10875072675041164</v>
      </c>
      <c r="S371" s="12">
        <f t="shared" si="80"/>
        <v>-0.19391600497151285</v>
      </c>
      <c r="T371" s="12">
        <f t="shared" si="81"/>
        <v>9.9904391118169511E-2</v>
      </c>
      <c r="U371" s="12">
        <f t="shared" si="65"/>
        <v>5.3287856107701703E-2</v>
      </c>
      <c r="V371" s="12">
        <f t="shared" si="53"/>
        <v>-9.5018842436041293E-2</v>
      </c>
      <c r="W371" s="12">
        <f t="shared" si="54"/>
        <v>4.8953151647903058E-2</v>
      </c>
      <c r="X371" s="12">
        <f t="shared" si="55"/>
        <v>2.6100174420098796E-4</v>
      </c>
      <c r="Y371" s="12">
        <f t="shared" si="56"/>
        <v>-4.6539841193163085E-4</v>
      </c>
      <c r="Z371" s="12">
        <f t="shared" si="57"/>
        <v>2.3977053868360685E-4</v>
      </c>
    </row>
    <row r="372" spans="1:26" ht="13">
      <c r="A372" s="8" t="s">
        <v>92</v>
      </c>
      <c r="B372" s="9">
        <v>2017</v>
      </c>
      <c r="C372" s="10">
        <v>289.88</v>
      </c>
      <c r="D372" s="10">
        <v>3074.77</v>
      </c>
      <c r="E372" s="10">
        <v>3871.23</v>
      </c>
      <c r="F372" s="10">
        <v>3509.33</v>
      </c>
      <c r="G372" s="10">
        <v>3074.77</v>
      </c>
      <c r="H372" s="10">
        <f t="shared" si="83"/>
        <v>7.4880593506456608E-2</v>
      </c>
      <c r="I372" s="10">
        <f t="shared" si="84"/>
        <v>0.79426177209827364</v>
      </c>
      <c r="J372" s="10">
        <f t="shared" si="85"/>
        <v>1.1413308962946822</v>
      </c>
      <c r="K372" s="4">
        <f t="shared" si="95"/>
        <v>-0.11423589340407252</v>
      </c>
      <c r="L372" s="10">
        <f t="shared" si="77"/>
        <v>0.79426177209827364</v>
      </c>
      <c r="M372" s="10">
        <v>178.86</v>
      </c>
      <c r="N372" s="10">
        <v>263.27999999999997</v>
      </c>
      <c r="O372" s="10">
        <v>-1261.57</v>
      </c>
      <c r="P372" s="11">
        <v>0.309</v>
      </c>
      <c r="Q372" s="11">
        <v>2.1000000000000001E-2</v>
      </c>
      <c r="R372" s="12">
        <f t="shared" si="79"/>
        <v>4.6202369789446765E-2</v>
      </c>
      <c r="S372" s="12">
        <f t="shared" si="80"/>
        <v>6.8009392363667348E-2</v>
      </c>
      <c r="T372" s="12">
        <f t="shared" si="81"/>
        <v>-0.32588350472588812</v>
      </c>
      <c r="U372" s="12">
        <f t="shared" si="65"/>
        <v>1.427653226493905E-2</v>
      </c>
      <c r="V372" s="12">
        <f t="shared" si="53"/>
        <v>2.1014902240373209E-2</v>
      </c>
      <c r="W372" s="12">
        <f t="shared" si="54"/>
        <v>-0.10069800296029943</v>
      </c>
      <c r="X372" s="12">
        <f t="shared" si="55"/>
        <v>9.7024976557838212E-4</v>
      </c>
      <c r="Y372" s="12">
        <f t="shared" si="56"/>
        <v>1.4281972396370144E-3</v>
      </c>
      <c r="Z372" s="12">
        <f t="shared" si="57"/>
        <v>-6.8435535992436508E-3</v>
      </c>
    </row>
    <row r="373" spans="1:26" ht="13">
      <c r="A373" s="8" t="str">
        <f t="shared" ref="A373:A376" si="102">A372</f>
        <v>FRT</v>
      </c>
      <c r="B373" s="9">
        <v>2018</v>
      </c>
      <c r="C373" s="10">
        <v>347.75</v>
      </c>
      <c r="D373" s="10">
        <v>4008.9</v>
      </c>
      <c r="E373" s="10">
        <v>5167.67</v>
      </c>
      <c r="F373" s="10">
        <v>4815.2700000000004</v>
      </c>
      <c r="G373" s="10">
        <v>4008.9</v>
      </c>
      <c r="H373" s="10">
        <f t="shared" si="83"/>
        <v>6.7293383671944998E-2</v>
      </c>
      <c r="I373" s="10">
        <f t="shared" si="84"/>
        <v>0.77576548038090665</v>
      </c>
      <c r="J373" s="10">
        <f t="shared" si="85"/>
        <v>1.2011449524807305</v>
      </c>
      <c r="K373" s="4">
        <f t="shared" si="95"/>
        <v>-0.1857615681625068</v>
      </c>
      <c r="L373" s="10">
        <f t="shared" si="77"/>
        <v>0.77576548038090665</v>
      </c>
      <c r="M373" s="10">
        <v>-1386.74</v>
      </c>
      <c r="N373" s="10">
        <v>-104.61</v>
      </c>
      <c r="O373" s="10">
        <v>1801.65</v>
      </c>
      <c r="P373" s="11">
        <v>0.48699999999999999</v>
      </c>
      <c r="Q373" s="11">
        <f>(0.5+0.5+0.3+0.4)%</f>
        <v>1.7000000000000001E-2</v>
      </c>
      <c r="R373" s="12">
        <f t="shared" si="79"/>
        <v>-0.2683491786433731</v>
      </c>
      <c r="S373" s="12">
        <f t="shared" si="80"/>
        <v>-2.0243165682019167E-2</v>
      </c>
      <c r="T373" s="12">
        <f t="shared" si="81"/>
        <v>0.34863874821728169</v>
      </c>
      <c r="U373" s="12">
        <f t="shared" si="65"/>
        <v>-0.13068604999932271</v>
      </c>
      <c r="V373" s="12">
        <f t="shared" si="53"/>
        <v>-9.8584216871433344E-3</v>
      </c>
      <c r="W373" s="12">
        <f t="shared" si="54"/>
        <v>0.16978707038181617</v>
      </c>
      <c r="X373" s="12">
        <f t="shared" si="55"/>
        <v>-4.5619360369373429E-3</v>
      </c>
      <c r="Y373" s="12">
        <f t="shared" si="56"/>
        <v>-3.4413381659432584E-4</v>
      </c>
      <c r="Z373" s="12">
        <f t="shared" si="57"/>
        <v>5.9268587196937891E-3</v>
      </c>
    </row>
    <row r="374" spans="1:26" ht="13">
      <c r="A374" s="8" t="str">
        <f t="shared" si="102"/>
        <v>FRT</v>
      </c>
      <c r="B374" s="9">
        <v>2019</v>
      </c>
      <c r="C374" s="10">
        <v>203.85</v>
      </c>
      <c r="D374" s="10">
        <v>5314.41</v>
      </c>
      <c r="E374" s="10">
        <v>6593.77</v>
      </c>
      <c r="F374" s="10">
        <v>6173.24</v>
      </c>
      <c r="G374" s="10">
        <v>5308.13</v>
      </c>
      <c r="H374" s="10">
        <f t="shared" si="83"/>
        <v>3.0915546038154194E-2</v>
      </c>
      <c r="I374" s="10">
        <f t="shared" si="84"/>
        <v>0.80597442737614433</v>
      </c>
      <c r="J374" s="10">
        <f t="shared" si="85"/>
        <v>1.1629782993257511</v>
      </c>
      <c r="K374" s="4">
        <f t="shared" si="95"/>
        <v>0.15028236567502568</v>
      </c>
      <c r="L374" s="10">
        <f t="shared" si="77"/>
        <v>0.80597442737614433</v>
      </c>
      <c r="M374" s="10">
        <v>-108.2</v>
      </c>
      <c r="N374" s="10">
        <v>-646.99</v>
      </c>
      <c r="O374" s="10">
        <v>676.46</v>
      </c>
      <c r="P374" s="11">
        <v>0.52490000000000003</v>
      </c>
      <c r="Q374" s="11">
        <f t="shared" ref="Q374:Q375" si="103">(0.5+0.5+0.21)%</f>
        <v>1.21E-2</v>
      </c>
      <c r="R374" s="12">
        <f t="shared" si="79"/>
        <v>-1.6409428900310444E-2</v>
      </c>
      <c r="S374" s="12">
        <f t="shared" si="80"/>
        <v>-9.8121408541699207E-2</v>
      </c>
      <c r="T374" s="12">
        <f t="shared" si="81"/>
        <v>0.1025907788715712</v>
      </c>
      <c r="U374" s="12">
        <f t="shared" si="65"/>
        <v>-8.6133092297729537E-3</v>
      </c>
      <c r="V374" s="12">
        <f t="shared" si="53"/>
        <v>-5.1503927343537918E-2</v>
      </c>
      <c r="W374" s="12">
        <f t="shared" si="54"/>
        <v>5.3849899829687728E-2</v>
      </c>
      <c r="X374" s="12">
        <f t="shared" si="55"/>
        <v>-1.9855408969375637E-4</v>
      </c>
      <c r="Y374" s="12">
        <f t="shared" si="56"/>
        <v>-1.1872690433545603E-3</v>
      </c>
      <c r="Z374" s="12">
        <f t="shared" si="57"/>
        <v>1.2413484243460114E-3</v>
      </c>
    </row>
    <row r="375" spans="1:26" ht="13">
      <c r="A375" s="8" t="str">
        <f t="shared" si="102"/>
        <v>FRT</v>
      </c>
      <c r="B375" s="9">
        <v>2020</v>
      </c>
      <c r="C375" s="10">
        <v>10.220000000000001</v>
      </c>
      <c r="D375" s="10">
        <v>4162.45</v>
      </c>
      <c r="E375" s="10">
        <v>5387.58</v>
      </c>
      <c r="F375" s="10">
        <v>4960</v>
      </c>
      <c r="G375" s="10">
        <v>4162.45</v>
      </c>
      <c r="H375" s="10">
        <f t="shared" si="83"/>
        <v>1.8969555904506292E-3</v>
      </c>
      <c r="I375" s="10">
        <f t="shared" si="84"/>
        <v>0.77260105650403332</v>
      </c>
      <c r="J375" s="10">
        <f t="shared" si="85"/>
        <v>1.1916059051760381</v>
      </c>
      <c r="K375" s="4">
        <f t="shared" si="95"/>
        <v>9.0523298295258597E-2</v>
      </c>
      <c r="L375" s="10">
        <f t="shared" si="77"/>
        <v>0.77260105650403332</v>
      </c>
      <c r="M375" s="10">
        <v>1518.33</v>
      </c>
      <c r="N375" s="10">
        <v>-396.26</v>
      </c>
      <c r="O375" s="10">
        <v>-1272.8399999999999</v>
      </c>
      <c r="P375" s="11">
        <f>0.54%+17.29%</f>
        <v>0.17829999999999999</v>
      </c>
      <c r="Q375" s="11">
        <f t="shared" si="103"/>
        <v>1.21E-2</v>
      </c>
      <c r="R375" s="12">
        <f t="shared" si="79"/>
        <v>0.28182040916329781</v>
      </c>
      <c r="S375" s="12">
        <f t="shared" si="80"/>
        <v>-7.3550647971816666E-2</v>
      </c>
      <c r="T375" s="12">
        <f t="shared" si="81"/>
        <v>-0.23625449645295288</v>
      </c>
      <c r="U375" s="12">
        <f t="shared" si="65"/>
        <v>5.0248578953815994E-2</v>
      </c>
      <c r="V375" s="12">
        <f t="shared" si="53"/>
        <v>-1.311408053337491E-2</v>
      </c>
      <c r="W375" s="12">
        <f t="shared" si="54"/>
        <v>-4.2124176717561496E-2</v>
      </c>
      <c r="X375" s="12">
        <f t="shared" si="55"/>
        <v>3.4100269508759037E-3</v>
      </c>
      <c r="Y375" s="12">
        <f t="shared" si="56"/>
        <v>-8.899628404589816E-4</v>
      </c>
      <c r="Z375" s="12">
        <f t="shared" si="57"/>
        <v>-2.8586794070807296E-3</v>
      </c>
    </row>
    <row r="376" spans="1:26" ht="13">
      <c r="A376" s="8" t="str">
        <f t="shared" si="102"/>
        <v>FRT</v>
      </c>
      <c r="B376" s="9">
        <v>2021</v>
      </c>
      <c r="C376" s="10">
        <v>443.9</v>
      </c>
      <c r="D376" s="10">
        <v>9106.7900000000009</v>
      </c>
      <c r="E376" s="10">
        <v>10786.07</v>
      </c>
      <c r="F376" s="10">
        <v>10221.93</v>
      </c>
      <c r="G376" s="10">
        <v>9106.7099999999991</v>
      </c>
      <c r="H376" s="10">
        <f t="shared" si="83"/>
        <v>4.1154934095551023E-2</v>
      </c>
      <c r="I376" s="10">
        <f t="shared" si="84"/>
        <v>0.84431030022983355</v>
      </c>
      <c r="J376" s="10">
        <f t="shared" si="85"/>
        <v>1.1224613499276908</v>
      </c>
      <c r="K376" s="4">
        <f t="shared" si="95"/>
        <v>0.32288166248036088</v>
      </c>
      <c r="L376" s="10">
        <f t="shared" ref="L376:L439" si="104">D376/E376</f>
        <v>0.84431030022983355</v>
      </c>
      <c r="M376" s="10">
        <v>-1474.35</v>
      </c>
      <c r="N376" s="10">
        <v>-1686.13</v>
      </c>
      <c r="O376" s="10">
        <v>3564.19</v>
      </c>
      <c r="P376" s="11">
        <v>0.14860000000000001</v>
      </c>
      <c r="Q376" s="11">
        <f>(0.5+0.5+0.53)%</f>
        <v>1.5300000000000001E-2</v>
      </c>
      <c r="R376" s="12">
        <f t="shared" si="79"/>
        <v>-0.13669019392605461</v>
      </c>
      <c r="S376" s="12">
        <f t="shared" si="80"/>
        <v>-0.15632477816294538</v>
      </c>
      <c r="T376" s="12">
        <f t="shared" si="81"/>
        <v>0.33044380390633477</v>
      </c>
      <c r="U376" s="12">
        <f t="shared" si="65"/>
        <v>-2.0312162817411716E-2</v>
      </c>
      <c r="V376" s="12">
        <f t="shared" si="53"/>
        <v>-2.3229862035013683E-2</v>
      </c>
      <c r="W376" s="12">
        <f t="shared" si="54"/>
        <v>4.9103949260481353E-2</v>
      </c>
      <c r="X376" s="12">
        <f t="shared" si="55"/>
        <v>-2.0913599670686358E-3</v>
      </c>
      <c r="Y376" s="12">
        <f t="shared" si="56"/>
        <v>-2.3917691058930645E-3</v>
      </c>
      <c r="Z376" s="12">
        <f t="shared" si="57"/>
        <v>5.0557901997669219E-3</v>
      </c>
    </row>
    <row r="377" spans="1:26" ht="13">
      <c r="A377" s="8" t="s">
        <v>93</v>
      </c>
      <c r="B377" s="9">
        <v>2017</v>
      </c>
      <c r="C377" s="10">
        <v>9937.7900000000009</v>
      </c>
      <c r="D377" s="10">
        <v>18617.830000000002</v>
      </c>
      <c r="E377" s="10">
        <v>61889.34</v>
      </c>
      <c r="F377" s="10">
        <v>38256.959999999999</v>
      </c>
      <c r="G377" s="10">
        <v>10911.81</v>
      </c>
      <c r="H377" s="10">
        <f t="shared" si="83"/>
        <v>0.16057353334192934</v>
      </c>
      <c r="I377" s="10">
        <f t="shared" si="84"/>
        <v>0.30082450386447818</v>
      </c>
      <c r="J377" s="10">
        <f t="shared" si="85"/>
        <v>3.5060141259791</v>
      </c>
      <c r="K377" s="4">
        <f t="shared" si="95"/>
        <v>-3.3219052845150721</v>
      </c>
      <c r="L377" s="10">
        <f t="shared" si="104"/>
        <v>0.30082450386447818</v>
      </c>
      <c r="M377" s="10">
        <v>14385.55</v>
      </c>
      <c r="N377" s="10">
        <v>-8691.2099999999991</v>
      </c>
      <c r="O377" s="10">
        <v>-5728.94</v>
      </c>
      <c r="P377" s="11">
        <v>3.3099999999999997E-2</v>
      </c>
      <c r="Q377" s="11">
        <f>(0.00418+0.00418+0.00104+0.00366)%</f>
        <v>1.3059999999999998E-4</v>
      </c>
      <c r="R377" s="12">
        <f t="shared" si="79"/>
        <v>0.23243986767349595</v>
      </c>
      <c r="S377" s="12">
        <f t="shared" si="80"/>
        <v>-0.1404314539466732</v>
      </c>
      <c r="T377" s="12">
        <f t="shared" si="81"/>
        <v>-9.2567476079079211E-2</v>
      </c>
      <c r="U377" s="12">
        <f t="shared" si="65"/>
        <v>7.6937596199927157E-3</v>
      </c>
      <c r="V377" s="12">
        <f t="shared" si="53"/>
        <v>-4.6482811256348825E-3</v>
      </c>
      <c r="W377" s="12">
        <f t="shared" si="54"/>
        <v>-3.0639834582175218E-3</v>
      </c>
      <c r="X377" s="12">
        <f t="shared" si="55"/>
        <v>3.0356646718158564E-5</v>
      </c>
      <c r="Y377" s="12">
        <f t="shared" si="56"/>
        <v>-1.8340347885435517E-5</v>
      </c>
      <c r="Z377" s="12">
        <f t="shared" si="57"/>
        <v>-1.2089312375927743E-5</v>
      </c>
    </row>
    <row r="378" spans="1:26" ht="13">
      <c r="A378" s="8" t="str">
        <f t="shared" ref="A378:A381" si="105">A377</f>
        <v>GAS</v>
      </c>
      <c r="B378" s="9">
        <v>2018</v>
      </c>
      <c r="C378" s="10">
        <v>11708.57</v>
      </c>
      <c r="D378" s="10">
        <v>15747.3</v>
      </c>
      <c r="E378" s="10">
        <v>62614.42</v>
      </c>
      <c r="F378" s="10">
        <v>40932.01</v>
      </c>
      <c r="G378" s="10">
        <v>11846.61</v>
      </c>
      <c r="H378" s="10">
        <f t="shared" si="83"/>
        <v>0.18699478490737437</v>
      </c>
      <c r="I378" s="10">
        <f t="shared" si="84"/>
        <v>0.25149638054620643</v>
      </c>
      <c r="J378" s="10">
        <f t="shared" si="85"/>
        <v>3.4551664991081839</v>
      </c>
      <c r="K378" s="4">
        <f t="shared" si="95"/>
        <v>-3.7217678289662404</v>
      </c>
      <c r="L378" s="10">
        <f t="shared" si="104"/>
        <v>0.25149638054620643</v>
      </c>
      <c r="M378" s="10">
        <v>12421.89</v>
      </c>
      <c r="N378" s="10">
        <v>-7314.51</v>
      </c>
      <c r="O378" s="10">
        <v>-11905.05</v>
      </c>
      <c r="P378" s="11">
        <v>3.4000000000000002E-2</v>
      </c>
      <c r="Q378" s="11">
        <f>(0.0001+0.00366+0.00366)%</f>
        <v>7.4200000000000001E-5</v>
      </c>
      <c r="R378" s="12">
        <f t="shared" si="79"/>
        <v>0.19838704886190753</v>
      </c>
      <c r="S378" s="12">
        <f t="shared" si="80"/>
        <v>-0.11681829840474448</v>
      </c>
      <c r="T378" s="12">
        <f t="shared" si="81"/>
        <v>-0.19013272022642708</v>
      </c>
      <c r="U378" s="12">
        <f t="shared" si="65"/>
        <v>6.7451596613048561E-3</v>
      </c>
      <c r="V378" s="12">
        <f t="shared" si="53"/>
        <v>-3.9718221457613126E-3</v>
      </c>
      <c r="W378" s="12">
        <f t="shared" si="54"/>
        <v>-6.4645124876985208E-3</v>
      </c>
      <c r="X378" s="12">
        <f t="shared" si="55"/>
        <v>1.472031902555354E-5</v>
      </c>
      <c r="Y378" s="12">
        <f t="shared" si="56"/>
        <v>-8.6679177416320402E-6</v>
      </c>
      <c r="Z378" s="12">
        <f t="shared" si="57"/>
        <v>-1.410784784080089E-5</v>
      </c>
    </row>
    <row r="379" spans="1:26" ht="13">
      <c r="A379" s="8" t="str">
        <f t="shared" si="105"/>
        <v>GAS</v>
      </c>
      <c r="B379" s="9">
        <v>2019</v>
      </c>
      <c r="C379" s="10">
        <v>12085.65</v>
      </c>
      <c r="D379" s="10">
        <v>12564.26</v>
      </c>
      <c r="E379" s="10">
        <v>62178.79</v>
      </c>
      <c r="F379" s="10">
        <v>41815.4</v>
      </c>
      <c r="G379" s="10">
        <v>9964.44</v>
      </c>
      <c r="H379" s="10">
        <f t="shared" si="83"/>
        <v>0.19436933398028491</v>
      </c>
      <c r="I379" s="10">
        <f t="shared" si="84"/>
        <v>0.20206665327517631</v>
      </c>
      <c r="J379" s="10">
        <f t="shared" si="85"/>
        <v>4.1964626210805624</v>
      </c>
      <c r="K379" s="4">
        <f t="shared" si="95"/>
        <v>-4.0396679297270994</v>
      </c>
      <c r="L379" s="10">
        <f t="shared" si="104"/>
        <v>0.20206665327517631</v>
      </c>
      <c r="M379" s="10">
        <v>12680.92</v>
      </c>
      <c r="N379" s="10">
        <v>-4722.13</v>
      </c>
      <c r="O379" s="10">
        <v>-10188.120000000001</v>
      </c>
      <c r="P379" s="11">
        <v>4.0000000000000001E-3</v>
      </c>
      <c r="Q379" s="11">
        <f>(0.0001+0.004)%</f>
        <v>4.1E-5</v>
      </c>
      <c r="R379" s="12">
        <f t="shared" si="79"/>
        <v>0.20394285575515381</v>
      </c>
      <c r="S379" s="12">
        <f t="shared" si="80"/>
        <v>-7.5944385537254744E-2</v>
      </c>
      <c r="T379" s="12">
        <f t="shared" si="81"/>
        <v>-0.16385201448918515</v>
      </c>
      <c r="U379" s="12">
        <f t="shared" si="65"/>
        <v>8.1577142302061525E-4</v>
      </c>
      <c r="V379" s="12">
        <f t="shared" si="53"/>
        <v>-3.0377754214901896E-4</v>
      </c>
      <c r="W379" s="12">
        <f t="shared" si="54"/>
        <v>-6.5540805795674065E-4</v>
      </c>
      <c r="X379" s="12">
        <f t="shared" si="55"/>
        <v>8.361657085961307E-6</v>
      </c>
      <c r="Y379" s="12">
        <f t="shared" si="56"/>
        <v>-3.1137198070274446E-6</v>
      </c>
      <c r="Z379" s="12">
        <f t="shared" si="57"/>
        <v>-6.7179325940565911E-6</v>
      </c>
    </row>
    <row r="380" spans="1:26" ht="13">
      <c r="A380" s="8" t="str">
        <f t="shared" si="105"/>
        <v>GAS</v>
      </c>
      <c r="B380" s="9">
        <v>2020</v>
      </c>
      <c r="C380" s="10">
        <v>7971.79</v>
      </c>
      <c r="D380" s="10">
        <v>13708.72</v>
      </c>
      <c r="E380" s="10">
        <v>63208.4</v>
      </c>
      <c r="F380" s="10">
        <v>39472.230000000003</v>
      </c>
      <c r="G380" s="10">
        <v>9748.7800000000007</v>
      </c>
      <c r="H380" s="10">
        <f t="shared" si="83"/>
        <v>0.12611915504901247</v>
      </c>
      <c r="I380" s="10">
        <f t="shared" si="84"/>
        <v>0.21688130058663088</v>
      </c>
      <c r="J380" s="10">
        <f t="shared" si="85"/>
        <v>4.0489404828091313</v>
      </c>
      <c r="K380" s="4">
        <f t="shared" si="95"/>
        <v>-3.6475085463079959</v>
      </c>
      <c r="L380" s="10">
        <f t="shared" si="104"/>
        <v>0.21688130058663088</v>
      </c>
      <c r="M380" s="10">
        <v>7330.4</v>
      </c>
      <c r="N380" s="10">
        <v>99.13</v>
      </c>
      <c r="O380" s="10">
        <v>-6668.27</v>
      </c>
      <c r="P380" s="11">
        <v>4.0000000000000001E-3</v>
      </c>
      <c r="Q380" s="11">
        <v>0</v>
      </c>
      <c r="R380" s="12">
        <f t="shared" si="79"/>
        <v>0.11597192778175051</v>
      </c>
      <c r="S380" s="12">
        <f t="shared" si="80"/>
        <v>1.5683042127312191E-3</v>
      </c>
      <c r="T380" s="12">
        <f t="shared" si="81"/>
        <v>-0.10549657956853836</v>
      </c>
      <c r="U380" s="12">
        <f t="shared" si="65"/>
        <v>4.6388771112700208E-4</v>
      </c>
      <c r="V380" s="12">
        <f t="shared" si="53"/>
        <v>6.2732168509248764E-6</v>
      </c>
      <c r="W380" s="12">
        <f t="shared" si="54"/>
        <v>-4.2198631827415346E-4</v>
      </c>
      <c r="X380" s="12">
        <f t="shared" si="55"/>
        <v>0</v>
      </c>
      <c r="Y380" s="12">
        <f t="shared" si="56"/>
        <v>0</v>
      </c>
      <c r="Z380" s="12">
        <f t="shared" si="57"/>
        <v>0</v>
      </c>
    </row>
    <row r="381" spans="1:26" ht="13">
      <c r="A381" s="8" t="str">
        <f t="shared" si="105"/>
        <v>GAS</v>
      </c>
      <c r="B381" s="9">
        <v>2021</v>
      </c>
      <c r="C381" s="10">
        <v>8851.81</v>
      </c>
      <c r="D381" s="10">
        <v>26575.34</v>
      </c>
      <c r="E381" s="10">
        <v>78768.070000000007</v>
      </c>
      <c r="F381" s="10">
        <v>51394.720000000001</v>
      </c>
      <c r="G381" s="10">
        <v>16561.259999999998</v>
      </c>
      <c r="H381" s="10">
        <f t="shared" si="83"/>
        <v>0.11237815018192014</v>
      </c>
      <c r="I381" s="10">
        <f t="shared" si="84"/>
        <v>0.33738721794249876</v>
      </c>
      <c r="J381" s="10">
        <f t="shared" si="85"/>
        <v>3.1033097723240868</v>
      </c>
      <c r="K381" s="4">
        <f t="shared" si="95"/>
        <v>-2.8950077726356938</v>
      </c>
      <c r="L381" s="10">
        <f t="shared" si="104"/>
        <v>0.33738721794249876</v>
      </c>
      <c r="M381" s="10">
        <v>7594.82</v>
      </c>
      <c r="N381" s="10">
        <v>-6755.06</v>
      </c>
      <c r="O381" s="10">
        <v>-774.27</v>
      </c>
      <c r="P381" s="11">
        <v>2.5000000000000001E-2</v>
      </c>
      <c r="Q381" s="11">
        <f>(35.76+30+10+10+10)%</f>
        <v>0.9575999999999999</v>
      </c>
      <c r="R381" s="12">
        <f t="shared" si="79"/>
        <v>9.6420034158511178E-2</v>
      </c>
      <c r="S381" s="12">
        <f t="shared" si="80"/>
        <v>-8.5758861426971617E-2</v>
      </c>
      <c r="T381" s="12">
        <f t="shared" si="81"/>
        <v>-9.8297444637148006E-3</v>
      </c>
      <c r="U381" s="12">
        <f t="shared" si="65"/>
        <v>2.4105008539627797E-3</v>
      </c>
      <c r="V381" s="12">
        <f t="shared" si="53"/>
        <v>-2.1439715356742907E-3</v>
      </c>
      <c r="W381" s="12">
        <f t="shared" si="54"/>
        <v>-2.4574361159287003E-4</v>
      </c>
      <c r="X381" s="12">
        <f t="shared" si="55"/>
        <v>9.2331824710190288E-2</v>
      </c>
      <c r="Y381" s="12">
        <f t="shared" si="56"/>
        <v>-8.2122685702468015E-2</v>
      </c>
      <c r="Z381" s="12">
        <f t="shared" si="57"/>
        <v>-9.4129632984532915E-3</v>
      </c>
    </row>
    <row r="382" spans="1:26" ht="13">
      <c r="A382" s="8" t="s">
        <v>94</v>
      </c>
      <c r="B382" s="9">
        <v>2017</v>
      </c>
      <c r="C382" s="10">
        <v>101.3</v>
      </c>
      <c r="D382" s="10">
        <v>94.21</v>
      </c>
      <c r="E382" s="10">
        <v>350.53</v>
      </c>
      <c r="F382" s="10">
        <v>304.91000000000003</v>
      </c>
      <c r="G382" s="10">
        <v>90.77</v>
      </c>
      <c r="H382" s="10">
        <f t="shared" si="83"/>
        <v>0.28899095655150775</v>
      </c>
      <c r="I382" s="10">
        <f t="shared" si="84"/>
        <v>0.26876444241577041</v>
      </c>
      <c r="J382" s="10">
        <f t="shared" si="85"/>
        <v>3.3591494987330619</v>
      </c>
      <c r="K382" s="4">
        <f t="shared" si="95"/>
        <v>-4.0819385807068258</v>
      </c>
      <c r="L382" s="10">
        <f t="shared" si="104"/>
        <v>0.26876444241577041</v>
      </c>
      <c r="M382" s="10">
        <v>46.91</v>
      </c>
      <c r="N382" s="10">
        <v>32.1</v>
      </c>
      <c r="O382" s="10">
        <v>-82.31</v>
      </c>
      <c r="P382" s="11">
        <v>0.25650000000000001</v>
      </c>
      <c r="Q382" s="11">
        <f>(1.58+7.31+7.09+1.77+0.1+0.07+0.02+0.19)%</f>
        <v>0.18130000000000002</v>
      </c>
      <c r="R382" s="12">
        <f t="shared" si="79"/>
        <v>0.13382592074858071</v>
      </c>
      <c r="S382" s="12">
        <f t="shared" si="80"/>
        <v>9.1575614070122394E-2</v>
      </c>
      <c r="T382" s="12">
        <f t="shared" si="81"/>
        <v>-0.2348158502838559</v>
      </c>
      <c r="U382" s="12">
        <f t="shared" si="65"/>
        <v>3.4326348672010953E-2</v>
      </c>
      <c r="V382" s="12">
        <f t="shared" si="53"/>
        <v>2.3489145008986394E-2</v>
      </c>
      <c r="W382" s="12">
        <f t="shared" si="54"/>
        <v>-6.0230265597809043E-2</v>
      </c>
      <c r="X382" s="12">
        <f t="shared" si="55"/>
        <v>2.4262639431717685E-2</v>
      </c>
      <c r="Y382" s="12">
        <f t="shared" si="56"/>
        <v>1.6602658830913192E-2</v>
      </c>
      <c r="Z382" s="12">
        <f t="shared" si="57"/>
        <v>-4.257211365646308E-2</v>
      </c>
    </row>
    <row r="383" spans="1:26" ht="13">
      <c r="A383" s="8" t="str">
        <f t="shared" ref="A383:A386" si="106">A382</f>
        <v>GDT</v>
      </c>
      <c r="B383" s="9">
        <v>2018</v>
      </c>
      <c r="C383" s="10">
        <v>89.7</v>
      </c>
      <c r="D383" s="10">
        <v>85.19</v>
      </c>
      <c r="E383" s="10">
        <v>343.88</v>
      </c>
      <c r="F383" s="10">
        <v>297.25</v>
      </c>
      <c r="G383" s="10">
        <v>81.62</v>
      </c>
      <c r="H383" s="10">
        <f t="shared" si="83"/>
        <v>0.26084680702570667</v>
      </c>
      <c r="I383" s="10">
        <f t="shared" si="84"/>
        <v>0.24773176689542864</v>
      </c>
      <c r="J383" s="10">
        <f t="shared" si="85"/>
        <v>3.6418769909335946</v>
      </c>
      <c r="K383" s="4">
        <f t="shared" si="95"/>
        <v>-4.0763070682754714</v>
      </c>
      <c r="L383" s="10">
        <f t="shared" si="104"/>
        <v>0.24773176689542864</v>
      </c>
      <c r="M383" s="10">
        <v>46.63</v>
      </c>
      <c r="N383" s="10">
        <v>56.49</v>
      </c>
      <c r="O383" s="10">
        <v>-86.94</v>
      </c>
      <c r="P383" s="11">
        <v>0.2326</v>
      </c>
      <c r="Q383" s="11">
        <f>(1.58+2.88+0.05+1.77+0.07+0.02+4.46+0.19+0.05+0.04+0.04)%</f>
        <v>0.11149999999999997</v>
      </c>
      <c r="R383" s="12">
        <f t="shared" si="79"/>
        <v>0.13559962777713155</v>
      </c>
      <c r="S383" s="12">
        <f t="shared" si="80"/>
        <v>0.16427242061184136</v>
      </c>
      <c r="T383" s="12">
        <f t="shared" si="81"/>
        <v>-0.25282075142491567</v>
      </c>
      <c r="U383" s="12">
        <f t="shared" si="65"/>
        <v>3.15404734209608E-2</v>
      </c>
      <c r="V383" s="12">
        <f t="shared" si="53"/>
        <v>3.8209765034314301E-2</v>
      </c>
      <c r="W383" s="12">
        <f t="shared" si="54"/>
        <v>-5.8806106781435385E-2</v>
      </c>
      <c r="X383" s="12">
        <f t="shared" si="55"/>
        <v>1.5119358497150164E-2</v>
      </c>
      <c r="Y383" s="12">
        <f t="shared" si="56"/>
        <v>1.8316374898220307E-2</v>
      </c>
      <c r="Z383" s="12">
        <f t="shared" si="57"/>
        <v>-2.818951378387809E-2</v>
      </c>
    </row>
    <row r="384" spans="1:26" ht="13">
      <c r="A384" s="8" t="str">
        <f t="shared" si="106"/>
        <v>GDT</v>
      </c>
      <c r="B384" s="9">
        <v>2019</v>
      </c>
      <c r="C384" s="10">
        <v>74.22</v>
      </c>
      <c r="D384" s="10">
        <v>109.05</v>
      </c>
      <c r="E384" s="10">
        <v>387.38</v>
      </c>
      <c r="F384" s="10">
        <v>340.36</v>
      </c>
      <c r="G384" s="10">
        <v>105.55</v>
      </c>
      <c r="H384" s="10">
        <f t="shared" si="83"/>
        <v>0.19159481645929061</v>
      </c>
      <c r="I384" s="10">
        <f t="shared" si="84"/>
        <v>0.28150653105477824</v>
      </c>
      <c r="J384" s="10">
        <f t="shared" si="85"/>
        <v>3.2246328754144957</v>
      </c>
      <c r="K384" s="4">
        <f t="shared" si="95"/>
        <v>-3.5704879785562293</v>
      </c>
      <c r="L384" s="10">
        <f t="shared" si="104"/>
        <v>0.28150653105477824</v>
      </c>
      <c r="M384" s="10">
        <v>69.08</v>
      </c>
      <c r="N384" s="10">
        <v>-50.16</v>
      </c>
      <c r="O384" s="10">
        <v>-27.23</v>
      </c>
      <c r="P384" s="11">
        <v>0.21049999999999999</v>
      </c>
      <c r="Q384" s="11">
        <f>(1.55+2.79+0.07+3.7+0.09+0.03+6.2+0.21+0.07+0.02+0.21+0.04+0.03+0.06)%</f>
        <v>0.1507</v>
      </c>
      <c r="R384" s="12">
        <f t="shared" si="79"/>
        <v>0.17832619133667199</v>
      </c>
      <c r="S384" s="12">
        <f t="shared" si="80"/>
        <v>-0.12948525995146884</v>
      </c>
      <c r="T384" s="12">
        <f t="shared" si="81"/>
        <v>-7.0292735814962051E-2</v>
      </c>
      <c r="U384" s="12">
        <f t="shared" si="65"/>
        <v>3.7537663276369454E-2</v>
      </c>
      <c r="V384" s="12">
        <f t="shared" si="53"/>
        <v>-2.7256647219784189E-2</v>
      </c>
      <c r="W384" s="12">
        <f t="shared" si="54"/>
        <v>-1.4796620889049511E-2</v>
      </c>
      <c r="X384" s="12">
        <f t="shared" si="55"/>
        <v>2.6873757034436469E-2</v>
      </c>
      <c r="Y384" s="12">
        <f t="shared" si="56"/>
        <v>-1.9513428674686355E-2</v>
      </c>
      <c r="Z384" s="12">
        <f t="shared" si="57"/>
        <v>-1.0593115287314782E-2</v>
      </c>
    </row>
    <row r="385" spans="1:26" ht="13">
      <c r="A385" s="8" t="str">
        <f t="shared" si="106"/>
        <v>GDT</v>
      </c>
      <c r="B385" s="9">
        <v>2020</v>
      </c>
      <c r="C385" s="10">
        <v>79.98</v>
      </c>
      <c r="D385" s="10">
        <v>128.33000000000001</v>
      </c>
      <c r="E385" s="10">
        <v>398.86</v>
      </c>
      <c r="F385" s="10">
        <v>296.18</v>
      </c>
      <c r="G385" s="10">
        <v>123.93</v>
      </c>
      <c r="H385" s="10">
        <f t="shared" si="83"/>
        <v>0.20052148623577196</v>
      </c>
      <c r="I385" s="10">
        <f t="shared" si="84"/>
        <v>0.32174196459910748</v>
      </c>
      <c r="J385" s="10">
        <f t="shared" si="85"/>
        <v>2.3898975227951262</v>
      </c>
      <c r="K385" s="4">
        <f t="shared" si="95"/>
        <v>-3.3779770799372422</v>
      </c>
      <c r="L385" s="10">
        <f t="shared" si="104"/>
        <v>0.32174196459910748</v>
      </c>
      <c r="M385" s="10">
        <v>71.59</v>
      </c>
      <c r="N385" s="10">
        <v>3.49</v>
      </c>
      <c r="O385" s="10">
        <v>-83.04</v>
      </c>
      <c r="P385" s="11">
        <v>0.19819999999999999</v>
      </c>
      <c r="Q385" s="11">
        <f>(1.55+2.79+0.03+0.09+6.18+0.21+0.07+0.02+0.21+0.04+0.02+0.04+0.06)%</f>
        <v>0.11310000000000001</v>
      </c>
      <c r="R385" s="12">
        <f t="shared" si="79"/>
        <v>0.17948653662939376</v>
      </c>
      <c r="S385" s="12">
        <f t="shared" si="80"/>
        <v>8.7499373213658933E-3</v>
      </c>
      <c r="T385" s="12">
        <f t="shared" si="81"/>
        <v>-0.20819335105049391</v>
      </c>
      <c r="U385" s="12">
        <f t="shared" si="65"/>
        <v>3.5574231559945844E-2</v>
      </c>
      <c r="V385" s="12">
        <f t="shared" si="53"/>
        <v>1.7342375770947199E-3</v>
      </c>
      <c r="W385" s="12">
        <f t="shared" si="54"/>
        <v>-4.1263922178207894E-2</v>
      </c>
      <c r="X385" s="12">
        <f t="shared" si="55"/>
        <v>2.0299927292784434E-2</v>
      </c>
      <c r="Y385" s="12">
        <f t="shared" si="56"/>
        <v>9.8961791104648254E-4</v>
      </c>
      <c r="Z385" s="12">
        <f t="shared" si="57"/>
        <v>-2.3546668003810865E-2</v>
      </c>
    </row>
    <row r="386" spans="1:26" ht="13">
      <c r="A386" s="8" t="str">
        <f t="shared" si="106"/>
        <v>GDT</v>
      </c>
      <c r="B386" s="9">
        <v>2021</v>
      </c>
      <c r="C386" s="10">
        <v>60.79</v>
      </c>
      <c r="D386" s="10">
        <v>115.57</v>
      </c>
      <c r="E386" s="10">
        <v>380.97</v>
      </c>
      <c r="F386" s="10">
        <v>228.51</v>
      </c>
      <c r="G386" s="10">
        <v>111.27</v>
      </c>
      <c r="H386" s="10">
        <f t="shared" si="83"/>
        <v>0.15956637005538493</v>
      </c>
      <c r="I386" s="10">
        <f t="shared" si="84"/>
        <v>0.30335721972858753</v>
      </c>
      <c r="J386" s="10">
        <f t="shared" si="85"/>
        <v>2.0536532758155839</v>
      </c>
      <c r="K386" s="4">
        <f t="shared" si="95"/>
        <v>-3.2971271258995456</v>
      </c>
      <c r="L386" s="10">
        <f t="shared" si="104"/>
        <v>0.30335721972858753</v>
      </c>
      <c r="M386" s="10">
        <v>34.35</v>
      </c>
      <c r="N386" s="10">
        <v>38.28</v>
      </c>
      <c r="O386" s="10">
        <v>-65.239999999999995</v>
      </c>
      <c r="P386" s="11">
        <v>0.25119999999999998</v>
      </c>
      <c r="Q386" s="11">
        <f>(1.73+2.66+0.06+0.04+0.09+5.93+0.23+0.05+0.23+0.04+0.03+0.08+0.05+0.06)%</f>
        <v>0.11280000000000001</v>
      </c>
      <c r="R386" s="12">
        <f t="shared" ref="R386:R449" si="107">M386/E386</f>
        <v>9.0164579888180163E-2</v>
      </c>
      <c r="S386" s="12">
        <f t="shared" ref="S386:S449" si="108">N386/E386</f>
        <v>0.10048035278368375</v>
      </c>
      <c r="T386" s="12">
        <f t="shared" ref="T386:T449" si="109">O386/E386</f>
        <v>-0.17124707982255818</v>
      </c>
      <c r="U386" s="12">
        <f t="shared" si="65"/>
        <v>2.2649342467910855E-2</v>
      </c>
      <c r="V386" s="12">
        <f t="shared" si="53"/>
        <v>2.5240664619261357E-2</v>
      </c>
      <c r="W386" s="12">
        <f t="shared" si="54"/>
        <v>-4.301726645142661E-2</v>
      </c>
      <c r="X386" s="12">
        <f t="shared" si="55"/>
        <v>1.0170564611386724E-2</v>
      </c>
      <c r="Y386" s="12">
        <f t="shared" si="56"/>
        <v>1.1334183793999529E-2</v>
      </c>
      <c r="Z386" s="12">
        <f t="shared" si="57"/>
        <v>-1.9316670603984565E-2</v>
      </c>
    </row>
    <row r="387" spans="1:26" ht="13">
      <c r="A387" s="8" t="s">
        <v>95</v>
      </c>
      <c r="B387" s="9">
        <v>2017</v>
      </c>
      <c r="C387" s="10">
        <v>209.3</v>
      </c>
      <c r="D387" s="10">
        <v>340.59</v>
      </c>
      <c r="E387" s="10">
        <v>1658.61</v>
      </c>
      <c r="F387" s="10">
        <v>485.81</v>
      </c>
      <c r="G387" s="10">
        <v>103.42</v>
      </c>
      <c r="H387" s="10">
        <f t="shared" ref="H387:H450" si="110">C387/E387</f>
        <v>0.12619000247194942</v>
      </c>
      <c r="I387" s="10">
        <f t="shared" ref="I387:I450" si="111">D387/E387</f>
        <v>0.20534664568524247</v>
      </c>
      <c r="J387" s="10">
        <f t="shared" ref="J387:J450" si="112">F387/G387</f>
        <v>4.697447302262618</v>
      </c>
      <c r="K387" s="4">
        <f t="shared" si="95"/>
        <v>-3.716168919926941</v>
      </c>
      <c r="L387" s="10">
        <f t="shared" si="104"/>
        <v>0.20534664568524247</v>
      </c>
      <c r="M387" s="10">
        <v>243.8</v>
      </c>
      <c r="N387" s="10">
        <v>4.62</v>
      </c>
      <c r="O387" s="10">
        <v>-93.42</v>
      </c>
      <c r="P387" s="11">
        <v>0.33189999999999997</v>
      </c>
      <c r="Q387" s="11">
        <f>0.07%+0.21%</f>
        <v>2.8E-3</v>
      </c>
      <c r="R387" s="12">
        <f t="shared" si="107"/>
        <v>0.14699055232996305</v>
      </c>
      <c r="S387" s="12">
        <f t="shared" si="108"/>
        <v>2.7854649375079134E-3</v>
      </c>
      <c r="T387" s="12">
        <f t="shared" si="109"/>
        <v>-5.6324271528569107E-2</v>
      </c>
      <c r="U387" s="12">
        <f t="shared" si="65"/>
        <v>4.8786164318314736E-2</v>
      </c>
      <c r="V387" s="12">
        <f t="shared" si="53"/>
        <v>9.2449581275887637E-4</v>
      </c>
      <c r="W387" s="12">
        <f t="shared" si="54"/>
        <v>-1.8694025720332085E-2</v>
      </c>
      <c r="X387" s="12">
        <f t="shared" si="55"/>
        <v>4.1157354652389654E-4</v>
      </c>
      <c r="Y387" s="12">
        <f t="shared" si="56"/>
        <v>7.7993018250221569E-6</v>
      </c>
      <c r="Z387" s="12">
        <f t="shared" si="57"/>
        <v>-1.577079602799935E-4</v>
      </c>
    </row>
    <row r="388" spans="1:26" ht="13">
      <c r="A388" s="8" t="str">
        <f t="shared" ref="A388:A391" si="113">A387</f>
        <v>GEG</v>
      </c>
      <c r="B388" s="9">
        <v>2018</v>
      </c>
      <c r="C388" s="10">
        <v>187.27</v>
      </c>
      <c r="D388" s="10">
        <v>1952.62</v>
      </c>
      <c r="E388" s="10">
        <v>4360.5600000000004</v>
      </c>
      <c r="F388" s="10">
        <v>1229.8699999999999</v>
      </c>
      <c r="G388" s="10">
        <v>528.24</v>
      </c>
      <c r="H388" s="10">
        <f t="shared" si="110"/>
        <v>4.2946318821435778E-2</v>
      </c>
      <c r="I388" s="10">
        <f t="shared" si="111"/>
        <v>0.44779110939879274</v>
      </c>
      <c r="J388" s="10">
        <f t="shared" si="112"/>
        <v>2.328240951082841</v>
      </c>
      <c r="K388" s="4">
        <f t="shared" si="95"/>
        <v>-1.9501620749276736</v>
      </c>
      <c r="L388" s="10">
        <f t="shared" si="104"/>
        <v>0.44779110939879274</v>
      </c>
      <c r="M388" s="10">
        <v>141.12</v>
      </c>
      <c r="N388" s="10">
        <v>-1945.88</v>
      </c>
      <c r="O388" s="10">
        <v>2191.1799999999998</v>
      </c>
      <c r="P388" s="11">
        <v>0.37090000000000001</v>
      </c>
      <c r="Q388" s="11">
        <f>(0.27+0.007+0.015+0.188+0.014+0.016)%</f>
        <v>5.1000000000000004E-3</v>
      </c>
      <c r="R388" s="12">
        <f t="shared" si="107"/>
        <v>3.2362815785128514E-2</v>
      </c>
      <c r="S388" s="12">
        <f t="shared" si="108"/>
        <v>-0.4462454363659713</v>
      </c>
      <c r="T388" s="12">
        <f t="shared" si="109"/>
        <v>0.50249967894031955</v>
      </c>
      <c r="U388" s="12">
        <f t="shared" si="65"/>
        <v>1.2003368374704166E-2</v>
      </c>
      <c r="V388" s="12">
        <f t="shared" si="53"/>
        <v>-0.16551243234813875</v>
      </c>
      <c r="W388" s="12">
        <f t="shared" si="54"/>
        <v>0.18637713091896452</v>
      </c>
      <c r="X388" s="12">
        <f t="shared" si="55"/>
        <v>1.6505036050415545E-4</v>
      </c>
      <c r="Y388" s="12">
        <f t="shared" si="56"/>
        <v>-2.275851725466454E-3</v>
      </c>
      <c r="Z388" s="12">
        <f t="shared" si="57"/>
        <v>2.5627483625956298E-3</v>
      </c>
    </row>
    <row r="389" spans="1:26" ht="13">
      <c r="A389" s="8" t="str">
        <f t="shared" si="113"/>
        <v>GEG</v>
      </c>
      <c r="B389" s="9">
        <v>2019</v>
      </c>
      <c r="C389" s="10">
        <v>290.52</v>
      </c>
      <c r="D389" s="10">
        <v>4183.59</v>
      </c>
      <c r="E389" s="10">
        <v>6763.22</v>
      </c>
      <c r="F389" s="10">
        <v>1190.3900000000001</v>
      </c>
      <c r="G389" s="10">
        <v>836.41</v>
      </c>
      <c r="H389" s="10">
        <f t="shared" si="110"/>
        <v>4.2955870132865705E-2</v>
      </c>
      <c r="I389" s="10">
        <f t="shared" si="111"/>
        <v>0.61857961148683616</v>
      </c>
      <c r="J389" s="10">
        <f t="shared" si="112"/>
        <v>1.423213495773604</v>
      </c>
      <c r="K389" s="4">
        <f t="shared" si="95"/>
        <v>-0.97309048410602339</v>
      </c>
      <c r="L389" s="10">
        <f t="shared" si="104"/>
        <v>0.61857961148683616</v>
      </c>
      <c r="M389" s="10">
        <v>-332.77</v>
      </c>
      <c r="N389" s="10">
        <v>-2642.11</v>
      </c>
      <c r="O389" s="10">
        <v>2471.13</v>
      </c>
      <c r="P389" s="11">
        <v>0.36380000000000001</v>
      </c>
      <c r="Q389" s="11">
        <f>(0.78+0.39+0.35+0.34+0.1+0.51+0.36+0.2+0.08+0.08+0.05+0.16+0.16)%</f>
        <v>3.5600000000000007E-2</v>
      </c>
      <c r="R389" s="12">
        <f t="shared" si="107"/>
        <v>-4.9202894479256916E-2</v>
      </c>
      <c r="S389" s="12">
        <f t="shared" si="108"/>
        <v>-0.39065859161760225</v>
      </c>
      <c r="T389" s="12">
        <f t="shared" si="109"/>
        <v>0.36537773427450237</v>
      </c>
      <c r="U389" s="12">
        <f t="shared" si="65"/>
        <v>-1.7900013011553667E-2</v>
      </c>
      <c r="V389" s="12">
        <f t="shared" si="53"/>
        <v>-0.14212159563048371</v>
      </c>
      <c r="W389" s="12">
        <f t="shared" si="54"/>
        <v>0.13292441972906396</v>
      </c>
      <c r="X389" s="12">
        <f t="shared" si="55"/>
        <v>-1.7516230434615465E-3</v>
      </c>
      <c r="Y389" s="12">
        <f t="shared" si="56"/>
        <v>-1.3907445861586643E-2</v>
      </c>
      <c r="Z389" s="12">
        <f t="shared" si="57"/>
        <v>1.3007447340172286E-2</v>
      </c>
    </row>
    <row r="390" spans="1:26" ht="13">
      <c r="A390" s="8" t="str">
        <f t="shared" si="113"/>
        <v>GEG</v>
      </c>
      <c r="B390" s="9">
        <v>2020</v>
      </c>
      <c r="C390" s="10">
        <v>294.95999999999998</v>
      </c>
      <c r="D390" s="10">
        <v>4305.1899999999996</v>
      </c>
      <c r="E390" s="10">
        <v>7773.11</v>
      </c>
      <c r="F390" s="10">
        <v>1779.28</v>
      </c>
      <c r="G390" s="10">
        <v>1101.06</v>
      </c>
      <c r="H390" s="10">
        <f t="shared" si="110"/>
        <v>3.7946201713342537E-2</v>
      </c>
      <c r="I390" s="10">
        <f t="shared" si="111"/>
        <v>0.55385682178690376</v>
      </c>
      <c r="J390" s="10">
        <f t="shared" si="112"/>
        <v>1.6159700652098887</v>
      </c>
      <c r="K390" s="4">
        <f t="shared" si="95"/>
        <v>-1.3202379037855294</v>
      </c>
      <c r="L390" s="10">
        <f t="shared" si="104"/>
        <v>0.55385682178690376</v>
      </c>
      <c r="M390" s="10">
        <v>420.56</v>
      </c>
      <c r="N390" s="10">
        <v>-937.16</v>
      </c>
      <c r="O390" s="10">
        <v>546.72</v>
      </c>
      <c r="P390" s="11">
        <v>0.36599999999999999</v>
      </c>
      <c r="Q390" s="11">
        <f>(0.23+0.1+0.14+7.31+0.01+0.32+0.02+0.04+0.01)%</f>
        <v>8.1799999999999984E-2</v>
      </c>
      <c r="R390" s="12">
        <f t="shared" si="107"/>
        <v>5.4104470411456933E-2</v>
      </c>
      <c r="S390" s="12">
        <f t="shared" si="108"/>
        <v>-0.12056435583698159</v>
      </c>
      <c r="T390" s="12">
        <f t="shared" si="109"/>
        <v>7.0334782345804966E-2</v>
      </c>
      <c r="U390" s="12">
        <f t="shared" si="65"/>
        <v>1.9802236170593238E-2</v>
      </c>
      <c r="V390" s="12">
        <f t="shared" si="53"/>
        <v>-4.4126554236335262E-2</v>
      </c>
      <c r="W390" s="12">
        <f t="shared" si="54"/>
        <v>2.5742530338564617E-2</v>
      </c>
      <c r="X390" s="12">
        <f t="shared" si="55"/>
        <v>4.4257456796571761E-3</v>
      </c>
      <c r="Y390" s="12">
        <f t="shared" si="56"/>
        <v>-9.862164307465093E-3</v>
      </c>
      <c r="Z390" s="12">
        <f t="shared" si="57"/>
        <v>5.7533851958868447E-3</v>
      </c>
    </row>
    <row r="391" spans="1:26" ht="13">
      <c r="A391" s="8" t="str">
        <f t="shared" si="113"/>
        <v>GEG</v>
      </c>
      <c r="B391" s="9">
        <v>2021</v>
      </c>
      <c r="C391" s="10">
        <v>325.43</v>
      </c>
      <c r="D391" s="10">
        <v>8734.99</v>
      </c>
      <c r="E391" s="10">
        <v>12472.68</v>
      </c>
      <c r="F391" s="10">
        <v>1316.25</v>
      </c>
      <c r="G391" s="10">
        <v>877.78</v>
      </c>
      <c r="H391" s="10">
        <f t="shared" si="110"/>
        <v>2.6091425419396633E-2</v>
      </c>
      <c r="I391" s="10">
        <f t="shared" si="111"/>
        <v>0.70032984090027162</v>
      </c>
      <c r="J391" s="10">
        <f t="shared" si="112"/>
        <v>1.4995215201986831</v>
      </c>
      <c r="K391" s="4">
        <f t="shared" si="95"/>
        <v>-0.43152940733653128</v>
      </c>
      <c r="L391" s="10">
        <f t="shared" si="104"/>
        <v>0.70032984090027162</v>
      </c>
      <c r="M391" s="10">
        <v>2542.4699999999998</v>
      </c>
      <c r="N391" s="10">
        <v>-5883.44</v>
      </c>
      <c r="O391" s="10">
        <v>3455.61</v>
      </c>
      <c r="P391" s="11">
        <v>0.375</v>
      </c>
      <c r="Q391" s="11">
        <f>5.737%-0.362%-3.834%-0.272%</f>
        <v>1.2690000000000007E-2</v>
      </c>
      <c r="R391" s="12">
        <f t="shared" si="107"/>
        <v>0.20384311952202733</v>
      </c>
      <c r="S391" s="12">
        <f t="shared" si="108"/>
        <v>-0.47170616098544976</v>
      </c>
      <c r="T391" s="12">
        <f t="shared" si="109"/>
        <v>0.27705432994352458</v>
      </c>
      <c r="U391" s="12">
        <f t="shared" si="65"/>
        <v>7.6441169820760241E-2</v>
      </c>
      <c r="V391" s="12">
        <f t="shared" si="53"/>
        <v>-0.17688981036954365</v>
      </c>
      <c r="W391" s="12">
        <f t="shared" si="54"/>
        <v>0.10389537372882171</v>
      </c>
      <c r="X391" s="12">
        <f t="shared" si="55"/>
        <v>2.5867691867345281E-3</v>
      </c>
      <c r="Y391" s="12">
        <f t="shared" si="56"/>
        <v>-5.9859511829053608E-3</v>
      </c>
      <c r="Z391" s="12">
        <f t="shared" si="57"/>
        <v>3.5158194469833287E-3</v>
      </c>
    </row>
    <row r="392" spans="1:26" ht="13">
      <c r="A392" s="8" t="s">
        <v>96</v>
      </c>
      <c r="B392" s="9">
        <v>2017</v>
      </c>
      <c r="C392" s="10">
        <v>906.1</v>
      </c>
      <c r="D392" s="10">
        <v>7603.99</v>
      </c>
      <c r="E392" s="10">
        <v>13760.79</v>
      </c>
      <c r="F392" s="10">
        <v>7447.58</v>
      </c>
      <c r="G392" s="10">
        <v>4764.4399999999996</v>
      </c>
      <c r="H392" s="10">
        <f t="shared" si="110"/>
        <v>6.5846510265762354E-2</v>
      </c>
      <c r="I392" s="10">
        <f t="shared" si="111"/>
        <v>0.55258382694598196</v>
      </c>
      <c r="J392" s="10">
        <f t="shared" si="112"/>
        <v>1.5631595738428861</v>
      </c>
      <c r="K392" s="4">
        <f t="shared" si="95"/>
        <v>-1.4528341208992051</v>
      </c>
      <c r="L392" s="10">
        <f t="shared" si="104"/>
        <v>0.55258382694598196</v>
      </c>
      <c r="M392" s="10">
        <v>-30.51</v>
      </c>
      <c r="N392" s="10">
        <v>-2459.94</v>
      </c>
      <c r="O392" s="10">
        <v>676.26</v>
      </c>
      <c r="P392" s="11">
        <v>0.1176</v>
      </c>
      <c r="Q392" s="11">
        <f>(0.005+0.02)%</f>
        <v>2.5000000000000001E-4</v>
      </c>
      <c r="R392" s="12">
        <f t="shared" si="107"/>
        <v>-2.2171692177556665E-3</v>
      </c>
      <c r="S392" s="12">
        <f t="shared" si="108"/>
        <v>-0.17876444593660684</v>
      </c>
      <c r="T392" s="12">
        <f t="shared" si="109"/>
        <v>4.9143980832495805E-2</v>
      </c>
      <c r="U392" s="12">
        <f t="shared" si="65"/>
        <v>-2.607391000080664E-4</v>
      </c>
      <c r="V392" s="12">
        <f t="shared" si="53"/>
        <v>-2.1022698842144964E-2</v>
      </c>
      <c r="W392" s="12">
        <f t="shared" si="54"/>
        <v>5.7793321459015069E-3</v>
      </c>
      <c r="X392" s="12">
        <f t="shared" si="55"/>
        <v>-5.5429230443891666E-7</v>
      </c>
      <c r="Y392" s="12">
        <f t="shared" si="56"/>
        <v>-4.4691111484151713E-5</v>
      </c>
      <c r="Z392" s="12">
        <f t="shared" si="57"/>
        <v>1.2285995208123951E-5</v>
      </c>
    </row>
    <row r="393" spans="1:26" ht="13">
      <c r="A393" s="8" t="str">
        <f t="shared" ref="A393:A396" si="114">A392</f>
        <v>GEX</v>
      </c>
      <c r="B393" s="9">
        <v>2018</v>
      </c>
      <c r="C393" s="10">
        <v>1283.48</v>
      </c>
      <c r="D393" s="10">
        <v>9281.5300000000007</v>
      </c>
      <c r="E393" s="10">
        <v>17246.490000000002</v>
      </c>
      <c r="F393" s="10">
        <v>8104</v>
      </c>
      <c r="G393" s="10">
        <v>6826.52</v>
      </c>
      <c r="H393" s="10">
        <f t="shared" si="110"/>
        <v>7.4419780488667542E-2</v>
      </c>
      <c r="I393" s="10">
        <f t="shared" si="111"/>
        <v>0.53816921588102851</v>
      </c>
      <c r="J393" s="10">
        <f t="shared" si="112"/>
        <v>1.1871348798509342</v>
      </c>
      <c r="K393" s="4">
        <f t="shared" si="95"/>
        <v>-1.5720730211965452</v>
      </c>
      <c r="L393" s="10">
        <f t="shared" si="104"/>
        <v>0.53816921588102851</v>
      </c>
      <c r="M393" s="10">
        <v>493.4</v>
      </c>
      <c r="N393" s="10">
        <v>-1368.54</v>
      </c>
      <c r="O393" s="10">
        <v>701.35</v>
      </c>
      <c r="P393" s="11">
        <v>0.15429999999999999</v>
      </c>
      <c r="Q393" s="11">
        <f>0.016%+0.004%</f>
        <v>2.0000000000000001E-4</v>
      </c>
      <c r="R393" s="12">
        <f t="shared" si="107"/>
        <v>2.8608719803275909E-2</v>
      </c>
      <c r="S393" s="12">
        <f t="shared" si="108"/>
        <v>-7.9351798539876797E-2</v>
      </c>
      <c r="T393" s="12">
        <f t="shared" si="109"/>
        <v>4.0666245711446211E-2</v>
      </c>
      <c r="U393" s="12">
        <f t="shared" si="65"/>
        <v>4.4143254656454729E-3</v>
      </c>
      <c r="V393" s="12">
        <f t="shared" si="53"/>
        <v>-1.2243982514702989E-2</v>
      </c>
      <c r="W393" s="12">
        <f t="shared" si="54"/>
        <v>6.2748017132761499E-3</v>
      </c>
      <c r="X393" s="12">
        <f t="shared" si="55"/>
        <v>5.7217439606551817E-6</v>
      </c>
      <c r="Y393" s="12">
        <f t="shared" si="56"/>
        <v>-1.5870359707975359E-5</v>
      </c>
      <c r="Z393" s="12">
        <f t="shared" si="57"/>
        <v>8.1332491422892423E-6</v>
      </c>
    </row>
    <row r="394" spans="1:26" ht="13">
      <c r="A394" s="8" t="str">
        <f t="shared" si="114"/>
        <v>GEX</v>
      </c>
      <c r="B394" s="9">
        <v>2019</v>
      </c>
      <c r="C394" s="10">
        <v>852.47</v>
      </c>
      <c r="D394" s="10">
        <v>12584.88</v>
      </c>
      <c r="E394" s="10">
        <v>21261.919999999998</v>
      </c>
      <c r="F394" s="10">
        <v>8382.11</v>
      </c>
      <c r="G394" s="10">
        <v>7655.14</v>
      </c>
      <c r="H394" s="10">
        <f t="shared" si="110"/>
        <v>4.0093745061593689E-2</v>
      </c>
      <c r="I394" s="10">
        <f t="shared" si="111"/>
        <v>0.59189762730741158</v>
      </c>
      <c r="J394" s="10">
        <f t="shared" si="112"/>
        <v>1.094964951653399</v>
      </c>
      <c r="K394" s="4">
        <f t="shared" si="95"/>
        <v>-1.1109852369315387</v>
      </c>
      <c r="L394" s="10">
        <f t="shared" si="104"/>
        <v>0.59189762730741158</v>
      </c>
      <c r="M394" s="10">
        <v>1167.8900000000001</v>
      </c>
      <c r="N394" s="10">
        <v>-3933.91</v>
      </c>
      <c r="O394" s="10">
        <v>2763.28</v>
      </c>
      <c r="P394" s="11">
        <v>0.15210000000000001</v>
      </c>
      <c r="Q394" s="11">
        <f>0.015+0.16+0.004</f>
        <v>0.17899999999999999</v>
      </c>
      <c r="R394" s="12">
        <f t="shared" si="107"/>
        <v>5.4928717632274048E-2</v>
      </c>
      <c r="S394" s="12">
        <f t="shared" si="108"/>
        <v>-0.18502139035421072</v>
      </c>
      <c r="T394" s="12">
        <f t="shared" si="109"/>
        <v>0.12996380383333209</v>
      </c>
      <c r="U394" s="12">
        <f t="shared" si="65"/>
        <v>8.3546579518688838E-3</v>
      </c>
      <c r="V394" s="12">
        <f t="shared" si="53"/>
        <v>-2.8141753472875453E-2</v>
      </c>
      <c r="W394" s="12">
        <f t="shared" si="54"/>
        <v>1.9767494563049812E-2</v>
      </c>
      <c r="X394" s="12">
        <f t="shared" si="55"/>
        <v>9.8322404561770535E-3</v>
      </c>
      <c r="Y394" s="12">
        <f t="shared" si="56"/>
        <v>-3.311882887340372E-2</v>
      </c>
      <c r="Z394" s="12">
        <f t="shared" si="57"/>
        <v>2.3263520886166442E-2</v>
      </c>
    </row>
    <row r="395" spans="1:26" ht="13">
      <c r="A395" s="8" t="str">
        <f t="shared" si="114"/>
        <v>GEX</v>
      </c>
      <c r="B395" s="9">
        <v>2020</v>
      </c>
      <c r="C395" s="10">
        <v>979.65</v>
      </c>
      <c r="D395" s="10">
        <v>18936.91</v>
      </c>
      <c r="E395" s="10">
        <v>27152.09</v>
      </c>
      <c r="F395" s="10">
        <v>13071.02</v>
      </c>
      <c r="G395" s="10">
        <v>10831.29</v>
      </c>
      <c r="H395" s="10">
        <f t="shared" si="110"/>
        <v>3.6080095491728262E-2</v>
      </c>
      <c r="I395" s="10">
        <f t="shared" si="111"/>
        <v>0.69743839240367866</v>
      </c>
      <c r="J395" s="10">
        <f t="shared" si="112"/>
        <v>1.2067833102058942</v>
      </c>
      <c r="K395" s="4">
        <f t="shared" si="95"/>
        <v>-0.49178872625263165</v>
      </c>
      <c r="L395" s="10">
        <f t="shared" si="104"/>
        <v>0.69743839240367866</v>
      </c>
      <c r="M395" s="10">
        <v>373.32</v>
      </c>
      <c r="N395" s="10">
        <v>-2979.94</v>
      </c>
      <c r="O395" s="10">
        <v>3245.45</v>
      </c>
      <c r="P395" s="11">
        <v>0.129</v>
      </c>
      <c r="Q395" s="11">
        <f>11.57%+0.31%+0.22%+0.21%+0.21%+0.21%+0.014%</f>
        <v>0.12744</v>
      </c>
      <c r="R395" s="12">
        <f t="shared" si="107"/>
        <v>1.3749217831850145E-2</v>
      </c>
      <c r="S395" s="12">
        <f t="shared" si="108"/>
        <v>-0.10974993085246845</v>
      </c>
      <c r="T395" s="12">
        <f t="shared" si="109"/>
        <v>0.11952855194572498</v>
      </c>
      <c r="U395" s="12">
        <f t="shared" si="65"/>
        <v>1.7736491003086689E-3</v>
      </c>
      <c r="V395" s="12">
        <f t="shared" si="53"/>
        <v>-1.4157741079968431E-2</v>
      </c>
      <c r="W395" s="12">
        <f t="shared" si="54"/>
        <v>1.5419183200998523E-2</v>
      </c>
      <c r="X395" s="12">
        <f t="shared" si="55"/>
        <v>1.7522003204909825E-3</v>
      </c>
      <c r="Y395" s="12">
        <f t="shared" si="56"/>
        <v>-1.398653118783858E-2</v>
      </c>
      <c r="Z395" s="12">
        <f t="shared" si="57"/>
        <v>1.5232718659963191E-2</v>
      </c>
    </row>
    <row r="396" spans="1:26" ht="13">
      <c r="A396" s="8" t="str">
        <f t="shared" si="114"/>
        <v>GEX</v>
      </c>
      <c r="B396" s="9">
        <v>2021</v>
      </c>
      <c r="C396" s="10">
        <v>1666.36</v>
      </c>
      <c r="D396" s="10">
        <v>40691.550000000003</v>
      </c>
      <c r="E396" s="10">
        <v>61189.35</v>
      </c>
      <c r="F396" s="10">
        <v>29803.33</v>
      </c>
      <c r="G396" s="10">
        <v>22974.45</v>
      </c>
      <c r="H396" s="10">
        <f t="shared" si="110"/>
        <v>2.7232843623931288E-2</v>
      </c>
      <c r="I396" s="10">
        <f t="shared" si="111"/>
        <v>0.66501033268044196</v>
      </c>
      <c r="J396" s="10">
        <f t="shared" si="112"/>
        <v>1.2972380187556176</v>
      </c>
      <c r="K396" s="4">
        <f t="shared" si="95"/>
        <v>-0.63717785210419386</v>
      </c>
      <c r="L396" s="10">
        <f t="shared" si="104"/>
        <v>0.66501033268044196</v>
      </c>
      <c r="M396" s="10">
        <v>-2513.7600000000002</v>
      </c>
      <c r="N396" s="10">
        <v>-5776.73</v>
      </c>
      <c r="O396" s="10">
        <v>11640.09</v>
      </c>
      <c r="P396" s="11">
        <f>8.36%+0.15%</f>
        <v>8.5099999999999995E-2</v>
      </c>
      <c r="Q396" s="11">
        <f>22.58%+1.31%+0.22%+0.205%+0.205%+0.205%+0.005%</f>
        <v>0.24729999999999996</v>
      </c>
      <c r="R396" s="12">
        <f t="shared" si="107"/>
        <v>-4.108165881807864E-2</v>
      </c>
      <c r="S396" s="12">
        <f t="shared" si="108"/>
        <v>-9.440744181789805E-2</v>
      </c>
      <c r="T396" s="12">
        <f t="shared" si="109"/>
        <v>0.19023065288322233</v>
      </c>
      <c r="U396" s="12">
        <f t="shared" si="65"/>
        <v>-3.496049165418492E-3</v>
      </c>
      <c r="V396" s="12">
        <f t="shared" si="53"/>
        <v>-8.0340732987031239E-3</v>
      </c>
      <c r="W396" s="12">
        <f t="shared" si="54"/>
        <v>1.6188628560362218E-2</v>
      </c>
      <c r="X396" s="12">
        <f t="shared" si="55"/>
        <v>-1.0159494225710846E-2</v>
      </c>
      <c r="Y396" s="12">
        <f t="shared" si="56"/>
        <v>-2.3346960361566183E-2</v>
      </c>
      <c r="Z396" s="12">
        <f t="shared" si="57"/>
        <v>4.7044040458020873E-2</v>
      </c>
    </row>
    <row r="397" spans="1:26" ht="13">
      <c r="A397" s="8" t="s">
        <v>97</v>
      </c>
      <c r="B397" s="9">
        <v>2017</v>
      </c>
      <c r="C397" s="10">
        <v>143.52000000000001</v>
      </c>
      <c r="D397" s="10">
        <v>927.33</v>
      </c>
      <c r="E397" s="10">
        <v>1487.14</v>
      </c>
      <c r="F397" s="10">
        <v>1124.7</v>
      </c>
      <c r="G397" s="10">
        <v>924.13</v>
      </c>
      <c r="H397" s="10">
        <f t="shared" si="110"/>
        <v>9.6507390023804082E-2</v>
      </c>
      <c r="I397" s="10">
        <f t="shared" si="111"/>
        <v>0.62356603951208356</v>
      </c>
      <c r="J397" s="10">
        <f t="shared" si="112"/>
        <v>1.2170365641197667</v>
      </c>
      <c r="K397" s="4">
        <f t="shared" si="95"/>
        <v>-1.1848249761447209</v>
      </c>
      <c r="L397" s="10">
        <f t="shared" si="104"/>
        <v>0.62356603951208356</v>
      </c>
      <c r="M397" s="10">
        <v>9.7899999999999991</v>
      </c>
      <c r="N397" s="10">
        <v>-10.01</v>
      </c>
      <c r="O397" s="10">
        <v>58.17</v>
      </c>
      <c r="P397" s="11">
        <f>8.01%+1.16%</f>
        <v>9.1700000000000004E-2</v>
      </c>
      <c r="Q397" s="11">
        <f>(12.18+1.62+5.04)%</f>
        <v>0.18840000000000001</v>
      </c>
      <c r="R397" s="12">
        <f t="shared" si="107"/>
        <v>6.5831058272926551E-3</v>
      </c>
      <c r="S397" s="12">
        <f t="shared" si="108"/>
        <v>-6.7310407897037258E-3</v>
      </c>
      <c r="T397" s="12">
        <f t="shared" si="109"/>
        <v>3.9115348924781794E-2</v>
      </c>
      <c r="U397" s="12">
        <f t="shared" si="65"/>
        <v>6.0367080436273652E-4</v>
      </c>
      <c r="V397" s="12">
        <f t="shared" si="53"/>
        <v>-6.1723644041583169E-4</v>
      </c>
      <c r="W397" s="12">
        <f t="shared" si="54"/>
        <v>3.5868774964024908E-3</v>
      </c>
      <c r="X397" s="12">
        <f t="shared" si="55"/>
        <v>1.2402571378619363E-3</v>
      </c>
      <c r="Y397" s="12">
        <f t="shared" si="56"/>
        <v>-1.2681280847801821E-3</v>
      </c>
      <c r="Z397" s="12">
        <f t="shared" si="57"/>
        <v>7.3693317374288903E-3</v>
      </c>
    </row>
    <row r="398" spans="1:26" ht="13">
      <c r="A398" s="8" t="str">
        <f t="shared" ref="A398:A401" si="115">A397</f>
        <v>GIL</v>
      </c>
      <c r="B398" s="9">
        <v>2018</v>
      </c>
      <c r="C398" s="10">
        <v>163.16999999999999</v>
      </c>
      <c r="D398" s="10">
        <v>1134.06</v>
      </c>
      <c r="E398" s="10">
        <v>1842.96</v>
      </c>
      <c r="F398" s="10">
        <v>1486.03</v>
      </c>
      <c r="G398" s="10">
        <v>1131.46</v>
      </c>
      <c r="H398" s="10">
        <f t="shared" si="110"/>
        <v>8.8536918869644474E-2</v>
      </c>
      <c r="I398" s="10">
        <f t="shared" si="111"/>
        <v>0.61534705039718707</v>
      </c>
      <c r="J398" s="10">
        <f t="shared" si="112"/>
        <v>1.3133738709278278</v>
      </c>
      <c r="K398" s="4">
        <f t="shared" si="95"/>
        <v>-1.1961914431331444</v>
      </c>
      <c r="L398" s="10">
        <f t="shared" si="104"/>
        <v>0.61534705039718707</v>
      </c>
      <c r="M398" s="10">
        <v>-56.03</v>
      </c>
      <c r="N398" s="10">
        <v>-22.42</v>
      </c>
      <c r="O398" s="10">
        <v>141.05000000000001</v>
      </c>
      <c r="P398" s="11">
        <f>5.81%+1.2%</f>
        <v>7.0099999999999996E-2</v>
      </c>
      <c r="Q398" s="11">
        <f>(12.15+1.33+5.03+0.4)%</f>
        <v>0.18909999999999999</v>
      </c>
      <c r="R398" s="12">
        <f t="shared" si="107"/>
        <v>-3.0402179103181839E-2</v>
      </c>
      <c r="S398" s="12">
        <f t="shared" si="108"/>
        <v>-1.2165212484264444E-2</v>
      </c>
      <c r="T398" s="12">
        <f t="shared" si="109"/>
        <v>7.6534487997569137E-2</v>
      </c>
      <c r="U398" s="12">
        <f t="shared" si="65"/>
        <v>-2.1311927551330469E-3</v>
      </c>
      <c r="V398" s="12">
        <f t="shared" si="53"/>
        <v>-8.5278139514693746E-4</v>
      </c>
      <c r="W398" s="12">
        <f t="shared" si="54"/>
        <v>5.3650676086295958E-3</v>
      </c>
      <c r="X398" s="12">
        <f t="shared" si="55"/>
        <v>-5.7490520684116853E-3</v>
      </c>
      <c r="Y398" s="12">
        <f t="shared" si="56"/>
        <v>-2.3004416807744063E-3</v>
      </c>
      <c r="Z398" s="12">
        <f t="shared" si="57"/>
        <v>1.4472671680340323E-2</v>
      </c>
    </row>
    <row r="399" spans="1:26" ht="13">
      <c r="A399" s="8" t="str">
        <f t="shared" si="115"/>
        <v>GIL</v>
      </c>
      <c r="B399" s="9">
        <v>2019</v>
      </c>
      <c r="C399" s="10">
        <v>160.52000000000001</v>
      </c>
      <c r="D399" s="10">
        <v>1061.97</v>
      </c>
      <c r="E399" s="10">
        <v>1898.45</v>
      </c>
      <c r="F399" s="10">
        <v>1543.98</v>
      </c>
      <c r="G399" s="10">
        <v>1059.3699999999999</v>
      </c>
      <c r="H399" s="10">
        <f t="shared" si="110"/>
        <v>8.455318812715637E-2</v>
      </c>
      <c r="I399" s="10">
        <f t="shared" si="111"/>
        <v>0.55938792172561824</v>
      </c>
      <c r="J399" s="10">
        <f t="shared" si="112"/>
        <v>1.457451126612987</v>
      </c>
      <c r="K399" s="4">
        <f t="shared" si="95"/>
        <v>-1.4978079972426315</v>
      </c>
      <c r="L399" s="10">
        <f t="shared" si="104"/>
        <v>0.55938792172561824</v>
      </c>
      <c r="M399" s="10">
        <v>311</v>
      </c>
      <c r="N399" s="10">
        <v>-71.2</v>
      </c>
      <c r="O399" s="10">
        <v>-114.85</v>
      </c>
      <c r="P399" s="11">
        <v>4.4200000000000003E-2</v>
      </c>
      <c r="Q399" s="11">
        <f>(12.2+1.86+4.94+0.04+0.04)%</f>
        <v>0.19079999999999997</v>
      </c>
      <c r="R399" s="12">
        <f t="shared" si="107"/>
        <v>0.16381785140509361</v>
      </c>
      <c r="S399" s="12">
        <f t="shared" si="108"/>
        <v>-3.7504279807211147E-2</v>
      </c>
      <c r="T399" s="12">
        <f t="shared" si="109"/>
        <v>-6.0496721009244379E-2</v>
      </c>
      <c r="U399" s="12">
        <f t="shared" si="65"/>
        <v>7.2407490321051383E-3</v>
      </c>
      <c r="V399" s="12">
        <f t="shared" si="53"/>
        <v>-1.6576891674787329E-3</v>
      </c>
      <c r="W399" s="12">
        <f t="shared" si="54"/>
        <v>-2.6739550686086019E-3</v>
      </c>
      <c r="X399" s="12">
        <f t="shared" si="55"/>
        <v>3.1256446048091857E-2</v>
      </c>
      <c r="Y399" s="12">
        <f t="shared" si="56"/>
        <v>-7.1558165872158859E-3</v>
      </c>
      <c r="Z399" s="12">
        <f t="shared" si="57"/>
        <v>-1.1542774368563826E-2</v>
      </c>
    </row>
    <row r="400" spans="1:26" ht="13">
      <c r="A400" s="8" t="str">
        <f t="shared" si="115"/>
        <v>GIL</v>
      </c>
      <c r="B400" s="9">
        <v>2020</v>
      </c>
      <c r="C400" s="10">
        <v>309.27999999999997</v>
      </c>
      <c r="D400" s="10">
        <v>1418.57</v>
      </c>
      <c r="E400" s="10">
        <v>2708.56</v>
      </c>
      <c r="F400" s="10">
        <v>2160.5300000000002</v>
      </c>
      <c r="G400" s="10">
        <v>1415.97</v>
      </c>
      <c r="H400" s="10">
        <f t="shared" si="110"/>
        <v>0.11418613580648018</v>
      </c>
      <c r="I400" s="10">
        <f t="shared" si="111"/>
        <v>0.52373585964497738</v>
      </c>
      <c r="J400" s="10">
        <f t="shared" si="112"/>
        <v>1.5258303495130547</v>
      </c>
      <c r="K400" s="4">
        <f t="shared" si="95"/>
        <v>-1.8346465325508419</v>
      </c>
      <c r="L400" s="10">
        <f t="shared" si="104"/>
        <v>0.52373585964497738</v>
      </c>
      <c r="M400" s="10">
        <v>250.85</v>
      </c>
      <c r="N400" s="10">
        <v>-370.22</v>
      </c>
      <c r="O400" s="10">
        <v>314.35000000000002</v>
      </c>
      <c r="P400" s="11">
        <v>3.8800000000000001E-2</v>
      </c>
      <c r="Q400" s="11">
        <f>(12.2+1.86+3.29+0.04+0.04)%</f>
        <v>0.17429999999999995</v>
      </c>
      <c r="R400" s="12">
        <f t="shared" si="107"/>
        <v>9.2613787399946829E-2</v>
      </c>
      <c r="S400" s="12">
        <f t="shared" si="108"/>
        <v>-0.13668517588681811</v>
      </c>
      <c r="T400" s="12">
        <f t="shared" si="109"/>
        <v>0.11605797914759135</v>
      </c>
      <c r="U400" s="12">
        <f t="shared" si="65"/>
        <v>3.5934149511179371E-3</v>
      </c>
      <c r="V400" s="12">
        <f t="shared" si="53"/>
        <v>-5.3033848244085427E-3</v>
      </c>
      <c r="W400" s="12">
        <f t="shared" si="54"/>
        <v>4.5030495909265441E-3</v>
      </c>
      <c r="X400" s="12">
        <f t="shared" si="55"/>
        <v>1.6142583143810729E-2</v>
      </c>
      <c r="Y400" s="12">
        <f t="shared" si="56"/>
        <v>-2.382422615707239E-2</v>
      </c>
      <c r="Z400" s="12">
        <f t="shared" si="57"/>
        <v>2.0228905765425166E-2</v>
      </c>
    </row>
    <row r="401" spans="1:26" ht="13">
      <c r="A401" s="8" t="str">
        <f t="shared" si="115"/>
        <v>GIL</v>
      </c>
      <c r="B401" s="9">
        <v>2021</v>
      </c>
      <c r="C401" s="10">
        <v>330.63</v>
      </c>
      <c r="D401" s="10">
        <v>2155.36</v>
      </c>
      <c r="E401" s="10">
        <v>3765.8</v>
      </c>
      <c r="F401" s="10">
        <v>3153.04</v>
      </c>
      <c r="G401" s="10">
        <v>2084.75</v>
      </c>
      <c r="H401" s="10">
        <f t="shared" si="110"/>
        <v>8.7798077433745805E-2</v>
      </c>
      <c r="I401" s="10">
        <f t="shared" si="111"/>
        <v>0.57235116044399592</v>
      </c>
      <c r="J401" s="10">
        <f t="shared" si="112"/>
        <v>1.5124307470919773</v>
      </c>
      <c r="K401" s="4">
        <f t="shared" si="95"/>
        <v>-1.4387394569094463</v>
      </c>
      <c r="L401" s="10">
        <f t="shared" si="104"/>
        <v>0.57235116044399592</v>
      </c>
      <c r="M401" s="10">
        <v>114.47</v>
      </c>
      <c r="N401" s="10">
        <v>-142.85</v>
      </c>
      <c r="O401" s="10">
        <v>208.08</v>
      </c>
      <c r="P401" s="11">
        <v>5.21E-2</v>
      </c>
      <c r="Q401" s="11">
        <f>(12.2+3.95+1.86+3.29+0.01+0.04)%</f>
        <v>0.21349999999999997</v>
      </c>
      <c r="R401" s="12">
        <f t="shared" si="107"/>
        <v>3.0397259546444313E-2</v>
      </c>
      <c r="S401" s="12">
        <f t="shared" si="108"/>
        <v>-3.7933506824579105E-2</v>
      </c>
      <c r="T401" s="12">
        <f t="shared" si="109"/>
        <v>5.5255191459981944E-2</v>
      </c>
      <c r="U401" s="12">
        <f t="shared" si="65"/>
        <v>1.5836972223697487E-3</v>
      </c>
      <c r="V401" s="12">
        <f t="shared" si="53"/>
        <v>-1.9763357055605714E-3</v>
      </c>
      <c r="W401" s="12">
        <f t="shared" si="54"/>
        <v>2.8787954750650593E-3</v>
      </c>
      <c r="X401" s="12">
        <f t="shared" si="55"/>
        <v>6.4898149131658598E-3</v>
      </c>
      <c r="Y401" s="12">
        <f t="shared" si="56"/>
        <v>-8.0988037070476374E-3</v>
      </c>
      <c r="Z401" s="12">
        <f t="shared" si="57"/>
        <v>1.1796983376706142E-2</v>
      </c>
    </row>
    <row r="402" spans="1:26" ht="13">
      <c r="A402" s="8" t="s">
        <v>98</v>
      </c>
      <c r="B402" s="9">
        <v>2017</v>
      </c>
      <c r="C402" s="10">
        <v>58.58</v>
      </c>
      <c r="D402" s="10">
        <v>588</v>
      </c>
      <c r="E402" s="10">
        <v>908.28</v>
      </c>
      <c r="F402" s="10">
        <v>655.45</v>
      </c>
      <c r="G402" s="10">
        <v>540.96</v>
      </c>
      <c r="H402" s="10">
        <f t="shared" si="110"/>
        <v>6.449553001277139E-2</v>
      </c>
      <c r="I402" s="10">
        <f t="shared" si="111"/>
        <v>0.64737746069493995</v>
      </c>
      <c r="J402" s="10">
        <f t="shared" si="112"/>
        <v>1.211642265601893</v>
      </c>
      <c r="K402" s="4">
        <f t="shared" si="95"/>
        <v>-0.9050249281587206</v>
      </c>
      <c r="L402" s="10">
        <f t="shared" si="104"/>
        <v>0.64737746069493995</v>
      </c>
      <c r="M402" s="10">
        <v>40.200000000000003</v>
      </c>
      <c r="N402" s="10">
        <v>-8.65</v>
      </c>
      <c r="O402" s="10">
        <v>-38.950000000000003</v>
      </c>
      <c r="P402" s="11">
        <v>0.14940000000000001</v>
      </c>
      <c r="Q402" s="11">
        <f>(2.85+2.47+1.15+0.1+0.2+5.26+0.02)%</f>
        <v>0.12050000000000001</v>
      </c>
      <c r="R402" s="12">
        <f t="shared" si="107"/>
        <v>4.4259479455674468E-2</v>
      </c>
      <c r="S402" s="12">
        <f t="shared" si="108"/>
        <v>-9.5234949575020919E-3</v>
      </c>
      <c r="T402" s="12">
        <f t="shared" si="109"/>
        <v>-4.2883251860659714E-2</v>
      </c>
      <c r="U402" s="12">
        <f t="shared" si="65"/>
        <v>6.6123662306777657E-3</v>
      </c>
      <c r="V402" s="12">
        <f t="shared" si="53"/>
        <v>-1.4228101466508126E-3</v>
      </c>
      <c r="W402" s="12">
        <f t="shared" si="54"/>
        <v>-6.4067578279825618E-3</v>
      </c>
      <c r="X402" s="12">
        <f t="shared" si="55"/>
        <v>5.3332672744087735E-3</v>
      </c>
      <c r="Y402" s="12">
        <f t="shared" si="56"/>
        <v>-1.1475811423790022E-3</v>
      </c>
      <c r="Z402" s="12">
        <f t="shared" si="57"/>
        <v>-5.1674318492094962E-3</v>
      </c>
    </row>
    <row r="403" spans="1:26" ht="13">
      <c r="A403" s="8" t="str">
        <f t="shared" ref="A403:A406" si="116">A402</f>
        <v>GMC</v>
      </c>
      <c r="B403" s="9">
        <v>2018</v>
      </c>
      <c r="C403" s="10">
        <v>120.4</v>
      </c>
      <c r="D403" s="10">
        <v>630.08000000000004</v>
      </c>
      <c r="E403" s="10">
        <v>1010.67</v>
      </c>
      <c r="F403" s="10">
        <v>778.44</v>
      </c>
      <c r="G403" s="10">
        <v>609.38</v>
      </c>
      <c r="H403" s="10">
        <f t="shared" si="110"/>
        <v>0.11912889469361909</v>
      </c>
      <c r="I403" s="10">
        <f t="shared" si="111"/>
        <v>0.62342802299464717</v>
      </c>
      <c r="J403" s="10">
        <f t="shared" si="112"/>
        <v>1.2774295185270275</v>
      </c>
      <c r="K403" s="4">
        <f t="shared" si="95"/>
        <v>-1.2876500131259045</v>
      </c>
      <c r="L403" s="10">
        <f t="shared" si="104"/>
        <v>0.62342802299464717</v>
      </c>
      <c r="M403" s="10">
        <v>98.14</v>
      </c>
      <c r="N403" s="10">
        <v>-7.64</v>
      </c>
      <c r="O403" s="10">
        <v>-59.43</v>
      </c>
      <c r="P403" s="11">
        <v>0.12609999999999999</v>
      </c>
      <c r="Q403" s="11">
        <f>(2.85+2.47+0.03+0.25+0.1+5.26+0.03)%</f>
        <v>0.1099</v>
      </c>
      <c r="R403" s="12">
        <f t="shared" si="107"/>
        <v>9.7103901372356957E-2</v>
      </c>
      <c r="S403" s="12">
        <f t="shared" si="108"/>
        <v>-7.5593418227512445E-3</v>
      </c>
      <c r="T403" s="12">
        <f t="shared" si="109"/>
        <v>-5.8802576508652678E-2</v>
      </c>
      <c r="U403" s="12">
        <f t="shared" si="65"/>
        <v>1.2244801963054211E-2</v>
      </c>
      <c r="V403" s="12">
        <f t="shared" si="53"/>
        <v>-9.5323300384893186E-4</v>
      </c>
      <c r="W403" s="12">
        <f t="shared" si="54"/>
        <v>-7.4150048977411022E-3</v>
      </c>
      <c r="X403" s="12">
        <f t="shared" si="55"/>
        <v>1.0671718760822029E-2</v>
      </c>
      <c r="Y403" s="12">
        <f t="shared" si="56"/>
        <v>-8.3077166632036174E-4</v>
      </c>
      <c r="Z403" s="12">
        <f t="shared" si="57"/>
        <v>-6.462403158300929E-3</v>
      </c>
    </row>
    <row r="404" spans="1:26" ht="13">
      <c r="A404" s="8" t="str">
        <f t="shared" si="116"/>
        <v>GMC</v>
      </c>
      <c r="B404" s="9">
        <v>2019</v>
      </c>
      <c r="C404" s="10">
        <v>104.45</v>
      </c>
      <c r="D404" s="10">
        <v>545.55999999999995</v>
      </c>
      <c r="E404" s="10">
        <v>1028.99</v>
      </c>
      <c r="F404" s="10">
        <v>820.45</v>
      </c>
      <c r="G404" s="10">
        <v>535.59</v>
      </c>
      <c r="H404" s="10">
        <f t="shared" si="110"/>
        <v>0.10150730327797161</v>
      </c>
      <c r="I404" s="10">
        <f t="shared" si="111"/>
        <v>0.5301897977628548</v>
      </c>
      <c r="J404" s="10">
        <f t="shared" si="112"/>
        <v>1.5318620586642768</v>
      </c>
      <c r="K404" s="4">
        <f t="shared" si="95"/>
        <v>-1.7408284657372568</v>
      </c>
      <c r="L404" s="10">
        <f t="shared" si="104"/>
        <v>0.5301897977628548</v>
      </c>
      <c r="M404" s="10">
        <v>203.74</v>
      </c>
      <c r="N404" s="10">
        <v>-8.91</v>
      </c>
      <c r="O404" s="10">
        <v>-90.48</v>
      </c>
      <c r="P404" s="11">
        <v>0.1348</v>
      </c>
      <c r="Q404" s="11">
        <f>(5.27+0.25+0.1+0.0003)%</f>
        <v>5.6202999999999996E-2</v>
      </c>
      <c r="R404" s="12">
        <f t="shared" si="107"/>
        <v>0.19799998056346516</v>
      </c>
      <c r="S404" s="12">
        <f t="shared" si="108"/>
        <v>-8.6589762777092103E-3</v>
      </c>
      <c r="T404" s="12">
        <f t="shared" si="109"/>
        <v>-8.7930883682057162E-2</v>
      </c>
      <c r="U404" s="12">
        <f t="shared" si="65"/>
        <v>2.6690397379955103E-2</v>
      </c>
      <c r="V404" s="12">
        <f t="shared" si="53"/>
        <v>-1.1672300022352016E-3</v>
      </c>
      <c r="W404" s="12">
        <f t="shared" si="54"/>
        <v>-1.1853083120341305E-2</v>
      </c>
      <c r="X404" s="12">
        <f t="shared" si="55"/>
        <v>1.1128192907608431E-2</v>
      </c>
      <c r="Y404" s="12">
        <f t="shared" si="56"/>
        <v>-4.8666044373609071E-4</v>
      </c>
      <c r="Z404" s="12">
        <f t="shared" si="57"/>
        <v>-4.9419794555826584E-3</v>
      </c>
    </row>
    <row r="405" spans="1:26" ht="13">
      <c r="A405" s="8" t="str">
        <f t="shared" si="116"/>
        <v>GMC</v>
      </c>
      <c r="B405" s="9">
        <v>2020</v>
      </c>
      <c r="C405" s="10">
        <v>46.41</v>
      </c>
      <c r="D405" s="10">
        <v>564.36</v>
      </c>
      <c r="E405" s="10">
        <v>1222.79</v>
      </c>
      <c r="F405" s="10">
        <v>1011.79</v>
      </c>
      <c r="G405" s="10">
        <v>547.99</v>
      </c>
      <c r="H405" s="10">
        <f t="shared" si="110"/>
        <v>3.7954186736888586E-2</v>
      </c>
      <c r="I405" s="10">
        <f t="shared" si="111"/>
        <v>0.46153468706809841</v>
      </c>
      <c r="J405" s="10">
        <f t="shared" si="112"/>
        <v>1.8463658095950655</v>
      </c>
      <c r="K405" s="4">
        <f t="shared" si="95"/>
        <v>-1.8474315872662177</v>
      </c>
      <c r="L405" s="10">
        <f t="shared" si="104"/>
        <v>0.46153468706809841</v>
      </c>
      <c r="M405" s="10">
        <v>127.83</v>
      </c>
      <c r="N405" s="10">
        <v>-23.87</v>
      </c>
      <c r="O405" s="10">
        <v>247.92</v>
      </c>
      <c r="P405" s="11">
        <v>0.1036</v>
      </c>
      <c r="Q405" s="11">
        <v>1E-3</v>
      </c>
      <c r="R405" s="12">
        <f t="shared" si="107"/>
        <v>0.10453961841362786</v>
      </c>
      <c r="S405" s="12">
        <f t="shared" si="108"/>
        <v>-1.9520931639938177E-2</v>
      </c>
      <c r="T405" s="12">
        <f t="shared" si="109"/>
        <v>0.20274945002821415</v>
      </c>
      <c r="U405" s="12">
        <f t="shared" si="65"/>
        <v>1.0830304467651845E-2</v>
      </c>
      <c r="V405" s="12">
        <f t="shared" si="53"/>
        <v>-2.0223685178975951E-3</v>
      </c>
      <c r="W405" s="12">
        <f t="shared" si="54"/>
        <v>2.1004843022922985E-2</v>
      </c>
      <c r="X405" s="12">
        <f t="shared" si="55"/>
        <v>1.0453961841362785E-4</v>
      </c>
      <c r="Y405" s="12">
        <f t="shared" si="56"/>
        <v>-1.9520931639938179E-5</v>
      </c>
      <c r="Z405" s="12">
        <f t="shared" si="57"/>
        <v>2.0274945002821416E-4</v>
      </c>
    </row>
    <row r="406" spans="1:26" ht="13">
      <c r="A406" s="8" t="str">
        <f t="shared" si="116"/>
        <v>GMC</v>
      </c>
      <c r="B406" s="9">
        <v>2021</v>
      </c>
      <c r="C406" s="10">
        <v>43.59</v>
      </c>
      <c r="D406" s="10">
        <v>124.75</v>
      </c>
      <c r="E406" s="10">
        <v>827.38</v>
      </c>
      <c r="F406" s="10">
        <v>618.95000000000005</v>
      </c>
      <c r="G406" s="10">
        <v>107.62</v>
      </c>
      <c r="H406" s="10">
        <f t="shared" si="110"/>
        <v>5.2684377190650007E-2</v>
      </c>
      <c r="I406" s="10">
        <f t="shared" si="111"/>
        <v>0.15077715197370012</v>
      </c>
      <c r="J406" s="10">
        <f t="shared" si="112"/>
        <v>5.7512544136777555</v>
      </c>
      <c r="K406" s="4">
        <f t="shared" si="95"/>
        <v>-3.7006549487625451</v>
      </c>
      <c r="L406" s="10">
        <f t="shared" si="104"/>
        <v>0.15077715197370012</v>
      </c>
      <c r="M406" s="10">
        <v>147.24</v>
      </c>
      <c r="N406" s="10">
        <v>-30.42</v>
      </c>
      <c r="O406" s="10">
        <v>-364.42</v>
      </c>
      <c r="P406" s="11">
        <v>8.3500000000000005E-2</v>
      </c>
      <c r="Q406" s="11">
        <v>1.07E-3</v>
      </c>
      <c r="R406" s="12">
        <f t="shared" si="107"/>
        <v>0.17795934153593271</v>
      </c>
      <c r="S406" s="12">
        <f t="shared" si="108"/>
        <v>-3.6766661026372403E-2</v>
      </c>
      <c r="T406" s="12">
        <f t="shared" si="109"/>
        <v>-0.44045057893591821</v>
      </c>
      <c r="U406" s="12">
        <f t="shared" si="65"/>
        <v>1.4859605018250382E-2</v>
      </c>
      <c r="V406" s="12">
        <f t="shared" si="53"/>
        <v>-3.0700161957020957E-3</v>
      </c>
      <c r="W406" s="12">
        <f t="shared" si="54"/>
        <v>-3.6777623341149174E-2</v>
      </c>
      <c r="X406" s="12">
        <f t="shared" si="55"/>
        <v>1.9041649544344799E-4</v>
      </c>
      <c r="Y406" s="12">
        <f t="shared" si="56"/>
        <v>-3.9340327298218468E-5</v>
      </c>
      <c r="Z406" s="12">
        <f t="shared" si="57"/>
        <v>-4.712821194614325E-4</v>
      </c>
    </row>
    <row r="407" spans="1:26" ht="13">
      <c r="A407" s="8" t="s">
        <v>99</v>
      </c>
      <c r="B407" s="9">
        <v>2017</v>
      </c>
      <c r="C407" s="10">
        <v>581.44000000000005</v>
      </c>
      <c r="D407" s="10">
        <v>4196.68</v>
      </c>
      <c r="E407" s="10">
        <v>11291.22</v>
      </c>
      <c r="F407" s="10">
        <v>2223.12</v>
      </c>
      <c r="G407" s="10">
        <v>2676.23</v>
      </c>
      <c r="H407" s="10">
        <f t="shared" si="110"/>
        <v>5.1494878321386002E-2</v>
      </c>
      <c r="I407" s="10">
        <f t="shared" si="111"/>
        <v>0.37167639989301426</v>
      </c>
      <c r="J407" s="10">
        <f t="shared" si="112"/>
        <v>0.83069093463566279</v>
      </c>
      <c r="K407" s="4">
        <f t="shared" si="95"/>
        <v>-2.4164942367945974</v>
      </c>
      <c r="L407" s="10">
        <f t="shared" si="104"/>
        <v>0.37167639989301426</v>
      </c>
      <c r="M407" s="10">
        <v>632.88</v>
      </c>
      <c r="N407" s="10">
        <v>-840.85</v>
      </c>
      <c r="O407" s="10">
        <v>264.39999999999998</v>
      </c>
      <c r="P407" s="11">
        <v>0.48470000000000002</v>
      </c>
      <c r="Q407" s="11">
        <f>(0.46+0.21+0.13+0.07+0.06+0.16+0.18+0.21)%</f>
        <v>1.4800000000000001E-2</v>
      </c>
      <c r="R407" s="12">
        <f t="shared" si="107"/>
        <v>5.6050630489885067E-2</v>
      </c>
      <c r="S407" s="12">
        <f t="shared" si="108"/>
        <v>-7.446936646349997E-2</v>
      </c>
      <c r="T407" s="12">
        <f t="shared" si="109"/>
        <v>2.3416424443062838E-2</v>
      </c>
      <c r="U407" s="12">
        <f t="shared" si="65"/>
        <v>2.7167740598447294E-2</v>
      </c>
      <c r="V407" s="12">
        <f t="shared" si="53"/>
        <v>-3.6095301924858436E-2</v>
      </c>
      <c r="W407" s="12">
        <f t="shared" si="54"/>
        <v>1.1349940927552558E-2</v>
      </c>
      <c r="X407" s="12">
        <f t="shared" si="55"/>
        <v>8.2954933125029906E-4</v>
      </c>
      <c r="Y407" s="12">
        <f t="shared" si="56"/>
        <v>-1.1021466236597996E-3</v>
      </c>
      <c r="Z407" s="12">
        <f t="shared" si="57"/>
        <v>3.4656308175733E-4</v>
      </c>
    </row>
    <row r="408" spans="1:26" ht="13">
      <c r="A408" s="8" t="str">
        <f t="shared" ref="A408:A411" si="117">A407</f>
        <v>GMD</v>
      </c>
      <c r="B408" s="9">
        <v>2018</v>
      </c>
      <c r="C408" s="10">
        <v>1900.25</v>
      </c>
      <c r="D408" s="10">
        <v>3455.08</v>
      </c>
      <c r="E408" s="10">
        <v>9984.06</v>
      </c>
      <c r="F408" s="10">
        <v>1391.48</v>
      </c>
      <c r="G408" s="10">
        <v>1564.16</v>
      </c>
      <c r="H408" s="10">
        <f t="shared" si="110"/>
        <v>0.19032838344320849</v>
      </c>
      <c r="I408" s="10">
        <f t="shared" si="111"/>
        <v>0.34605961903273819</v>
      </c>
      <c r="J408" s="10">
        <f t="shared" si="112"/>
        <v>0.8896020867430442</v>
      </c>
      <c r="K408" s="4">
        <f t="shared" si="95"/>
        <v>-3.1874963053548031</v>
      </c>
      <c r="L408" s="10">
        <f t="shared" si="104"/>
        <v>0.34605961903273819</v>
      </c>
      <c r="M408" s="10">
        <v>545.29</v>
      </c>
      <c r="N408" s="10">
        <v>1008.01</v>
      </c>
      <c r="O408" s="10">
        <v>-2159.91</v>
      </c>
      <c r="P408" s="11">
        <v>0.44019999999999998</v>
      </c>
      <c r="Q408" s="11">
        <f>(0.49+0.25+0.17+0.11+0.2+0.22+7.15)%</f>
        <v>8.5900000000000004E-2</v>
      </c>
      <c r="R408" s="12">
        <f t="shared" si="107"/>
        <v>5.4616057996446338E-2</v>
      </c>
      <c r="S408" s="12">
        <f t="shared" si="108"/>
        <v>0.10096193332171481</v>
      </c>
      <c r="T408" s="12">
        <f t="shared" si="109"/>
        <v>-0.21633583932788866</v>
      </c>
      <c r="U408" s="12">
        <f t="shared" si="65"/>
        <v>2.4041988730035678E-2</v>
      </c>
      <c r="V408" s="12">
        <f t="shared" si="53"/>
        <v>4.4443443048218859E-2</v>
      </c>
      <c r="W408" s="12">
        <f t="shared" si="54"/>
        <v>-9.5231036472136585E-2</v>
      </c>
      <c r="X408" s="12">
        <f t="shared" si="55"/>
        <v>4.6915193818947406E-3</v>
      </c>
      <c r="Y408" s="12">
        <f t="shared" si="56"/>
        <v>8.6726300723353033E-3</v>
      </c>
      <c r="Z408" s="12">
        <f t="shared" si="57"/>
        <v>-1.8583248598265639E-2</v>
      </c>
    </row>
    <row r="409" spans="1:26" ht="13">
      <c r="A409" s="8" t="str">
        <f t="shared" si="117"/>
        <v>GMD</v>
      </c>
      <c r="B409" s="9">
        <v>2019</v>
      </c>
      <c r="C409" s="10">
        <v>613.57000000000005</v>
      </c>
      <c r="D409" s="10">
        <v>3552.65</v>
      </c>
      <c r="E409" s="10">
        <v>10119.91</v>
      </c>
      <c r="F409" s="10">
        <v>1187.77</v>
      </c>
      <c r="G409" s="10">
        <v>1828.48</v>
      </c>
      <c r="H409" s="10">
        <f t="shared" si="110"/>
        <v>6.0629985839795023E-2</v>
      </c>
      <c r="I409" s="10">
        <f t="shared" si="111"/>
        <v>0.35105549357652394</v>
      </c>
      <c r="J409" s="10">
        <f t="shared" si="112"/>
        <v>0.64959419845992294</v>
      </c>
      <c r="K409" s="4">
        <f t="shared" si="95"/>
        <v>-2.5744169996867305</v>
      </c>
      <c r="L409" s="10">
        <f t="shared" si="104"/>
        <v>0.35105549357652394</v>
      </c>
      <c r="M409" s="10">
        <v>1057.44</v>
      </c>
      <c r="N409" s="10">
        <v>-376.61</v>
      </c>
      <c r="O409" s="10">
        <v>-667.51</v>
      </c>
      <c r="P409" s="11">
        <v>0.48770000000000002</v>
      </c>
      <c r="Q409" s="11">
        <f>1.61%+0.35%</f>
        <v>1.9599999999999999E-2</v>
      </c>
      <c r="R409" s="12">
        <f t="shared" si="107"/>
        <v>0.10449104784528716</v>
      </c>
      <c r="S409" s="12">
        <f t="shared" si="108"/>
        <v>-3.7214757838755483E-2</v>
      </c>
      <c r="T409" s="12">
        <f t="shared" si="109"/>
        <v>-6.596007276744556E-2</v>
      </c>
      <c r="U409" s="12">
        <f t="shared" si="65"/>
        <v>5.0960284034146555E-2</v>
      </c>
      <c r="V409" s="12">
        <f t="shared" si="53"/>
        <v>-1.8149637397961049E-2</v>
      </c>
      <c r="W409" s="12">
        <f t="shared" si="54"/>
        <v>-3.2168727488683199E-2</v>
      </c>
      <c r="X409" s="12">
        <f t="shared" si="55"/>
        <v>2.0480245377676285E-3</v>
      </c>
      <c r="Y409" s="12">
        <f t="shared" si="56"/>
        <v>-7.2940925363960745E-4</v>
      </c>
      <c r="Z409" s="12">
        <f t="shared" si="57"/>
        <v>-1.2928174262419329E-3</v>
      </c>
    </row>
    <row r="410" spans="1:26" ht="13">
      <c r="A410" s="8" t="str">
        <f t="shared" si="117"/>
        <v>GMD</v>
      </c>
      <c r="B410" s="9">
        <v>2020</v>
      </c>
      <c r="C410" s="10">
        <v>440.48</v>
      </c>
      <c r="D410" s="10">
        <v>3239.61</v>
      </c>
      <c r="E410" s="10">
        <v>9834.5400000000009</v>
      </c>
      <c r="F410" s="10">
        <v>1356.4</v>
      </c>
      <c r="G410" s="10">
        <v>1745.21</v>
      </c>
      <c r="H410" s="10">
        <f t="shared" si="110"/>
        <v>4.4789080119659888E-2</v>
      </c>
      <c r="I410" s="10">
        <f t="shared" si="111"/>
        <v>0.3294114417146099</v>
      </c>
      <c r="J410" s="10">
        <f t="shared" si="112"/>
        <v>0.77721305745440383</v>
      </c>
      <c r="K410" s="4">
        <f t="shared" si="95"/>
        <v>-2.6270144949950098</v>
      </c>
      <c r="L410" s="10">
        <f t="shared" si="104"/>
        <v>0.3294114417146099</v>
      </c>
      <c r="M410" s="10">
        <v>655.36</v>
      </c>
      <c r="N410" s="10">
        <v>73.08</v>
      </c>
      <c r="O410" s="10">
        <v>-486.19</v>
      </c>
      <c r="P410" s="11">
        <v>0.49</v>
      </c>
      <c r="Q410" s="11">
        <f>1.86%+0.34%</f>
        <v>2.2000000000000002E-2</v>
      </c>
      <c r="R410" s="12">
        <f t="shared" si="107"/>
        <v>6.6638602313885548E-2</v>
      </c>
      <c r="S410" s="12">
        <f t="shared" si="108"/>
        <v>7.4309525407390675E-3</v>
      </c>
      <c r="T410" s="12">
        <f t="shared" si="109"/>
        <v>-4.9436984342938251E-2</v>
      </c>
      <c r="U410" s="12">
        <f t="shared" si="65"/>
        <v>3.2652915133803917E-2</v>
      </c>
      <c r="V410" s="12">
        <f t="shared" si="53"/>
        <v>3.6411667449621431E-3</v>
      </c>
      <c r="W410" s="12">
        <f t="shared" si="54"/>
        <v>-2.4224122328039742E-2</v>
      </c>
      <c r="X410" s="12">
        <f t="shared" si="55"/>
        <v>1.4660492509054822E-3</v>
      </c>
      <c r="Y410" s="12">
        <f t="shared" si="56"/>
        <v>1.634809558962595E-4</v>
      </c>
      <c r="Z410" s="12">
        <f t="shared" si="57"/>
        <v>-1.0876136555446417E-3</v>
      </c>
    </row>
    <row r="411" spans="1:26" ht="13">
      <c r="A411" s="8" t="str">
        <f t="shared" si="117"/>
        <v>GMD</v>
      </c>
      <c r="B411" s="9">
        <v>2021</v>
      </c>
      <c r="C411" s="10">
        <v>720.56</v>
      </c>
      <c r="D411" s="10">
        <v>3686.59</v>
      </c>
      <c r="E411" s="10">
        <v>10731.21</v>
      </c>
      <c r="F411" s="10">
        <v>1689.48</v>
      </c>
      <c r="G411" s="10">
        <v>2262.7199999999998</v>
      </c>
      <c r="H411" s="10">
        <f t="shared" si="110"/>
        <v>6.7146202525157933E-2</v>
      </c>
      <c r="I411" s="10">
        <f t="shared" si="111"/>
        <v>0.34353907900413844</v>
      </c>
      <c r="J411" s="10">
        <f t="shared" si="112"/>
        <v>0.74665888841747996</v>
      </c>
      <c r="K411" s="4">
        <f t="shared" ref="K411:K474" si="118">-4.3 -4.5*(C411/E411)+5.7*(D411/E411)-0.004*(F411/G411)</f>
        <v>-2.6469717965932915</v>
      </c>
      <c r="L411" s="10">
        <f t="shared" si="104"/>
        <v>0.34353907900413844</v>
      </c>
      <c r="M411" s="10">
        <v>964.82</v>
      </c>
      <c r="N411" s="10">
        <v>-356.31</v>
      </c>
      <c r="O411" s="10">
        <v>-397.51</v>
      </c>
      <c r="P411" s="11">
        <v>0.41660000000000003</v>
      </c>
      <c r="Q411" s="11">
        <f>1.41%+0.25%</f>
        <v>1.66E-2</v>
      </c>
      <c r="R411" s="12">
        <f t="shared" si="107"/>
        <v>8.9907848229603196E-2</v>
      </c>
      <c r="S411" s="12">
        <f t="shared" si="108"/>
        <v>-3.3203152300625934E-2</v>
      </c>
      <c r="T411" s="12">
        <f t="shared" si="109"/>
        <v>-3.7042421124924403E-2</v>
      </c>
      <c r="U411" s="12">
        <f t="shared" si="65"/>
        <v>3.7455609572452697E-2</v>
      </c>
      <c r="V411" s="12">
        <f t="shared" si="53"/>
        <v>-1.3832433248440764E-2</v>
      </c>
      <c r="W411" s="12">
        <f t="shared" si="54"/>
        <v>-1.5431872640643508E-2</v>
      </c>
      <c r="X411" s="12">
        <f t="shared" si="55"/>
        <v>1.4924702806114131E-3</v>
      </c>
      <c r="Y411" s="12">
        <f t="shared" si="56"/>
        <v>-5.511723281903905E-4</v>
      </c>
      <c r="Z411" s="12">
        <f t="shared" si="57"/>
        <v>-6.1490419067374512E-4</v>
      </c>
    </row>
    <row r="412" spans="1:26" ht="13">
      <c r="A412" s="8" t="s">
        <v>100</v>
      </c>
      <c r="B412" s="9">
        <v>2017</v>
      </c>
      <c r="C412" s="10">
        <v>52.57</v>
      </c>
      <c r="D412" s="10">
        <v>123.9</v>
      </c>
      <c r="E412" s="10">
        <v>511.54</v>
      </c>
      <c r="F412" s="10">
        <v>457.62</v>
      </c>
      <c r="G412" s="10">
        <v>117.56</v>
      </c>
      <c r="H412" s="10">
        <f t="shared" si="110"/>
        <v>0.10276811197560308</v>
      </c>
      <c r="I412" s="10">
        <f t="shared" si="111"/>
        <v>0.24220979786526958</v>
      </c>
      <c r="J412" s="10">
        <f t="shared" si="112"/>
        <v>3.8926505614154472</v>
      </c>
      <c r="K412" s="4">
        <f t="shared" si="118"/>
        <v>-3.3974312583038384</v>
      </c>
      <c r="L412" s="10">
        <f t="shared" si="104"/>
        <v>0.24220979786526958</v>
      </c>
      <c r="M412" s="10">
        <v>22.78</v>
      </c>
      <c r="N412" s="10">
        <v>-7.82</v>
      </c>
      <c r="O412" s="10">
        <v>-46.98</v>
      </c>
      <c r="P412" s="11">
        <v>0.12</v>
      </c>
      <c r="Q412" s="11">
        <f>(0.02+0.04)%</f>
        <v>5.9999999999999995E-4</v>
      </c>
      <c r="R412" s="12">
        <f t="shared" si="107"/>
        <v>4.4532196895648433E-2</v>
      </c>
      <c r="S412" s="12">
        <f t="shared" si="108"/>
        <v>-1.5287172068655432E-2</v>
      </c>
      <c r="T412" s="12">
        <f t="shared" si="109"/>
        <v>-9.1840325292254749E-2</v>
      </c>
      <c r="U412" s="12">
        <f t="shared" si="65"/>
        <v>5.3438636274778118E-3</v>
      </c>
      <c r="V412" s="12">
        <f t="shared" si="53"/>
        <v>-1.8344606482386518E-3</v>
      </c>
      <c r="W412" s="12">
        <f t="shared" si="54"/>
        <v>-1.1020839035070569E-2</v>
      </c>
      <c r="X412" s="12">
        <f t="shared" si="55"/>
        <v>2.6719318137389059E-5</v>
      </c>
      <c r="Y412" s="12">
        <f t="shared" si="56"/>
        <v>-9.1723032411932587E-6</v>
      </c>
      <c r="Z412" s="12">
        <f t="shared" si="57"/>
        <v>-5.5104195175352842E-5</v>
      </c>
    </row>
    <row r="413" spans="1:26" ht="13">
      <c r="A413" s="8" t="str">
        <f t="shared" ref="A413:A416" si="119">A412</f>
        <v>GSP</v>
      </c>
      <c r="B413" s="9">
        <v>2018</v>
      </c>
      <c r="C413" s="10">
        <v>64.22</v>
      </c>
      <c r="D413" s="10">
        <v>287.13</v>
      </c>
      <c r="E413" s="10">
        <v>690.74</v>
      </c>
      <c r="F413" s="10">
        <v>410.4</v>
      </c>
      <c r="G413" s="10">
        <v>157.94</v>
      </c>
      <c r="H413" s="10">
        <f t="shared" si="110"/>
        <v>9.2972753858181073E-2</v>
      </c>
      <c r="I413" s="10">
        <f t="shared" si="111"/>
        <v>0.41568462808003009</v>
      </c>
      <c r="J413" s="10">
        <f t="shared" si="112"/>
        <v>2.5984551095352666</v>
      </c>
      <c r="K413" s="4">
        <f t="shared" si="118"/>
        <v>-2.3593688327437841</v>
      </c>
      <c r="L413" s="10">
        <f t="shared" si="104"/>
        <v>0.41568462808003009</v>
      </c>
      <c r="M413" s="10">
        <v>15.4</v>
      </c>
      <c r="N413" s="10">
        <v>-182.27</v>
      </c>
      <c r="O413" s="10">
        <v>104.22</v>
      </c>
      <c r="P413" s="11">
        <v>0.1421</v>
      </c>
      <c r="Q413" s="11">
        <v>2.0000000000000001E-4</v>
      </c>
      <c r="R413" s="12">
        <f t="shared" si="107"/>
        <v>2.2294930074992038E-2</v>
      </c>
      <c r="S413" s="12">
        <f t="shared" si="108"/>
        <v>-0.26387642238758435</v>
      </c>
      <c r="T413" s="12">
        <f t="shared" si="109"/>
        <v>0.15088166314387469</v>
      </c>
      <c r="U413" s="12">
        <f t="shared" si="65"/>
        <v>3.1681095636563687E-3</v>
      </c>
      <c r="V413" s="12">
        <f t="shared" si="53"/>
        <v>-3.7496839621275736E-2</v>
      </c>
      <c r="W413" s="12">
        <f t="shared" si="54"/>
        <v>2.1440284332744593E-2</v>
      </c>
      <c r="X413" s="12">
        <f t="shared" si="55"/>
        <v>4.4589860149984082E-6</v>
      </c>
      <c r="Y413" s="12">
        <f t="shared" si="56"/>
        <v>-5.2775284477516876E-5</v>
      </c>
      <c r="Z413" s="12">
        <f t="shared" si="57"/>
        <v>3.0176332628774941E-5</v>
      </c>
    </row>
    <row r="414" spans="1:26" ht="13">
      <c r="A414" s="8" t="str">
        <f t="shared" si="119"/>
        <v>GSP</v>
      </c>
      <c r="B414" s="9">
        <v>2019</v>
      </c>
      <c r="C414" s="10">
        <v>52.41</v>
      </c>
      <c r="D414" s="10">
        <v>450.32</v>
      </c>
      <c r="E414" s="10">
        <v>902.52</v>
      </c>
      <c r="F414" s="10">
        <v>367.34</v>
      </c>
      <c r="G414" s="10">
        <v>204.04</v>
      </c>
      <c r="H414" s="10">
        <f t="shared" si="110"/>
        <v>5.807073527456455E-2</v>
      </c>
      <c r="I414" s="10">
        <f t="shared" si="111"/>
        <v>0.49895847183441916</v>
      </c>
      <c r="J414" s="10">
        <f t="shared" si="112"/>
        <v>1.8003332679866693</v>
      </c>
      <c r="K414" s="4">
        <f t="shared" si="118"/>
        <v>-1.7244563523512975</v>
      </c>
      <c r="L414" s="10">
        <f t="shared" si="104"/>
        <v>0.49895847183441916</v>
      </c>
      <c r="M414" s="10">
        <v>126.31</v>
      </c>
      <c r="N414" s="10">
        <v>-244.26</v>
      </c>
      <c r="O414" s="10">
        <v>146.22</v>
      </c>
      <c r="P414" s="11">
        <v>0.12590000000000001</v>
      </c>
      <c r="Q414" s="11">
        <v>2.0000000000000001E-4</v>
      </c>
      <c r="R414" s="12">
        <f t="shared" si="107"/>
        <v>0.13995257722820548</v>
      </c>
      <c r="S414" s="12">
        <f t="shared" si="108"/>
        <v>-0.27064220183486237</v>
      </c>
      <c r="T414" s="12">
        <f t="shared" si="109"/>
        <v>0.16201303018215663</v>
      </c>
      <c r="U414" s="12">
        <f t="shared" si="65"/>
        <v>1.7620029473031072E-2</v>
      </c>
      <c r="V414" s="12">
        <f t="shared" si="53"/>
        <v>-3.4073853211009177E-2</v>
      </c>
      <c r="W414" s="12">
        <f t="shared" si="54"/>
        <v>2.0397440499933521E-2</v>
      </c>
      <c r="X414" s="12">
        <f t="shared" si="55"/>
        <v>2.7990515445641096E-5</v>
      </c>
      <c r="Y414" s="12">
        <f t="shared" si="56"/>
        <v>-5.4128440366972475E-5</v>
      </c>
      <c r="Z414" s="12">
        <f t="shared" si="57"/>
        <v>3.2402606036431324E-5</v>
      </c>
    </row>
    <row r="415" spans="1:26" ht="13">
      <c r="A415" s="8" t="str">
        <f t="shared" si="119"/>
        <v>GSP</v>
      </c>
      <c r="B415" s="9">
        <v>2020</v>
      </c>
      <c r="C415" s="10">
        <v>60</v>
      </c>
      <c r="D415" s="10">
        <v>415.52</v>
      </c>
      <c r="E415" s="10">
        <v>877.25</v>
      </c>
      <c r="F415" s="10">
        <v>394.82</v>
      </c>
      <c r="G415" s="10">
        <v>231.69</v>
      </c>
      <c r="H415" s="10">
        <f t="shared" si="110"/>
        <v>6.8395554288971219E-2</v>
      </c>
      <c r="I415" s="10">
        <f t="shared" si="111"/>
        <v>0.47366201196922197</v>
      </c>
      <c r="J415" s="10">
        <f t="shared" si="112"/>
        <v>1.7040873581078164</v>
      </c>
      <c r="K415" s="4">
        <f t="shared" si="118"/>
        <v>-1.9147228755082366</v>
      </c>
      <c r="L415" s="10">
        <f t="shared" si="104"/>
        <v>0.47366201196922197</v>
      </c>
      <c r="M415" s="10">
        <v>137.94</v>
      </c>
      <c r="N415" s="10">
        <v>-7.86</v>
      </c>
      <c r="O415" s="10">
        <v>-104.45</v>
      </c>
      <c r="P415" s="11">
        <v>8.5000000000000006E-2</v>
      </c>
      <c r="Q415" s="11">
        <f>(0.02+0.04+0.56)%</f>
        <v>6.2000000000000006E-3</v>
      </c>
      <c r="R415" s="12">
        <f t="shared" si="107"/>
        <v>0.15724137931034482</v>
      </c>
      <c r="S415" s="12">
        <f t="shared" si="108"/>
        <v>-8.9598176118552298E-3</v>
      </c>
      <c r="T415" s="12">
        <f t="shared" si="109"/>
        <v>-0.11906526075805073</v>
      </c>
      <c r="U415" s="12">
        <f t="shared" si="65"/>
        <v>1.3365517241379311E-2</v>
      </c>
      <c r="V415" s="12">
        <f t="shared" si="53"/>
        <v>-7.6158449700769459E-4</v>
      </c>
      <c r="W415" s="12">
        <f t="shared" si="54"/>
        <v>-1.0120547164434312E-2</v>
      </c>
      <c r="X415" s="12">
        <f t="shared" si="55"/>
        <v>9.74896551724138E-4</v>
      </c>
      <c r="Y415" s="12">
        <f t="shared" si="56"/>
        <v>-5.5550869193502433E-5</v>
      </c>
      <c r="Z415" s="12">
        <f t="shared" si="57"/>
        <v>-7.3820461669991456E-4</v>
      </c>
    </row>
    <row r="416" spans="1:26" ht="13">
      <c r="A416" s="8" t="str">
        <f t="shared" si="119"/>
        <v>GSP</v>
      </c>
      <c r="B416" s="9">
        <v>2021</v>
      </c>
      <c r="C416" s="10">
        <v>56.05</v>
      </c>
      <c r="D416" s="10">
        <v>641.22</v>
      </c>
      <c r="E416" s="10">
        <v>1298.79</v>
      </c>
      <c r="F416" s="10">
        <v>542.29</v>
      </c>
      <c r="G416" s="10">
        <v>329.16</v>
      </c>
      <c r="H416" s="10">
        <f t="shared" si="110"/>
        <v>4.3155552475765906E-2</v>
      </c>
      <c r="I416" s="10">
        <f t="shared" si="111"/>
        <v>0.49370567990206271</v>
      </c>
      <c r="J416" s="10">
        <f t="shared" si="112"/>
        <v>1.6474966581601651</v>
      </c>
      <c r="K416" s="4">
        <f t="shared" si="118"/>
        <v>-1.6866675973318299</v>
      </c>
      <c r="L416" s="10">
        <f t="shared" si="104"/>
        <v>0.49370567990206271</v>
      </c>
      <c r="M416" s="10">
        <v>39.72</v>
      </c>
      <c r="N416" s="10">
        <v>-287.91000000000003</v>
      </c>
      <c r="O416" s="10">
        <v>308.93</v>
      </c>
      <c r="P416" s="11">
        <v>1.5299999999999999E-2</v>
      </c>
      <c r="Q416" s="11">
        <v>2.0000000000000001E-4</v>
      </c>
      <c r="R416" s="12">
        <f t="shared" si="107"/>
        <v>3.0582311228143116E-2</v>
      </c>
      <c r="S416" s="12">
        <f t="shared" si="108"/>
        <v>-0.22167555955928211</v>
      </c>
      <c r="T416" s="12">
        <f t="shared" si="109"/>
        <v>0.23785985417196007</v>
      </c>
      <c r="U416" s="12">
        <f t="shared" si="65"/>
        <v>4.6790936179058964E-4</v>
      </c>
      <c r="V416" s="12">
        <f t="shared" si="53"/>
        <v>-3.3916360612570163E-3</v>
      </c>
      <c r="W416" s="12">
        <f t="shared" si="54"/>
        <v>3.639255768830989E-3</v>
      </c>
      <c r="X416" s="12">
        <f t="shared" si="55"/>
        <v>6.1164622456286238E-6</v>
      </c>
      <c r="Y416" s="12">
        <f t="shared" si="56"/>
        <v>-4.4335111911856425E-5</v>
      </c>
      <c r="Z416" s="12">
        <f t="shared" si="57"/>
        <v>4.7571970834392013E-5</v>
      </c>
    </row>
    <row r="417" spans="1:26" ht="13">
      <c r="A417" s="8" t="s">
        <v>101</v>
      </c>
      <c r="B417" s="9">
        <v>2017</v>
      </c>
      <c r="C417" s="10">
        <v>16.190000000000001</v>
      </c>
      <c r="D417" s="10">
        <v>290.27</v>
      </c>
      <c r="E417" s="10">
        <v>455.35</v>
      </c>
      <c r="F417" s="10">
        <v>406.04</v>
      </c>
      <c r="G417" s="10">
        <v>290.27</v>
      </c>
      <c r="H417" s="10">
        <f t="shared" si="110"/>
        <v>3.5555067530471066E-2</v>
      </c>
      <c r="I417" s="10">
        <f t="shared" si="111"/>
        <v>0.63746568573624673</v>
      </c>
      <c r="J417" s="10">
        <f t="shared" si="112"/>
        <v>1.3988355668860029</v>
      </c>
      <c r="K417" s="4">
        <f t="shared" si="118"/>
        <v>-0.83203873745805745</v>
      </c>
      <c r="L417" s="10">
        <f t="shared" si="104"/>
        <v>0.63746568573624673</v>
      </c>
      <c r="M417" s="10">
        <v>-15.03</v>
      </c>
      <c r="N417" s="10">
        <v>40.53</v>
      </c>
      <c r="O417" s="10">
        <v>-33.950000000000003</v>
      </c>
      <c r="P417" s="11">
        <v>9.74E-2</v>
      </c>
      <c r="Q417" s="11">
        <f>(0.048+0.19+0.1+0.03)%</f>
        <v>3.6800000000000001E-3</v>
      </c>
      <c r="R417" s="12">
        <f t="shared" si="107"/>
        <v>-3.3007576589436691E-2</v>
      </c>
      <c r="S417" s="12">
        <f t="shared" si="108"/>
        <v>8.9008455034588776E-2</v>
      </c>
      <c r="T417" s="12">
        <f t="shared" si="109"/>
        <v>-7.4558032282859343E-2</v>
      </c>
      <c r="U417" s="12">
        <f t="shared" si="65"/>
        <v>-3.2149379598111335E-3</v>
      </c>
      <c r="V417" s="12">
        <f t="shared" si="53"/>
        <v>8.6694235203689466E-3</v>
      </c>
      <c r="W417" s="12">
        <f t="shared" si="54"/>
        <v>-7.2619523443504998E-3</v>
      </c>
      <c r="X417" s="12">
        <f t="shared" si="55"/>
        <v>-1.2146788184912703E-4</v>
      </c>
      <c r="Y417" s="12">
        <f t="shared" si="56"/>
        <v>3.2755111452728672E-4</v>
      </c>
      <c r="Z417" s="12">
        <f t="shared" si="57"/>
        <v>-2.7437355880092237E-4</v>
      </c>
    </row>
    <row r="418" spans="1:26" ht="13">
      <c r="A418" s="8" t="str">
        <f t="shared" ref="A418:A421" si="120">A417</f>
        <v>GTA</v>
      </c>
      <c r="B418" s="9">
        <v>2018</v>
      </c>
      <c r="C418" s="10">
        <v>17.399999999999999</v>
      </c>
      <c r="D418" s="10">
        <v>494.33</v>
      </c>
      <c r="E418" s="10">
        <v>661.26</v>
      </c>
      <c r="F418" s="10">
        <v>613.5</v>
      </c>
      <c r="G418" s="10">
        <v>494.33</v>
      </c>
      <c r="H418" s="10">
        <f t="shared" si="110"/>
        <v>2.631340168768714E-2</v>
      </c>
      <c r="I418" s="10">
        <f t="shared" si="111"/>
        <v>0.74755769288933249</v>
      </c>
      <c r="J418" s="10">
        <f t="shared" si="112"/>
        <v>1.2410737766269497</v>
      </c>
      <c r="K418" s="4">
        <f t="shared" si="118"/>
        <v>-0.16229575323190509</v>
      </c>
      <c r="L418" s="10">
        <f t="shared" si="104"/>
        <v>0.74755769288933249</v>
      </c>
      <c r="M418" s="10">
        <v>-3.23</v>
      </c>
      <c r="N418" s="10">
        <v>-86.64</v>
      </c>
      <c r="O418" s="10">
        <v>106.62</v>
      </c>
      <c r="P418" s="11">
        <v>0.1048</v>
      </c>
      <c r="Q418" s="11">
        <f>(0.61+0.19+0.1+0.03)%</f>
        <v>9.300000000000001E-3</v>
      </c>
      <c r="R418" s="12">
        <f t="shared" si="107"/>
        <v>-4.8846142213350274E-3</v>
      </c>
      <c r="S418" s="12">
        <f t="shared" si="108"/>
        <v>-0.13102259323110427</v>
      </c>
      <c r="T418" s="12">
        <f t="shared" si="109"/>
        <v>0.16123763723800019</v>
      </c>
      <c r="U418" s="12">
        <f t="shared" si="65"/>
        <v>-5.1190757039591087E-4</v>
      </c>
      <c r="V418" s="12">
        <f t="shared" si="53"/>
        <v>-1.3731167770619728E-2</v>
      </c>
      <c r="W418" s="12">
        <f t="shared" si="54"/>
        <v>1.6897704382542421E-2</v>
      </c>
      <c r="X418" s="12">
        <f t="shared" si="55"/>
        <v>-4.5426912258415762E-5</v>
      </c>
      <c r="Y418" s="12">
        <f t="shared" si="56"/>
        <v>-1.2185101170492699E-3</v>
      </c>
      <c r="Z418" s="12">
        <f t="shared" si="57"/>
        <v>1.4995100263134019E-3</v>
      </c>
    </row>
    <row r="419" spans="1:26" ht="13">
      <c r="A419" s="8" t="str">
        <f t="shared" si="120"/>
        <v>GTA</v>
      </c>
      <c r="B419" s="9">
        <v>2019</v>
      </c>
      <c r="C419" s="10">
        <v>18.29</v>
      </c>
      <c r="D419" s="10">
        <v>382.39</v>
      </c>
      <c r="E419" s="10">
        <v>550.91999999999996</v>
      </c>
      <c r="F419" s="10">
        <v>507.75</v>
      </c>
      <c r="G419" s="10">
        <v>382.39</v>
      </c>
      <c r="H419" s="10">
        <f t="shared" si="110"/>
        <v>3.319901256080738E-2</v>
      </c>
      <c r="I419" s="10">
        <f t="shared" si="111"/>
        <v>0.69409351630000726</v>
      </c>
      <c r="J419" s="10">
        <f t="shared" si="112"/>
        <v>1.3278328408169671</v>
      </c>
      <c r="K419" s="4">
        <f t="shared" si="118"/>
        <v>-0.49837384497685966</v>
      </c>
      <c r="L419" s="10">
        <f t="shared" si="104"/>
        <v>0.69409351630000726</v>
      </c>
      <c r="M419" s="10">
        <v>-4.82</v>
      </c>
      <c r="N419" s="10">
        <v>26.56</v>
      </c>
      <c r="O419" s="10">
        <v>-48.99</v>
      </c>
      <c r="P419" s="11">
        <v>5.4000000000000003E-3</v>
      </c>
      <c r="Q419" s="11">
        <f>(0.614+0.198+0.1+0.03+0.1)%</f>
        <v>1.042E-2</v>
      </c>
      <c r="R419" s="12">
        <f t="shared" si="107"/>
        <v>-8.7490016699339306E-3</v>
      </c>
      <c r="S419" s="12">
        <f t="shared" si="108"/>
        <v>4.8210266463370365E-2</v>
      </c>
      <c r="T419" s="12">
        <f t="shared" si="109"/>
        <v>-8.8923981703332614E-2</v>
      </c>
      <c r="U419" s="12">
        <f t="shared" si="65"/>
        <v>-4.7244609017643225E-5</v>
      </c>
      <c r="V419" s="12">
        <f t="shared" si="53"/>
        <v>2.603354389022E-4</v>
      </c>
      <c r="W419" s="12">
        <f t="shared" si="54"/>
        <v>-4.8018950119799614E-4</v>
      </c>
      <c r="X419" s="12">
        <f t="shared" si="55"/>
        <v>-9.1164597400711565E-5</v>
      </c>
      <c r="Y419" s="12">
        <f t="shared" si="56"/>
        <v>5.0235097654831925E-4</v>
      </c>
      <c r="Z419" s="12">
        <f t="shared" si="57"/>
        <v>-9.2658788934872583E-4</v>
      </c>
    </row>
    <row r="420" spans="1:26" ht="13">
      <c r="A420" s="8" t="str">
        <f t="shared" si="120"/>
        <v>GTA</v>
      </c>
      <c r="B420" s="9">
        <v>2020</v>
      </c>
      <c r="C420" s="10">
        <v>18.329999999999998</v>
      </c>
      <c r="D420" s="10">
        <v>339.14</v>
      </c>
      <c r="E420" s="10">
        <v>508.43</v>
      </c>
      <c r="F420" s="10">
        <v>466.62</v>
      </c>
      <c r="G420" s="10">
        <v>339.14</v>
      </c>
      <c r="H420" s="10">
        <f t="shared" si="110"/>
        <v>3.605216057274354E-2</v>
      </c>
      <c r="I420" s="10">
        <f t="shared" si="111"/>
        <v>0.66703380996400685</v>
      </c>
      <c r="J420" s="10">
        <f t="shared" si="112"/>
        <v>1.3758919620215841</v>
      </c>
      <c r="K420" s="4">
        <f t="shared" si="118"/>
        <v>-0.66564557363059329</v>
      </c>
      <c r="L420" s="10">
        <f t="shared" si="104"/>
        <v>0.66703380996400685</v>
      </c>
      <c r="M420" s="10">
        <v>24.01</v>
      </c>
      <c r="N420" s="10">
        <v>17.89</v>
      </c>
      <c r="O420" s="10">
        <v>-2.88</v>
      </c>
      <c r="P420" s="11">
        <v>5.4000000000000003E-3</v>
      </c>
      <c r="Q420" s="11">
        <f>(0.58+0.19+0.1)%</f>
        <v>8.6999999999999994E-3</v>
      </c>
      <c r="R420" s="12">
        <f t="shared" si="107"/>
        <v>4.7223806620380386E-2</v>
      </c>
      <c r="S420" s="12">
        <f t="shared" si="108"/>
        <v>3.5186751371870266E-2</v>
      </c>
      <c r="T420" s="12">
        <f t="shared" si="109"/>
        <v>-5.6644965875341739E-3</v>
      </c>
      <c r="U420" s="12">
        <f t="shared" si="65"/>
        <v>2.5500855575005409E-4</v>
      </c>
      <c r="V420" s="12">
        <f t="shared" si="53"/>
        <v>1.9000845740809943E-4</v>
      </c>
      <c r="W420" s="12">
        <f t="shared" si="54"/>
        <v>-3.058828157268454E-5</v>
      </c>
      <c r="X420" s="12">
        <f t="shared" si="55"/>
        <v>4.1084711759730932E-4</v>
      </c>
      <c r="Y420" s="12">
        <f t="shared" si="56"/>
        <v>3.0612473693527128E-4</v>
      </c>
      <c r="Z420" s="12">
        <f t="shared" si="57"/>
        <v>-4.928112031154731E-5</v>
      </c>
    </row>
    <row r="421" spans="1:26" ht="13">
      <c r="A421" s="8" t="str">
        <f t="shared" si="120"/>
        <v>GTA</v>
      </c>
      <c r="B421" s="9">
        <v>2021</v>
      </c>
      <c r="C421" s="10">
        <v>15.67</v>
      </c>
      <c r="D421" s="10">
        <v>300.38</v>
      </c>
      <c r="E421" s="10">
        <v>467.76</v>
      </c>
      <c r="F421" s="10">
        <v>431.15</v>
      </c>
      <c r="G421" s="10">
        <v>300.38</v>
      </c>
      <c r="H421" s="10">
        <f t="shared" si="110"/>
        <v>3.3500085513938772E-2</v>
      </c>
      <c r="I421" s="10">
        <f t="shared" si="111"/>
        <v>0.64216692320848301</v>
      </c>
      <c r="J421" s="10">
        <f t="shared" si="112"/>
        <v>1.435348558492576</v>
      </c>
      <c r="K421" s="4">
        <f t="shared" si="118"/>
        <v>-0.79614031675834118</v>
      </c>
      <c r="L421" s="10">
        <f t="shared" si="104"/>
        <v>0.64216692320848301</v>
      </c>
      <c r="M421" s="10">
        <v>-33.53</v>
      </c>
      <c r="N421" s="10">
        <v>69</v>
      </c>
      <c r="O421" s="10">
        <v>-63.27</v>
      </c>
      <c r="P421" s="11">
        <v>7.0000000000000001E-3</v>
      </c>
      <c r="Q421" s="11">
        <f>ROUND((19470+10000)/9830000,6)</f>
        <v>2.9979999999999998E-3</v>
      </c>
      <c r="R421" s="12">
        <f t="shared" si="107"/>
        <v>-7.1682059175645629E-2</v>
      </c>
      <c r="S421" s="12">
        <f t="shared" si="108"/>
        <v>0.14751154438173422</v>
      </c>
      <c r="T421" s="12">
        <f t="shared" si="109"/>
        <v>-0.13526167265264238</v>
      </c>
      <c r="U421" s="12">
        <f t="shared" si="65"/>
        <v>-5.0177441422951936E-4</v>
      </c>
      <c r="V421" s="12">
        <f t="shared" si="53"/>
        <v>1.0325808106721396E-3</v>
      </c>
      <c r="W421" s="12">
        <f t="shared" si="54"/>
        <v>-9.4683170856849671E-4</v>
      </c>
      <c r="X421" s="12">
        <f t="shared" si="55"/>
        <v>-2.1490281340858557E-4</v>
      </c>
      <c r="Y421" s="12">
        <f t="shared" si="56"/>
        <v>4.4223961005643915E-4</v>
      </c>
      <c r="Z421" s="12">
        <f t="shared" si="57"/>
        <v>-4.0551449461262185E-4</v>
      </c>
    </row>
    <row r="422" spans="1:26" ht="13">
      <c r="A422" s="8" t="s">
        <v>102</v>
      </c>
      <c r="B422" s="9">
        <v>2017</v>
      </c>
      <c r="C422" s="10">
        <v>371.61</v>
      </c>
      <c r="D422" s="10">
        <v>35274.15</v>
      </c>
      <c r="E422" s="10">
        <v>53062.13</v>
      </c>
      <c r="F422" s="10">
        <v>8815.0499999999993</v>
      </c>
      <c r="G422" s="10">
        <v>12378.35</v>
      </c>
      <c r="H422" s="10">
        <f t="shared" si="110"/>
        <v>7.0032997167659879E-3</v>
      </c>
      <c r="I422" s="10">
        <f t="shared" si="111"/>
        <v>0.66477071312440728</v>
      </c>
      <c r="J422" s="10">
        <f t="shared" si="112"/>
        <v>0.71213449288475439</v>
      </c>
      <c r="K422" s="4">
        <f t="shared" si="118"/>
        <v>-0.54517032188786407</v>
      </c>
      <c r="L422" s="10">
        <f t="shared" si="104"/>
        <v>0.66477071312440728</v>
      </c>
      <c r="M422" s="10">
        <v>1014.52</v>
      </c>
      <c r="N422" s="10">
        <v>-2561.83</v>
      </c>
      <c r="O422" s="10">
        <v>1066.56</v>
      </c>
      <c r="P422" s="11">
        <f>5.39%+0.53%</f>
        <v>5.9199999999999996E-2</v>
      </c>
      <c r="Q422" s="11">
        <f>(35.02+0.36+0.7+0.09+0.02)%</f>
        <v>0.36190000000000011</v>
      </c>
      <c r="R422" s="12">
        <f t="shared" si="107"/>
        <v>1.9119473718827346E-2</v>
      </c>
      <c r="S422" s="12">
        <f t="shared" si="108"/>
        <v>-4.8279818394022254E-2</v>
      </c>
      <c r="T422" s="12">
        <f t="shared" si="109"/>
        <v>2.0100210828325211E-2</v>
      </c>
      <c r="U422" s="12">
        <f t="shared" si="65"/>
        <v>1.1318728441545788E-3</v>
      </c>
      <c r="V422" s="12">
        <f t="shared" si="53"/>
        <v>-2.8581652489261173E-3</v>
      </c>
      <c r="W422" s="12">
        <f t="shared" si="54"/>
        <v>1.1899324810368524E-3</v>
      </c>
      <c r="X422" s="12">
        <f t="shared" si="55"/>
        <v>6.9193375388436184E-3</v>
      </c>
      <c r="Y422" s="12">
        <f t="shared" si="56"/>
        <v>-1.7472466276796658E-2</v>
      </c>
      <c r="Z422" s="12">
        <f t="shared" si="57"/>
        <v>7.2742662987708958E-3</v>
      </c>
    </row>
    <row r="423" spans="1:26" ht="13">
      <c r="A423" s="8" t="str">
        <f t="shared" ref="A423:A426" si="121">A422</f>
        <v>HAG</v>
      </c>
      <c r="B423" s="9">
        <v>2018</v>
      </c>
      <c r="C423" s="10">
        <v>6.24</v>
      </c>
      <c r="D423" s="10">
        <v>31300.55</v>
      </c>
      <c r="E423" s="10">
        <v>48111.44</v>
      </c>
      <c r="F423" s="10">
        <v>6567.91</v>
      </c>
      <c r="G423" s="10">
        <v>13136.74</v>
      </c>
      <c r="H423" s="10">
        <f t="shared" si="110"/>
        <v>1.2969888242796309E-4</v>
      </c>
      <c r="I423" s="10">
        <f t="shared" si="111"/>
        <v>0.65058435166355444</v>
      </c>
      <c r="J423" s="10">
        <f t="shared" si="112"/>
        <v>0.49996498370219705</v>
      </c>
      <c r="K423" s="4">
        <f t="shared" si="118"/>
        <v>-0.59425270042347433</v>
      </c>
      <c r="L423" s="10">
        <f t="shared" si="104"/>
        <v>0.65058435166355444</v>
      </c>
      <c r="M423" s="10">
        <v>-2917.68</v>
      </c>
      <c r="N423" s="10">
        <v>-353.58</v>
      </c>
      <c r="O423" s="10">
        <v>3467.52</v>
      </c>
      <c r="P423" s="11">
        <v>1.9599999999999999E-2</v>
      </c>
      <c r="Q423" s="11">
        <f>(35.53+0.31+0.54+0.09+0.02)%</f>
        <v>0.36490000000000011</v>
      </c>
      <c r="R423" s="12">
        <f t="shared" si="107"/>
        <v>-6.0644204372182577E-2</v>
      </c>
      <c r="S423" s="12">
        <f t="shared" si="108"/>
        <v>-7.3491876360383306E-3</v>
      </c>
      <c r="T423" s="12">
        <f t="shared" si="109"/>
        <v>7.2072671281508099E-2</v>
      </c>
      <c r="U423" s="12">
        <f t="shared" si="65"/>
        <v>-1.1886264056947785E-3</v>
      </c>
      <c r="V423" s="12">
        <f t="shared" si="53"/>
        <v>-1.4404407766635129E-4</v>
      </c>
      <c r="W423" s="12">
        <f t="shared" si="54"/>
        <v>1.4126243571175587E-3</v>
      </c>
      <c r="X423" s="12">
        <f t="shared" si="55"/>
        <v>-2.2129070175409431E-2</v>
      </c>
      <c r="Y423" s="12">
        <f t="shared" si="56"/>
        <v>-2.6817185683903877E-3</v>
      </c>
      <c r="Z423" s="12">
        <f t="shared" si="57"/>
        <v>2.6299317750622313E-2</v>
      </c>
    </row>
    <row r="424" spans="1:26" ht="13">
      <c r="A424" s="8" t="str">
        <f t="shared" si="121"/>
        <v>HAG</v>
      </c>
      <c r="B424" s="9">
        <v>2019</v>
      </c>
      <c r="C424" s="10">
        <v>-1908.67</v>
      </c>
      <c r="D424" s="10">
        <v>21823.68</v>
      </c>
      <c r="E424" s="10">
        <v>33575.440000000002</v>
      </c>
      <c r="F424" s="10">
        <v>4955.09</v>
      </c>
      <c r="G424" s="10">
        <v>8089.79</v>
      </c>
      <c r="H424" s="10">
        <f t="shared" si="110"/>
        <v>-5.6847207363477585E-2</v>
      </c>
      <c r="I424" s="10">
        <f t="shared" si="111"/>
        <v>0.64998939701162517</v>
      </c>
      <c r="J424" s="10">
        <f t="shared" si="112"/>
        <v>0.6125115732299603</v>
      </c>
      <c r="K424" s="4">
        <f t="shared" si="118"/>
        <v>-0.34169805019100746</v>
      </c>
      <c r="L424" s="10">
        <f t="shared" si="104"/>
        <v>0.64998939701162517</v>
      </c>
      <c r="M424" s="10">
        <v>-2537.58</v>
      </c>
      <c r="N424" s="10">
        <v>6232.25</v>
      </c>
      <c r="O424" s="10">
        <v>-3777.98</v>
      </c>
      <c r="P424" s="11">
        <v>1.5299999999999999E-2</v>
      </c>
      <c r="Q424" s="11">
        <f>(35.23+0.31+0.09+0.02)%</f>
        <v>0.35650000000000004</v>
      </c>
      <c r="R424" s="12">
        <f t="shared" si="107"/>
        <v>-7.5578458539932752E-2</v>
      </c>
      <c r="S424" s="12">
        <f t="shared" si="108"/>
        <v>0.18561930982885108</v>
      </c>
      <c r="T424" s="12">
        <f t="shared" si="109"/>
        <v>-0.11252212927068118</v>
      </c>
      <c r="U424" s="12">
        <f t="shared" si="65"/>
        <v>-1.1563504156609711E-3</v>
      </c>
      <c r="V424" s="12">
        <f t="shared" si="53"/>
        <v>2.8399754403814212E-3</v>
      </c>
      <c r="W424" s="12">
        <f t="shared" si="54"/>
        <v>-1.7215885778414221E-3</v>
      </c>
      <c r="X424" s="12">
        <f t="shared" si="55"/>
        <v>-2.6943720469486031E-2</v>
      </c>
      <c r="Y424" s="12">
        <f t="shared" si="56"/>
        <v>6.6173283953985418E-2</v>
      </c>
      <c r="Z424" s="12">
        <f t="shared" si="57"/>
        <v>-4.0114139084997849E-2</v>
      </c>
    </row>
    <row r="425" spans="1:26" ht="13">
      <c r="A425" s="8" t="str">
        <f t="shared" si="121"/>
        <v>HAG</v>
      </c>
      <c r="B425" s="9">
        <v>2020</v>
      </c>
      <c r="C425" s="10">
        <v>-2383.34</v>
      </c>
      <c r="D425" s="10">
        <v>27238.02</v>
      </c>
      <c r="E425" s="10">
        <v>37265.82</v>
      </c>
      <c r="F425" s="10">
        <v>8930.3799999999992</v>
      </c>
      <c r="G425" s="10">
        <v>15428.98</v>
      </c>
      <c r="H425" s="10">
        <f t="shared" si="110"/>
        <v>-6.3955120268385346E-2</v>
      </c>
      <c r="I425" s="10">
        <f t="shared" si="111"/>
        <v>0.73091159673931771</v>
      </c>
      <c r="J425" s="10">
        <f t="shared" si="112"/>
        <v>0.57880559829619327</v>
      </c>
      <c r="K425" s="4">
        <f t="shared" si="118"/>
        <v>0.1516789202286602</v>
      </c>
      <c r="L425" s="10">
        <f t="shared" si="104"/>
        <v>0.73091159673931771</v>
      </c>
      <c r="M425" s="10">
        <v>-1764.14</v>
      </c>
      <c r="N425" s="10">
        <v>-1467.64</v>
      </c>
      <c r="O425" s="10">
        <v>3074.5</v>
      </c>
      <c r="P425" s="11">
        <v>1.52E-2</v>
      </c>
      <c r="Q425" s="11">
        <f>(36.85+0.31+0.02+0.01)%</f>
        <v>0.37190000000000006</v>
      </c>
      <c r="R425" s="12">
        <f t="shared" si="107"/>
        <v>-4.7339358157153129E-2</v>
      </c>
      <c r="S425" s="12">
        <f t="shared" si="108"/>
        <v>-3.9383005660414826E-2</v>
      </c>
      <c r="T425" s="12">
        <f t="shared" si="109"/>
        <v>8.2501874371743333E-2</v>
      </c>
      <c r="U425" s="12">
        <f t="shared" si="65"/>
        <v>-7.1955824398872758E-4</v>
      </c>
      <c r="V425" s="12">
        <f t="shared" si="53"/>
        <v>-5.986216860383054E-4</v>
      </c>
      <c r="W425" s="12">
        <f t="shared" si="54"/>
        <v>1.2540284904504987E-3</v>
      </c>
      <c r="X425" s="12">
        <f t="shared" si="55"/>
        <v>-1.760550729864525E-2</v>
      </c>
      <c r="Y425" s="12">
        <f t="shared" si="56"/>
        <v>-1.4646539805108277E-2</v>
      </c>
      <c r="Z425" s="12">
        <f t="shared" si="57"/>
        <v>3.0682447078851351E-2</v>
      </c>
    </row>
    <row r="426" spans="1:26" ht="13">
      <c r="A426" s="8" t="str">
        <f t="shared" si="121"/>
        <v>HAG</v>
      </c>
      <c r="B426" s="9">
        <v>2021</v>
      </c>
      <c r="C426" s="10">
        <v>127.61</v>
      </c>
      <c r="D426" s="10">
        <v>13766.45</v>
      </c>
      <c r="E426" s="10">
        <v>18439.68</v>
      </c>
      <c r="F426" s="10">
        <v>7051.85</v>
      </c>
      <c r="G426" s="10">
        <v>6754.51</v>
      </c>
      <c r="H426" s="10">
        <f t="shared" si="110"/>
        <v>6.9204020894071917E-3</v>
      </c>
      <c r="I426" s="10">
        <f t="shared" si="111"/>
        <v>0.7465666432389283</v>
      </c>
      <c r="J426" s="10">
        <f t="shared" si="112"/>
        <v>1.0440209578489039</v>
      </c>
      <c r="K426" s="4">
        <f t="shared" si="118"/>
        <v>-7.9888026771836984E-2</v>
      </c>
      <c r="L426" s="10">
        <f t="shared" si="104"/>
        <v>0.7465666432389283</v>
      </c>
      <c r="M426" s="10">
        <v>-640.28</v>
      </c>
      <c r="N426" s="10">
        <v>1288.68</v>
      </c>
      <c r="O426" s="10">
        <v>-667.25</v>
      </c>
      <c r="P426" s="11">
        <v>8.9999999999999993E-3</v>
      </c>
      <c r="Q426" s="11">
        <f>(34.5+0.005+0.03+0.01+0.04)%</f>
        <v>0.34584999999999999</v>
      </c>
      <c r="R426" s="12">
        <f t="shared" si="107"/>
        <v>-3.4722945300569207E-2</v>
      </c>
      <c r="S426" s="12">
        <f t="shared" si="108"/>
        <v>6.9886245314452311E-2</v>
      </c>
      <c r="T426" s="12">
        <f t="shared" si="109"/>
        <v>-3.6185552026933222E-2</v>
      </c>
      <c r="U426" s="12">
        <f t="shared" si="65"/>
        <v>-3.1250650770512284E-4</v>
      </c>
      <c r="V426" s="12">
        <f t="shared" si="53"/>
        <v>6.289762078300707E-4</v>
      </c>
      <c r="W426" s="12">
        <f t="shared" si="54"/>
        <v>-3.2566996824239897E-4</v>
      </c>
      <c r="X426" s="12">
        <f t="shared" si="55"/>
        <v>-1.200893063220186E-2</v>
      </c>
      <c r="Y426" s="12">
        <f t="shared" si="56"/>
        <v>2.4170157942003331E-2</v>
      </c>
      <c r="Z426" s="12">
        <f t="shared" si="57"/>
        <v>-1.2514773168514855E-2</v>
      </c>
    </row>
    <row r="427" spans="1:26" ht="13">
      <c r="A427" s="8" t="s">
        <v>103</v>
      </c>
      <c r="B427" s="9">
        <v>2017</v>
      </c>
      <c r="C427" s="10">
        <v>152.57</v>
      </c>
      <c r="D427" s="10">
        <v>472.89</v>
      </c>
      <c r="E427" s="10">
        <v>1309.07</v>
      </c>
      <c r="F427" s="10">
        <v>367.33</v>
      </c>
      <c r="G427" s="10">
        <v>279.77</v>
      </c>
      <c r="H427" s="10">
        <f t="shared" si="110"/>
        <v>0.11654838931455155</v>
      </c>
      <c r="I427" s="10">
        <f t="shared" si="111"/>
        <v>0.36124118649117315</v>
      </c>
      <c r="J427" s="10">
        <f t="shared" si="112"/>
        <v>1.3129713693391001</v>
      </c>
      <c r="K427" s="4">
        <f t="shared" si="118"/>
        <v>-2.7706448743931515</v>
      </c>
      <c r="L427" s="10">
        <f t="shared" si="104"/>
        <v>0.36124118649117315</v>
      </c>
      <c r="M427" s="10">
        <v>46.39</v>
      </c>
      <c r="N427" s="10">
        <v>-280.45999999999998</v>
      </c>
      <c r="O427" s="10">
        <v>179.84</v>
      </c>
      <c r="P427" s="11">
        <f>27.13%+1.56%</f>
        <v>0.28689999999999999</v>
      </c>
      <c r="Q427" s="11">
        <f>(1.57+17.48+3.88+8.82+4.48+1.49)%</f>
        <v>0.37720000000000004</v>
      </c>
      <c r="R427" s="12">
        <f t="shared" si="107"/>
        <v>3.5437371569129232E-2</v>
      </c>
      <c r="S427" s="12">
        <f t="shared" si="108"/>
        <v>-0.21424369972575949</v>
      </c>
      <c r="T427" s="12">
        <f t="shared" si="109"/>
        <v>0.1373799720412201</v>
      </c>
      <c r="U427" s="12">
        <f t="shared" si="65"/>
        <v>1.0166981903183176E-2</v>
      </c>
      <c r="V427" s="12">
        <f t="shared" si="53"/>
        <v>-6.1466517451320396E-2</v>
      </c>
      <c r="W427" s="12">
        <f t="shared" si="54"/>
        <v>3.9414313978626048E-2</v>
      </c>
      <c r="X427" s="12">
        <f t="shared" si="55"/>
        <v>1.3366976555875548E-2</v>
      </c>
      <c r="Y427" s="12">
        <f t="shared" si="56"/>
        <v>-8.0812723536556483E-2</v>
      </c>
      <c r="Z427" s="12">
        <f t="shared" si="57"/>
        <v>5.1819725453948223E-2</v>
      </c>
    </row>
    <row r="428" spans="1:26" ht="13">
      <c r="A428" s="8" t="str">
        <f t="shared" ref="A428:A431" si="122">A427</f>
        <v>HAH</v>
      </c>
      <c r="B428" s="9">
        <v>2018</v>
      </c>
      <c r="C428" s="10">
        <v>158.9</v>
      </c>
      <c r="D428" s="10">
        <v>437.3</v>
      </c>
      <c r="E428" s="10">
        <v>1655.98</v>
      </c>
      <c r="F428" s="10">
        <v>587.78</v>
      </c>
      <c r="G428" s="10">
        <v>247.67</v>
      </c>
      <c r="H428" s="10">
        <f t="shared" si="110"/>
        <v>9.5955265160207248E-2</v>
      </c>
      <c r="I428" s="10">
        <f t="shared" si="111"/>
        <v>0.26407323759948792</v>
      </c>
      <c r="J428" s="10">
        <f t="shared" si="112"/>
        <v>2.3732385835991439</v>
      </c>
      <c r="K428" s="4">
        <f t="shared" si="118"/>
        <v>-3.2360741932382484</v>
      </c>
      <c r="L428" s="10">
        <f t="shared" si="104"/>
        <v>0.26407323759948792</v>
      </c>
      <c r="M428" s="10">
        <v>-17.63</v>
      </c>
      <c r="N428" s="10">
        <v>-131.71</v>
      </c>
      <c r="O428" s="10">
        <v>253.9</v>
      </c>
      <c r="P428" s="11">
        <f t="shared" ref="P428:P429" si="123">18.69%+1.48%</f>
        <v>0.20170000000000002</v>
      </c>
      <c r="Q428" s="11">
        <f>(1.67+6.65+2.85+11.42+3.17+1.58+0.007)%</f>
        <v>0.27346999999999999</v>
      </c>
      <c r="R428" s="12">
        <f t="shared" si="107"/>
        <v>-1.0646263843766228E-2</v>
      </c>
      <c r="S428" s="12">
        <f t="shared" si="108"/>
        <v>-7.9535984734115148E-2</v>
      </c>
      <c r="T428" s="12">
        <f t="shared" si="109"/>
        <v>0.15332310776700203</v>
      </c>
      <c r="U428" s="12">
        <f t="shared" si="65"/>
        <v>-2.1473514172876485E-3</v>
      </c>
      <c r="V428" s="12">
        <f t="shared" si="53"/>
        <v>-1.6042408120871026E-2</v>
      </c>
      <c r="W428" s="12">
        <f t="shared" si="54"/>
        <v>3.0925270836604311E-2</v>
      </c>
      <c r="X428" s="12">
        <f t="shared" si="55"/>
        <v>-2.9114337733547502E-3</v>
      </c>
      <c r="Y428" s="12">
        <f t="shared" si="56"/>
        <v>-2.175070574523847E-2</v>
      </c>
      <c r="Z428" s="12">
        <f t="shared" si="57"/>
        <v>4.1929270281042041E-2</v>
      </c>
    </row>
    <row r="429" spans="1:26" ht="13">
      <c r="A429" s="8" t="str">
        <f t="shared" si="122"/>
        <v>HAH</v>
      </c>
      <c r="B429" s="9">
        <v>2019</v>
      </c>
      <c r="C429" s="10">
        <v>132.74</v>
      </c>
      <c r="D429" s="10">
        <v>572.86</v>
      </c>
      <c r="E429" s="10">
        <v>1827.54</v>
      </c>
      <c r="F429" s="10">
        <v>664.75</v>
      </c>
      <c r="G429" s="10">
        <v>285.89999999999998</v>
      </c>
      <c r="H429" s="10">
        <f t="shared" si="110"/>
        <v>7.2633157140199398E-2</v>
      </c>
      <c r="I429" s="10">
        <f t="shared" si="111"/>
        <v>0.31345962331877825</v>
      </c>
      <c r="J429" s="10">
        <f t="shared" si="112"/>
        <v>2.3251136761105284</v>
      </c>
      <c r="K429" s="4">
        <f t="shared" si="118"/>
        <v>-2.8494298089183032</v>
      </c>
      <c r="L429" s="10">
        <f t="shared" si="104"/>
        <v>0.31345962331877825</v>
      </c>
      <c r="M429" s="10">
        <v>184.16</v>
      </c>
      <c r="N429" s="10">
        <v>-219.5</v>
      </c>
      <c r="O429" s="10">
        <v>6.63</v>
      </c>
      <c r="P429" s="11">
        <f t="shared" si="123"/>
        <v>0.20170000000000002</v>
      </c>
      <c r="Q429" s="11">
        <f>(1.67+11.42+0.0228+6.15+0.007+0.009)%</f>
        <v>0.19278800000000001</v>
      </c>
      <c r="R429" s="12">
        <f t="shared" si="107"/>
        <v>0.10076934020595993</v>
      </c>
      <c r="S429" s="12">
        <f t="shared" si="108"/>
        <v>-0.12010681024765532</v>
      </c>
      <c r="T429" s="12">
        <f t="shared" si="109"/>
        <v>3.6278275714895433E-3</v>
      </c>
      <c r="U429" s="12">
        <f t="shared" si="65"/>
        <v>2.032517591954212E-2</v>
      </c>
      <c r="V429" s="12">
        <f t="shared" si="53"/>
        <v>-2.4225543626952079E-2</v>
      </c>
      <c r="W429" s="12">
        <f t="shared" si="54"/>
        <v>7.3173282116944095E-4</v>
      </c>
      <c r="X429" s="12">
        <f t="shared" si="55"/>
        <v>1.9427119559626605E-2</v>
      </c>
      <c r="Y429" s="12">
        <f t="shared" si="56"/>
        <v>-2.3155151734024975E-2</v>
      </c>
      <c r="Z429" s="12">
        <f t="shared" si="57"/>
        <v>6.9940162185232614E-4</v>
      </c>
    </row>
    <row r="430" spans="1:26" ht="13">
      <c r="A430" s="8" t="str">
        <f t="shared" si="122"/>
        <v>HAH</v>
      </c>
      <c r="B430" s="9">
        <v>2020</v>
      </c>
      <c r="C430" s="10">
        <v>146.6</v>
      </c>
      <c r="D430" s="10">
        <v>758.75</v>
      </c>
      <c r="E430" s="10">
        <v>2094.5500000000002</v>
      </c>
      <c r="F430" s="10">
        <v>694.95</v>
      </c>
      <c r="G430" s="10">
        <v>320.36</v>
      </c>
      <c r="H430" s="10">
        <f t="shared" si="110"/>
        <v>6.9991167553889844E-2</v>
      </c>
      <c r="I430" s="10">
        <f t="shared" si="111"/>
        <v>0.36224964789572939</v>
      </c>
      <c r="J430" s="10">
        <f t="shared" si="112"/>
        <v>2.1692783118991135</v>
      </c>
      <c r="K430" s="4">
        <f t="shared" si="118"/>
        <v>-2.5588143742344429</v>
      </c>
      <c r="L430" s="10">
        <f t="shared" si="104"/>
        <v>0.36224964789572939</v>
      </c>
      <c r="M430" s="10">
        <v>276.89</v>
      </c>
      <c r="N430" s="10">
        <v>-383.45</v>
      </c>
      <c r="O430" s="10">
        <v>84.5</v>
      </c>
      <c r="P430" s="11">
        <f>12.53%+1.66%</f>
        <v>0.1419</v>
      </c>
      <c r="Q430" s="11">
        <f>(1.67+11.42+0.0228+8.08+0.007+0.009)%</f>
        <v>0.212088</v>
      </c>
      <c r="R430" s="12">
        <f t="shared" si="107"/>
        <v>0.13219545964526985</v>
      </c>
      <c r="S430" s="12">
        <f t="shared" si="108"/>
        <v>-0.18307034923969348</v>
      </c>
      <c r="T430" s="12">
        <f t="shared" si="109"/>
        <v>4.0342794394977441E-2</v>
      </c>
      <c r="U430" s="12">
        <f t="shared" si="65"/>
        <v>1.8758535723663792E-2</v>
      </c>
      <c r="V430" s="12">
        <f t="shared" si="53"/>
        <v>-2.5977682557112504E-2</v>
      </c>
      <c r="W430" s="12">
        <f t="shared" si="54"/>
        <v>5.724642524647299E-3</v>
      </c>
      <c r="X430" s="12">
        <f t="shared" si="55"/>
        <v>2.8037070645245993E-2</v>
      </c>
      <c r="Y430" s="12">
        <f t="shared" si="56"/>
        <v>-3.8827024229548111E-2</v>
      </c>
      <c r="Z430" s="12">
        <f t="shared" si="57"/>
        <v>8.5562225776419747E-3</v>
      </c>
    </row>
    <row r="431" spans="1:26" ht="13">
      <c r="A431" s="8" t="str">
        <f t="shared" si="122"/>
        <v>HAH</v>
      </c>
      <c r="B431" s="9">
        <v>2021</v>
      </c>
      <c r="C431" s="10">
        <v>550.62</v>
      </c>
      <c r="D431" s="10">
        <v>1330.32</v>
      </c>
      <c r="E431" s="10">
        <v>3232.35</v>
      </c>
      <c r="F431" s="10">
        <v>1287.24</v>
      </c>
      <c r="G431" s="10">
        <v>620.6</v>
      </c>
      <c r="H431" s="10">
        <f t="shared" si="110"/>
        <v>0.17034665181678965</v>
      </c>
      <c r="I431" s="10">
        <f t="shared" si="111"/>
        <v>0.41156434173279499</v>
      </c>
      <c r="J431" s="10">
        <f t="shared" si="112"/>
        <v>2.0741862713503063</v>
      </c>
      <c r="K431" s="4">
        <f t="shared" si="118"/>
        <v>-2.7289399303840232</v>
      </c>
      <c r="L431" s="10">
        <f t="shared" si="104"/>
        <v>0.41156434173279499</v>
      </c>
      <c r="M431" s="10">
        <v>790.08</v>
      </c>
      <c r="N431" s="10">
        <v>-649.54</v>
      </c>
      <c r="O431" s="10">
        <v>123.66</v>
      </c>
      <c r="P431" s="11">
        <f>11.53%+0.52%</f>
        <v>0.1205</v>
      </c>
      <c r="Q431" s="11">
        <f>(1.67+11.42+0.0228+2.051+0.007+0.009)%</f>
        <v>0.15179799999999999</v>
      </c>
      <c r="R431" s="12">
        <f t="shared" si="107"/>
        <v>0.244428975822544</v>
      </c>
      <c r="S431" s="12">
        <f t="shared" si="108"/>
        <v>-0.20094977338468914</v>
      </c>
      <c r="T431" s="12">
        <f t="shared" si="109"/>
        <v>3.8256995684254488E-2</v>
      </c>
      <c r="U431" s="12">
        <f t="shared" si="65"/>
        <v>2.9453691586616551E-2</v>
      </c>
      <c r="V431" s="12">
        <f t="shared" si="53"/>
        <v>-2.4214447692855041E-2</v>
      </c>
      <c r="W431" s="12">
        <f t="shared" si="54"/>
        <v>4.6099679799526654E-3</v>
      </c>
      <c r="X431" s="12">
        <f t="shared" si="55"/>
        <v>3.7103829671910532E-2</v>
      </c>
      <c r="Y431" s="12">
        <f t="shared" si="56"/>
        <v>-3.0503773700249041E-2</v>
      </c>
      <c r="Z431" s="12">
        <f t="shared" si="57"/>
        <v>5.8073354308784625E-3</v>
      </c>
    </row>
    <row r="432" spans="1:26" ht="13">
      <c r="A432" s="8" t="s">
        <v>104</v>
      </c>
      <c r="B432" s="9">
        <v>2017</v>
      </c>
      <c r="C432" s="10">
        <v>13.42</v>
      </c>
      <c r="D432" s="10">
        <v>127.41</v>
      </c>
      <c r="E432" s="10">
        <v>795.6</v>
      </c>
      <c r="F432" s="10">
        <v>473.87</v>
      </c>
      <c r="G432" s="10">
        <v>123.53</v>
      </c>
      <c r="H432" s="10">
        <f t="shared" si="110"/>
        <v>1.686777275012569E-2</v>
      </c>
      <c r="I432" s="10">
        <f t="shared" si="111"/>
        <v>0.16014328808446454</v>
      </c>
      <c r="J432" s="10">
        <f t="shared" si="112"/>
        <v>3.8360722091799562</v>
      </c>
      <c r="K432" s="4">
        <f t="shared" si="118"/>
        <v>-3.4784325241308371</v>
      </c>
      <c r="L432" s="10">
        <f t="shared" si="104"/>
        <v>0.16014328808446454</v>
      </c>
      <c r="M432" s="10">
        <v>122.93</v>
      </c>
      <c r="N432" s="10">
        <v>160.24</v>
      </c>
      <c r="O432" s="10">
        <v>-183.99</v>
      </c>
      <c r="P432" s="11">
        <f>2.98%+4.4%</f>
        <v>7.3800000000000004E-2</v>
      </c>
      <c r="Q432" s="11">
        <f t="shared" ref="Q432:Q434" si="124">(12.95+0.82+0.26+0.7+0.13+0.49+0.00186+0.047)%</f>
        <v>0.1539886</v>
      </c>
      <c r="R432" s="12">
        <f t="shared" si="107"/>
        <v>0.15451231774761187</v>
      </c>
      <c r="S432" s="12">
        <f t="shared" si="108"/>
        <v>0.20140774258421318</v>
      </c>
      <c r="T432" s="12">
        <f t="shared" si="109"/>
        <v>-0.23125942684766215</v>
      </c>
      <c r="U432" s="12">
        <f t="shared" si="65"/>
        <v>1.1403009049773757E-2</v>
      </c>
      <c r="V432" s="12">
        <f t="shared" si="53"/>
        <v>1.4863891402714933E-2</v>
      </c>
      <c r="W432" s="12">
        <f t="shared" si="54"/>
        <v>-1.7066945701357469E-2</v>
      </c>
      <c r="X432" s="12">
        <f t="shared" si="55"/>
        <v>2.3793135492709908E-2</v>
      </c>
      <c r="Y432" s="12">
        <f t="shared" si="56"/>
        <v>3.101449630970337E-2</v>
      </c>
      <c r="Z432" s="12">
        <f t="shared" si="57"/>
        <v>-3.5611315377073911E-2</v>
      </c>
    </row>
    <row r="433" spans="1:26" ht="13">
      <c r="A433" s="8" t="str">
        <f t="shared" ref="A433:A436" si="125">A432</f>
        <v>HAP</v>
      </c>
      <c r="B433" s="9">
        <v>2018</v>
      </c>
      <c r="C433" s="10">
        <v>34</v>
      </c>
      <c r="D433" s="10">
        <v>118.31</v>
      </c>
      <c r="E433" s="10">
        <v>820.4</v>
      </c>
      <c r="F433" s="10">
        <v>394.52</v>
      </c>
      <c r="G433" s="10">
        <v>114.84</v>
      </c>
      <c r="H433" s="10">
        <f t="shared" si="110"/>
        <v>4.1443198439785472E-2</v>
      </c>
      <c r="I433" s="10">
        <f t="shared" si="111"/>
        <v>0.14421014139444174</v>
      </c>
      <c r="J433" s="10">
        <f t="shared" si="112"/>
        <v>3.4353883664228491</v>
      </c>
      <c r="K433" s="4">
        <f t="shared" si="118"/>
        <v>-3.6782381404964082</v>
      </c>
      <c r="L433" s="10">
        <f t="shared" si="104"/>
        <v>0.14421014139444174</v>
      </c>
      <c r="M433" s="10">
        <v>38.36</v>
      </c>
      <c r="N433" s="10">
        <v>-121.13</v>
      </c>
      <c r="O433" s="10">
        <v>-17.62</v>
      </c>
      <c r="P433" s="11">
        <f t="shared" ref="P433:P434" si="126">2.98%+3.84%</f>
        <v>6.8199999999999997E-2</v>
      </c>
      <c r="Q433" s="11">
        <f t="shared" si="124"/>
        <v>0.1539886</v>
      </c>
      <c r="R433" s="12">
        <f t="shared" si="107"/>
        <v>4.6757679180887371E-2</v>
      </c>
      <c r="S433" s="12">
        <f t="shared" si="108"/>
        <v>-0.14764748902974159</v>
      </c>
      <c r="T433" s="12">
        <f t="shared" si="109"/>
        <v>-2.1477328132618236E-2</v>
      </c>
      <c r="U433" s="12">
        <f t="shared" si="65"/>
        <v>3.1888737201365186E-3</v>
      </c>
      <c r="V433" s="12">
        <f t="shared" si="53"/>
        <v>-1.0069558751828377E-2</v>
      </c>
      <c r="W433" s="12">
        <f t="shared" si="54"/>
        <v>-1.4647537786445636E-3</v>
      </c>
      <c r="X433" s="12">
        <f t="shared" si="55"/>
        <v>7.2001495563139934E-3</v>
      </c>
      <c r="Y433" s="12">
        <f t="shared" si="56"/>
        <v>-2.2736030129205265E-2</v>
      </c>
      <c r="Z433" s="12">
        <f t="shared" si="57"/>
        <v>-3.3072636908824966E-3</v>
      </c>
    </row>
    <row r="434" spans="1:26" ht="13">
      <c r="A434" s="8" t="str">
        <f t="shared" si="125"/>
        <v>HAP</v>
      </c>
      <c r="B434" s="9">
        <v>2019</v>
      </c>
      <c r="C434" s="10">
        <v>20.36</v>
      </c>
      <c r="D434" s="10">
        <v>122.9</v>
      </c>
      <c r="E434" s="10">
        <v>811.89</v>
      </c>
      <c r="F434" s="10">
        <v>423.65</v>
      </c>
      <c r="G434" s="10">
        <v>122.32</v>
      </c>
      <c r="H434" s="10">
        <f t="shared" si="110"/>
        <v>2.5077288795280147E-2</v>
      </c>
      <c r="I434" s="10">
        <f t="shared" si="111"/>
        <v>0.15137518629370975</v>
      </c>
      <c r="J434" s="10">
        <f t="shared" si="112"/>
        <v>3.4634565075212556</v>
      </c>
      <c r="K434" s="4">
        <f t="shared" si="118"/>
        <v>-3.5638630637347002</v>
      </c>
      <c r="L434" s="10">
        <f t="shared" si="104"/>
        <v>0.15137518629370975</v>
      </c>
      <c r="M434" s="10">
        <v>35.29</v>
      </c>
      <c r="N434" s="10">
        <v>2.98</v>
      </c>
      <c r="O434" s="10">
        <v>-34.65</v>
      </c>
      <c r="P434" s="11">
        <f t="shared" si="126"/>
        <v>6.8199999999999997E-2</v>
      </c>
      <c r="Q434" s="11">
        <f t="shared" si="124"/>
        <v>0.1539886</v>
      </c>
      <c r="R434" s="12">
        <f t="shared" si="107"/>
        <v>4.3466479449186468E-2</v>
      </c>
      <c r="S434" s="12">
        <f t="shared" si="108"/>
        <v>3.6704479670891378E-3</v>
      </c>
      <c r="T434" s="12">
        <f t="shared" si="109"/>
        <v>-4.267819532202638E-2</v>
      </c>
      <c r="U434" s="12">
        <f t="shared" si="65"/>
        <v>2.9644138984345168E-3</v>
      </c>
      <c r="V434" s="12">
        <f t="shared" si="53"/>
        <v>2.5032455135547919E-4</v>
      </c>
      <c r="W434" s="12">
        <f t="shared" si="54"/>
        <v>-2.910652920962199E-3</v>
      </c>
      <c r="X434" s="12">
        <f t="shared" si="55"/>
        <v>6.6933423173089956E-3</v>
      </c>
      <c r="Y434" s="12">
        <f t="shared" si="56"/>
        <v>5.6520714382490237E-4</v>
      </c>
      <c r="Z434" s="12">
        <f t="shared" si="57"/>
        <v>-6.5719555481653915E-3</v>
      </c>
    </row>
    <row r="435" spans="1:26" ht="13">
      <c r="A435" s="8" t="str">
        <f t="shared" si="125"/>
        <v>HAP</v>
      </c>
      <c r="B435" s="9">
        <v>2020</v>
      </c>
      <c r="C435" s="10">
        <v>34.07</v>
      </c>
      <c r="D435" s="10">
        <v>90.52</v>
      </c>
      <c r="E435" s="10">
        <v>808.12</v>
      </c>
      <c r="F435" s="10">
        <v>431.55</v>
      </c>
      <c r="G435" s="10">
        <v>90.51</v>
      </c>
      <c r="H435" s="10">
        <f t="shared" si="110"/>
        <v>4.215958026035737E-2</v>
      </c>
      <c r="I435" s="10">
        <f t="shared" si="111"/>
        <v>0.11201306736623273</v>
      </c>
      <c r="J435" s="10">
        <f t="shared" si="112"/>
        <v>4.7679814385150809</v>
      </c>
      <c r="K435" s="4">
        <f t="shared" si="118"/>
        <v>-3.8703155529381417</v>
      </c>
      <c r="L435" s="10">
        <f t="shared" si="104"/>
        <v>0.11201306736623273</v>
      </c>
      <c r="M435" s="10">
        <v>22.5</v>
      </c>
      <c r="N435" s="10">
        <v>60.19</v>
      </c>
      <c r="O435" s="10">
        <v>-36.049999999999997</v>
      </c>
      <c r="P435" s="11">
        <f>2.26%+2.36%</f>
        <v>4.6199999999999998E-2</v>
      </c>
      <c r="Q435" s="11">
        <f>(12.95+4.41+3.32+3.86+0.13+0.49+0.00186+0.047)%</f>
        <v>0.2520886</v>
      </c>
      <c r="R435" s="12">
        <f t="shared" si="107"/>
        <v>2.7842399643617285E-2</v>
      </c>
      <c r="S435" s="12">
        <f t="shared" si="108"/>
        <v>7.4481512646636633E-2</v>
      </c>
      <c r="T435" s="12">
        <f t="shared" si="109"/>
        <v>-4.4609711428995689E-2</v>
      </c>
      <c r="U435" s="12">
        <f t="shared" si="65"/>
        <v>1.2863188635351185E-3</v>
      </c>
      <c r="V435" s="12">
        <f t="shared" si="53"/>
        <v>3.4410458842746121E-3</v>
      </c>
      <c r="W435" s="12">
        <f t="shared" si="54"/>
        <v>-2.0609686680196008E-3</v>
      </c>
      <c r="X435" s="12">
        <f t="shared" si="55"/>
        <v>7.0187515467999805E-3</v>
      </c>
      <c r="Y435" s="12">
        <f t="shared" si="56"/>
        <v>1.8775940248972924E-2</v>
      </c>
      <c r="Z435" s="12">
        <f t="shared" si="57"/>
        <v>-1.1245599700539522E-2</v>
      </c>
    </row>
    <row r="436" spans="1:26" ht="13">
      <c r="A436" s="8" t="str">
        <f t="shared" si="125"/>
        <v>HAP</v>
      </c>
      <c r="B436" s="9">
        <v>2021</v>
      </c>
      <c r="C436" s="10">
        <v>41.64</v>
      </c>
      <c r="D436" s="10">
        <v>77.239999999999995</v>
      </c>
      <c r="E436" s="10">
        <v>802.99</v>
      </c>
      <c r="F436" s="10">
        <v>456.15</v>
      </c>
      <c r="G436" s="10">
        <v>77.22</v>
      </c>
      <c r="H436" s="10">
        <f t="shared" si="110"/>
        <v>5.1856187499221662E-2</v>
      </c>
      <c r="I436" s="10">
        <f t="shared" si="111"/>
        <v>9.6190488050909712E-2</v>
      </c>
      <c r="J436" s="10">
        <f t="shared" si="112"/>
        <v>5.9071484071484068</v>
      </c>
      <c r="K436" s="4">
        <f t="shared" si="118"/>
        <v>-4.0086956554849058</v>
      </c>
      <c r="L436" s="10">
        <f t="shared" si="104"/>
        <v>9.6190488050909712E-2</v>
      </c>
      <c r="M436" s="10">
        <v>-15.81</v>
      </c>
      <c r="N436" s="10">
        <v>17.91</v>
      </c>
      <c r="O436" s="10">
        <v>-42.18</v>
      </c>
      <c r="P436" s="11">
        <f>1.09%+1.92%</f>
        <v>3.0099999999999998E-2</v>
      </c>
      <c r="Q436" s="11">
        <f>(12.95+4.41+3.6+4.29+0.13+0.18+0.047)%</f>
        <v>0.25607000000000002</v>
      </c>
      <c r="R436" s="12">
        <f t="shared" si="107"/>
        <v>-1.9688912688825513E-2</v>
      </c>
      <c r="S436" s="12">
        <f t="shared" si="108"/>
        <v>2.2304138283166665E-2</v>
      </c>
      <c r="T436" s="12">
        <f t="shared" si="109"/>
        <v>-5.2528674080623665E-2</v>
      </c>
      <c r="U436" s="12">
        <f t="shared" si="65"/>
        <v>-5.9263627193364792E-4</v>
      </c>
      <c r="V436" s="12">
        <f t="shared" si="53"/>
        <v>6.7135456232331658E-4</v>
      </c>
      <c r="W436" s="12">
        <f t="shared" si="54"/>
        <v>-1.5811130898267722E-3</v>
      </c>
      <c r="X436" s="12">
        <f t="shared" si="55"/>
        <v>-5.0417398722275497E-3</v>
      </c>
      <c r="Y436" s="12">
        <f t="shared" si="56"/>
        <v>5.7114206901704885E-3</v>
      </c>
      <c r="Z436" s="12">
        <f t="shared" si="57"/>
        <v>-1.3451017571825303E-2</v>
      </c>
    </row>
    <row r="437" spans="1:26" ht="13">
      <c r="A437" s="8" t="s">
        <v>105</v>
      </c>
      <c r="B437" s="9">
        <v>2017</v>
      </c>
      <c r="C437" s="10">
        <v>28.74</v>
      </c>
      <c r="D437" s="10">
        <v>293.39</v>
      </c>
      <c r="E437" s="10">
        <v>1359.25</v>
      </c>
      <c r="F437" s="10">
        <v>185.15</v>
      </c>
      <c r="G437" s="10">
        <v>147.99</v>
      </c>
      <c r="H437" s="10">
        <f t="shared" si="110"/>
        <v>2.1144013242597019E-2</v>
      </c>
      <c r="I437" s="10">
        <f t="shared" si="111"/>
        <v>0.21584697443443074</v>
      </c>
      <c r="J437" s="10">
        <f t="shared" si="112"/>
        <v>1.251098047165349</v>
      </c>
      <c r="K437" s="4">
        <f t="shared" si="118"/>
        <v>-3.1698246975040925</v>
      </c>
      <c r="L437" s="10">
        <f t="shared" si="104"/>
        <v>0.21584697443443074</v>
      </c>
      <c r="M437" s="10">
        <v>-41.97</v>
      </c>
      <c r="N437" s="10">
        <v>-16.14</v>
      </c>
      <c r="O437" s="10">
        <v>-25.47</v>
      </c>
      <c r="P437" s="11">
        <v>1.5E-3</v>
      </c>
      <c r="Q437" s="11">
        <f>(12.03+5.8)%</f>
        <v>0.17829999999999999</v>
      </c>
      <c r="R437" s="12">
        <f t="shared" si="107"/>
        <v>-3.0877322052602536E-2</v>
      </c>
      <c r="S437" s="12">
        <f t="shared" si="108"/>
        <v>-1.1874195328306051E-2</v>
      </c>
      <c r="T437" s="12">
        <f t="shared" si="109"/>
        <v>-1.8738274783888172E-2</v>
      </c>
      <c r="U437" s="12">
        <f t="shared" si="65"/>
        <v>-4.6315983078903804E-5</v>
      </c>
      <c r="V437" s="12">
        <f t="shared" si="53"/>
        <v>-1.7811292992459077E-5</v>
      </c>
      <c r="W437" s="12">
        <f t="shared" si="54"/>
        <v>-2.810741217583226E-5</v>
      </c>
      <c r="X437" s="12">
        <f t="shared" si="55"/>
        <v>-5.5054265219790319E-3</v>
      </c>
      <c r="Y437" s="12">
        <f t="shared" si="56"/>
        <v>-2.1171690270369689E-3</v>
      </c>
      <c r="Z437" s="12">
        <f t="shared" si="57"/>
        <v>-3.3410343939672608E-3</v>
      </c>
    </row>
    <row r="438" spans="1:26" ht="13">
      <c r="A438" s="8" t="str">
        <f t="shared" ref="A438:A441" si="127">A437</f>
        <v>HAR</v>
      </c>
      <c r="B438" s="9">
        <v>2018</v>
      </c>
      <c r="C438" s="10">
        <v>11.32</v>
      </c>
      <c r="D438" s="10">
        <v>130.06</v>
      </c>
      <c r="E438" s="10">
        <v>1180.1300000000001</v>
      </c>
      <c r="F438" s="10">
        <v>111.64</v>
      </c>
      <c r="G438" s="10">
        <v>18.13</v>
      </c>
      <c r="H438" s="10">
        <f t="shared" si="110"/>
        <v>9.5921635751993421E-3</v>
      </c>
      <c r="I438" s="10">
        <f t="shared" si="111"/>
        <v>0.11020819740198112</v>
      </c>
      <c r="J438" s="10">
        <f t="shared" si="112"/>
        <v>6.1577495863210157</v>
      </c>
      <c r="K438" s="4">
        <f t="shared" si="118"/>
        <v>-3.7396090092423888</v>
      </c>
      <c r="L438" s="10">
        <f t="shared" si="104"/>
        <v>0.11020819740198112</v>
      </c>
      <c r="M438" s="10">
        <v>100.19</v>
      </c>
      <c r="N438" s="10">
        <v>-62.92</v>
      </c>
      <c r="O438" s="10">
        <v>-37.979999999999997</v>
      </c>
      <c r="P438" s="11">
        <v>5.0000000000000001E-4</v>
      </c>
      <c r="Q438" s="11">
        <f>(12+5.79+0.05+0.03)%</f>
        <v>0.1787</v>
      </c>
      <c r="R438" s="12">
        <f t="shared" si="107"/>
        <v>8.4897426554701588E-2</v>
      </c>
      <c r="S438" s="12">
        <f t="shared" si="108"/>
        <v>-5.3316160084058532E-2</v>
      </c>
      <c r="T438" s="12">
        <f t="shared" si="109"/>
        <v>-3.2182895104776586E-2</v>
      </c>
      <c r="U438" s="12">
        <f t="shared" si="65"/>
        <v>4.2448713277350796E-5</v>
      </c>
      <c r="V438" s="12">
        <f t="shared" si="53"/>
        <v>-2.6658080042029267E-5</v>
      </c>
      <c r="W438" s="12">
        <f t="shared" si="54"/>
        <v>-1.6091447552388293E-5</v>
      </c>
      <c r="X438" s="12">
        <f t="shared" si="55"/>
        <v>1.5171170125325173E-2</v>
      </c>
      <c r="Y438" s="12">
        <f t="shared" si="56"/>
        <v>-9.5275978070212593E-3</v>
      </c>
      <c r="Z438" s="12">
        <f t="shared" si="57"/>
        <v>-5.751083355223576E-3</v>
      </c>
    </row>
    <row r="439" spans="1:26" ht="13">
      <c r="A439" s="8" t="str">
        <f t="shared" si="127"/>
        <v>HAR</v>
      </c>
      <c r="B439" s="9">
        <v>2019</v>
      </c>
      <c r="C439" s="10">
        <v>6.69</v>
      </c>
      <c r="D439" s="10">
        <v>87.3</v>
      </c>
      <c r="E439" s="10">
        <v>1136.77</v>
      </c>
      <c r="F439" s="10">
        <v>146.44999999999999</v>
      </c>
      <c r="G439" s="10">
        <v>10.32</v>
      </c>
      <c r="H439" s="10">
        <f t="shared" si="110"/>
        <v>5.8850954898528292E-3</v>
      </c>
      <c r="I439" s="10">
        <f t="shared" si="111"/>
        <v>7.6796537558169203E-2</v>
      </c>
      <c r="J439" s="10">
        <f t="shared" si="112"/>
        <v>14.190891472868216</v>
      </c>
      <c r="K439" s="4">
        <f t="shared" si="118"/>
        <v>-3.9455062315142464</v>
      </c>
      <c r="L439" s="10">
        <f t="shared" si="104"/>
        <v>7.6796537558169203E-2</v>
      </c>
      <c r="M439" s="10">
        <v>45.81</v>
      </c>
      <c r="N439" s="10">
        <v>-7.26</v>
      </c>
      <c r="O439" s="10">
        <v>-42.67</v>
      </c>
      <c r="P439" s="11">
        <v>2.3E-3</v>
      </c>
      <c r="Q439" s="11">
        <f t="shared" ref="Q439:Q441" si="128">(12+5.79+0.03)%</f>
        <v>0.1782</v>
      </c>
      <c r="R439" s="12">
        <f t="shared" si="107"/>
        <v>4.0298389295987759E-2</v>
      </c>
      <c r="S439" s="12">
        <f t="shared" si="108"/>
        <v>-6.3865161818133839E-3</v>
      </c>
      <c r="T439" s="12">
        <f t="shared" si="109"/>
        <v>-3.7536177063082245E-2</v>
      </c>
      <c r="U439" s="12">
        <f t="shared" si="65"/>
        <v>9.2686295380771844E-5</v>
      </c>
      <c r="V439" s="12">
        <f t="shared" si="53"/>
        <v>-1.4688987218170783E-5</v>
      </c>
      <c r="W439" s="12">
        <f t="shared" si="54"/>
        <v>-8.6333207245089161E-5</v>
      </c>
      <c r="X439" s="12">
        <f t="shared" si="55"/>
        <v>7.1811729725450189E-3</v>
      </c>
      <c r="Y439" s="12">
        <f t="shared" si="56"/>
        <v>-1.1380771835991449E-3</v>
      </c>
      <c r="Z439" s="12">
        <f t="shared" si="57"/>
        <v>-6.688946752641256E-3</v>
      </c>
    </row>
    <row r="440" spans="1:26" ht="13">
      <c r="A440" s="8" t="str">
        <f t="shared" si="127"/>
        <v>HAR</v>
      </c>
      <c r="B440" s="9">
        <v>2020</v>
      </c>
      <c r="C440" s="10">
        <v>1.98</v>
      </c>
      <c r="D440" s="10">
        <v>225.76</v>
      </c>
      <c r="E440" s="10">
        <v>1260.54</v>
      </c>
      <c r="F440" s="10">
        <v>88.18</v>
      </c>
      <c r="G440" s="10">
        <v>55.6</v>
      </c>
      <c r="H440" s="10">
        <f t="shared" si="110"/>
        <v>1.5707553905469085E-3</v>
      </c>
      <c r="I440" s="10">
        <f t="shared" si="111"/>
        <v>0.17909784695447983</v>
      </c>
      <c r="J440" s="10">
        <f t="shared" si="112"/>
        <v>1.5859712230215828</v>
      </c>
      <c r="K440" s="4">
        <f t="shared" si="118"/>
        <v>-3.2925545565090126</v>
      </c>
      <c r="L440" s="10">
        <f t="shared" ref="L440:L503" si="129">D440/E440</f>
        <v>0.17909784695447983</v>
      </c>
      <c r="M440" s="10">
        <v>63.56</v>
      </c>
      <c r="N440" s="10">
        <v>-167.92</v>
      </c>
      <c r="O440" s="10">
        <v>118.07</v>
      </c>
      <c r="P440" s="11">
        <v>2E-3</v>
      </c>
      <c r="Q440" s="11">
        <f t="shared" si="128"/>
        <v>0.1782</v>
      </c>
      <c r="R440" s="12">
        <f t="shared" si="107"/>
        <v>5.0422834658162378E-2</v>
      </c>
      <c r="S440" s="12">
        <f t="shared" si="108"/>
        <v>-0.13321275009123074</v>
      </c>
      <c r="T440" s="12">
        <f t="shared" si="109"/>
        <v>9.3666206546400746E-2</v>
      </c>
      <c r="U440" s="12">
        <f t="shared" si="65"/>
        <v>1.0084566931632476E-4</v>
      </c>
      <c r="V440" s="12">
        <f t="shared" si="53"/>
        <v>-2.6642550018246146E-4</v>
      </c>
      <c r="W440" s="12">
        <f t="shared" si="54"/>
        <v>1.8733241309280149E-4</v>
      </c>
      <c r="X440" s="12">
        <f t="shared" si="55"/>
        <v>8.9853491360845361E-3</v>
      </c>
      <c r="Y440" s="12">
        <f t="shared" si="56"/>
        <v>-2.3738512066257315E-2</v>
      </c>
      <c r="Z440" s="12">
        <f t="shared" si="57"/>
        <v>1.6691318006568614E-2</v>
      </c>
    </row>
    <row r="441" spans="1:26" ht="13">
      <c r="A441" s="8" t="str">
        <f t="shared" si="127"/>
        <v>HAR</v>
      </c>
      <c r="B441" s="9">
        <v>2021</v>
      </c>
      <c r="C441" s="10">
        <v>35.58</v>
      </c>
      <c r="D441" s="10">
        <v>184.3</v>
      </c>
      <c r="E441" s="10">
        <v>1253.94</v>
      </c>
      <c r="F441" s="10">
        <v>90.66</v>
      </c>
      <c r="G441" s="10">
        <v>33.81</v>
      </c>
      <c r="H441" s="10">
        <f t="shared" si="110"/>
        <v>2.8374563376238095E-2</v>
      </c>
      <c r="I441" s="10">
        <f t="shared" si="111"/>
        <v>0.14697672934909167</v>
      </c>
      <c r="J441" s="10">
        <f t="shared" si="112"/>
        <v>2.6814551907719606</v>
      </c>
      <c r="K441" s="4">
        <f t="shared" si="118"/>
        <v>-3.600643998666337</v>
      </c>
      <c r="L441" s="10">
        <f t="shared" si="129"/>
        <v>0.14697672934909167</v>
      </c>
      <c r="M441" s="10">
        <v>-6.36</v>
      </c>
      <c r="N441" s="10">
        <v>47.15</v>
      </c>
      <c r="O441" s="10">
        <v>-42.5</v>
      </c>
      <c r="P441" s="11">
        <v>1.8E-3</v>
      </c>
      <c r="Q441" s="11">
        <f t="shared" si="128"/>
        <v>0.1782</v>
      </c>
      <c r="R441" s="12">
        <f t="shared" si="107"/>
        <v>-5.0720130149767935E-3</v>
      </c>
      <c r="S441" s="12">
        <f t="shared" si="108"/>
        <v>3.7601480134615686E-2</v>
      </c>
      <c r="T441" s="12">
        <f t="shared" si="109"/>
        <v>-3.389316873215624E-2</v>
      </c>
      <c r="U441" s="12">
        <f t="shared" si="65"/>
        <v>-9.1296234269582288E-6</v>
      </c>
      <c r="V441" s="12">
        <f t="shared" si="53"/>
        <v>6.7682664242308232E-5</v>
      </c>
      <c r="W441" s="12">
        <f t="shared" si="54"/>
        <v>-6.100770371788123E-5</v>
      </c>
      <c r="X441" s="12">
        <f t="shared" si="55"/>
        <v>-9.0383271926886455E-4</v>
      </c>
      <c r="Y441" s="12">
        <f t="shared" si="56"/>
        <v>6.7005837599885152E-3</v>
      </c>
      <c r="Z441" s="12">
        <f t="shared" si="57"/>
        <v>-6.0397626680702421E-3</v>
      </c>
    </row>
    <row r="442" spans="1:26" ht="13">
      <c r="A442" s="8" t="s">
        <v>106</v>
      </c>
      <c r="B442" s="9">
        <v>2017</v>
      </c>
      <c r="C442" s="10">
        <v>84.35</v>
      </c>
      <c r="D442" s="10">
        <v>1086.5999999999999</v>
      </c>
      <c r="E442" s="10">
        <v>1476.19</v>
      </c>
      <c r="F442" s="10">
        <v>1104.79</v>
      </c>
      <c r="G442" s="10">
        <v>1082.93</v>
      </c>
      <c r="H442" s="10">
        <f t="shared" si="110"/>
        <v>5.7140341013013227E-2</v>
      </c>
      <c r="I442" s="10">
        <f t="shared" si="111"/>
        <v>0.73608410841422844</v>
      </c>
      <c r="J442" s="10">
        <f t="shared" si="112"/>
        <v>1.0201859769329504</v>
      </c>
      <c r="K442" s="4">
        <f t="shared" si="118"/>
        <v>-0.36553286050518868</v>
      </c>
      <c r="L442" s="10">
        <f t="shared" si="129"/>
        <v>0.73608410841422844</v>
      </c>
      <c r="M442" s="10">
        <v>-324.14999999999998</v>
      </c>
      <c r="N442" s="10">
        <v>-195.25</v>
      </c>
      <c r="O442" s="10">
        <v>547.41</v>
      </c>
      <c r="P442" s="11">
        <v>0.14000000000000001</v>
      </c>
      <c r="Q442" s="11">
        <f t="shared" ref="Q442:Q443" si="130">(21.71+12.72+3.43+1.46)%</f>
        <v>0.39319999999999999</v>
      </c>
      <c r="R442" s="12">
        <f t="shared" si="107"/>
        <v>-0.21958555470501762</v>
      </c>
      <c r="S442" s="12">
        <f t="shared" si="108"/>
        <v>-0.13226617169876506</v>
      </c>
      <c r="T442" s="12">
        <f t="shared" si="109"/>
        <v>0.37082624865362857</v>
      </c>
      <c r="U442" s="12">
        <f t="shared" si="65"/>
        <v>-3.0741977658702468E-2</v>
      </c>
      <c r="V442" s="12">
        <f t="shared" si="53"/>
        <v>-1.8517264037827112E-2</v>
      </c>
      <c r="W442" s="12">
        <f t="shared" si="54"/>
        <v>5.1915674811508002E-2</v>
      </c>
      <c r="X442" s="12">
        <f t="shared" si="55"/>
        <v>-8.6341040110012923E-2</v>
      </c>
      <c r="Y442" s="12">
        <f t="shared" si="56"/>
        <v>-5.2007058711954421E-2</v>
      </c>
      <c r="Z442" s="12">
        <f t="shared" si="57"/>
        <v>0.14580888097060674</v>
      </c>
    </row>
    <row r="443" spans="1:26" ht="13">
      <c r="A443" s="8" t="str">
        <f t="shared" ref="A443:A446" si="131">A442</f>
        <v>HAX</v>
      </c>
      <c r="B443" s="9">
        <v>2018</v>
      </c>
      <c r="C443" s="10">
        <v>98.21</v>
      </c>
      <c r="D443" s="10">
        <v>1364.29</v>
      </c>
      <c r="E443" s="10">
        <v>1817.08</v>
      </c>
      <c r="F443" s="10">
        <v>1398.87</v>
      </c>
      <c r="G443" s="10">
        <v>1360.78</v>
      </c>
      <c r="H443" s="10">
        <f t="shared" si="110"/>
        <v>5.4048253241464325E-2</v>
      </c>
      <c r="I443" s="10">
        <f t="shared" si="111"/>
        <v>0.75081449358311136</v>
      </c>
      <c r="J443" s="10">
        <f t="shared" si="112"/>
        <v>1.0279912991078646</v>
      </c>
      <c r="K443" s="4">
        <f t="shared" si="118"/>
        <v>-0.26768649135928629</v>
      </c>
      <c r="L443" s="10">
        <f t="shared" si="129"/>
        <v>0.75081449358311136</v>
      </c>
      <c r="M443" s="10">
        <v>58.99</v>
      </c>
      <c r="N443" s="10">
        <v>-85.05</v>
      </c>
      <c r="O443" s="10">
        <v>78.260000000000005</v>
      </c>
      <c r="P443" s="11">
        <v>0.1206</v>
      </c>
      <c r="Q443" s="11">
        <f t="shared" si="130"/>
        <v>0.39319999999999999</v>
      </c>
      <c r="R443" s="12">
        <f t="shared" si="107"/>
        <v>3.2464173289013146E-2</v>
      </c>
      <c r="S443" s="12">
        <f t="shared" si="108"/>
        <v>-4.6805864353798403E-2</v>
      </c>
      <c r="T443" s="12">
        <f t="shared" si="109"/>
        <v>4.3069099874523967E-2</v>
      </c>
      <c r="U443" s="12">
        <f t="shared" si="65"/>
        <v>3.9151792986549857E-3</v>
      </c>
      <c r="V443" s="12">
        <f t="shared" si="53"/>
        <v>-5.6447872410680874E-3</v>
      </c>
      <c r="W443" s="12">
        <f t="shared" si="54"/>
        <v>5.1941334448675908E-3</v>
      </c>
      <c r="X443" s="12">
        <f t="shared" si="55"/>
        <v>1.2764912937239969E-2</v>
      </c>
      <c r="Y443" s="12">
        <f t="shared" si="56"/>
        <v>-1.8404065863913532E-2</v>
      </c>
      <c r="Z443" s="12">
        <f t="shared" si="57"/>
        <v>1.6934770070662825E-2</v>
      </c>
    </row>
    <row r="444" spans="1:26" ht="13">
      <c r="A444" s="8" t="str">
        <f t="shared" si="131"/>
        <v>HAX</v>
      </c>
      <c r="B444" s="9">
        <v>2019</v>
      </c>
      <c r="C444" s="10">
        <v>50.67</v>
      </c>
      <c r="D444" s="10">
        <v>1166.6400000000001</v>
      </c>
      <c r="E444" s="10">
        <v>1632.2</v>
      </c>
      <c r="F444" s="10">
        <v>1245.76</v>
      </c>
      <c r="G444" s="10">
        <v>1162.6099999999999</v>
      </c>
      <c r="H444" s="10">
        <f t="shared" si="110"/>
        <v>3.1043989707143733E-2</v>
      </c>
      <c r="I444" s="10">
        <f t="shared" si="111"/>
        <v>0.71476534738389907</v>
      </c>
      <c r="J444" s="10">
        <f t="shared" si="112"/>
        <v>1.0715201142257507</v>
      </c>
      <c r="K444" s="4">
        <f t="shared" si="118"/>
        <v>-0.36982155405082479</v>
      </c>
      <c r="L444" s="10">
        <f t="shared" si="129"/>
        <v>0.71476534738389907</v>
      </c>
      <c r="M444" s="10">
        <v>77.25</v>
      </c>
      <c r="N444" s="10">
        <v>-1.5</v>
      </c>
      <c r="O444" s="10">
        <v>-86.92</v>
      </c>
      <c r="P444" s="11">
        <v>0.1028</v>
      </c>
      <c r="Q444" s="11">
        <f>(22.73+14.84+3.27+1.9+0.41+0.04)%</f>
        <v>0.43189999999999995</v>
      </c>
      <c r="R444" s="12">
        <f t="shared" si="107"/>
        <v>4.7328758730547725E-2</v>
      </c>
      <c r="S444" s="12">
        <f t="shared" si="108"/>
        <v>-9.1900502389413057E-4</v>
      </c>
      <c r="T444" s="12">
        <f t="shared" si="109"/>
        <v>-5.3253277784585225E-2</v>
      </c>
      <c r="U444" s="12">
        <f t="shared" si="65"/>
        <v>4.8653963975003062E-3</v>
      </c>
      <c r="V444" s="12">
        <f t="shared" si="53"/>
        <v>-9.4473716456316625E-5</v>
      </c>
      <c r="W444" s="12">
        <f t="shared" si="54"/>
        <v>-5.4744369562553614E-3</v>
      </c>
      <c r="X444" s="12">
        <f t="shared" si="55"/>
        <v>2.0441290895723559E-2</v>
      </c>
      <c r="Y444" s="12">
        <f t="shared" si="56"/>
        <v>-3.9691826981987495E-4</v>
      </c>
      <c r="Z444" s="12">
        <f t="shared" si="57"/>
        <v>-2.3000090675162357E-2</v>
      </c>
    </row>
    <row r="445" spans="1:26" ht="13">
      <c r="A445" s="8" t="str">
        <f t="shared" si="131"/>
        <v>HAX</v>
      </c>
      <c r="B445" s="9">
        <v>2020</v>
      </c>
      <c r="C445" s="10">
        <v>125.35</v>
      </c>
      <c r="D445" s="10">
        <v>697.07</v>
      </c>
      <c r="E445" s="10">
        <v>1232.3699999999999</v>
      </c>
      <c r="F445" s="10">
        <v>919.06</v>
      </c>
      <c r="G445" s="10">
        <v>693.39</v>
      </c>
      <c r="H445" s="10">
        <f t="shared" si="110"/>
        <v>0.10171458247117343</v>
      </c>
      <c r="I445" s="10">
        <f t="shared" si="111"/>
        <v>0.56563369767196547</v>
      </c>
      <c r="J445" s="10">
        <f t="shared" si="112"/>
        <v>1.3254589769105409</v>
      </c>
      <c r="K445" s="4">
        <f t="shared" si="118"/>
        <v>-1.5389053802977186</v>
      </c>
      <c r="L445" s="10">
        <f t="shared" si="129"/>
        <v>0.56563369767196547</v>
      </c>
      <c r="M445" s="10">
        <v>422.23</v>
      </c>
      <c r="N445" s="10">
        <v>52.38</v>
      </c>
      <c r="O445" s="10">
        <v>-502.78</v>
      </c>
      <c r="P445" s="11">
        <v>9.1700000000000004E-2</v>
      </c>
      <c r="Q445" s="11">
        <f>(22.73+17.56+3.27+1.9)%</f>
        <v>0.4546</v>
      </c>
      <c r="R445" s="12">
        <f t="shared" si="107"/>
        <v>0.34261625972719234</v>
      </c>
      <c r="S445" s="12">
        <f t="shared" si="108"/>
        <v>4.2503468925728483E-2</v>
      </c>
      <c r="T445" s="12">
        <f t="shared" si="109"/>
        <v>-0.40797812345318374</v>
      </c>
      <c r="U445" s="12">
        <f t="shared" si="65"/>
        <v>3.1417911016983539E-2</v>
      </c>
      <c r="V445" s="12">
        <f t="shared" si="53"/>
        <v>3.8975681004893019E-3</v>
      </c>
      <c r="W445" s="12">
        <f t="shared" si="54"/>
        <v>-3.7411593920656953E-2</v>
      </c>
      <c r="X445" s="12">
        <f t="shared" si="55"/>
        <v>0.15575335167198165</v>
      </c>
      <c r="Y445" s="12">
        <f t="shared" si="56"/>
        <v>1.9322076973636169E-2</v>
      </c>
      <c r="Z445" s="12">
        <f t="shared" si="57"/>
        <v>-0.18546685492181733</v>
      </c>
    </row>
    <row r="446" spans="1:26" ht="13">
      <c r="A446" s="8" t="str">
        <f t="shared" si="131"/>
        <v>HAX</v>
      </c>
      <c r="B446" s="9">
        <v>2021</v>
      </c>
      <c r="C446" s="10">
        <v>159.85</v>
      </c>
      <c r="D446" s="10">
        <v>567.21</v>
      </c>
      <c r="E446" s="10">
        <v>1277.22</v>
      </c>
      <c r="F446" s="10">
        <v>935.78</v>
      </c>
      <c r="G446" s="10">
        <v>563.21</v>
      </c>
      <c r="H446" s="10">
        <f t="shared" si="110"/>
        <v>0.12515463271793426</v>
      </c>
      <c r="I446" s="10">
        <f t="shared" si="111"/>
        <v>0.44409733640249921</v>
      </c>
      <c r="J446" s="10">
        <f t="shared" si="112"/>
        <v>1.6615116919088793</v>
      </c>
      <c r="K446" s="4">
        <f t="shared" si="118"/>
        <v>-2.3384870765040944</v>
      </c>
      <c r="L446" s="10">
        <f t="shared" si="129"/>
        <v>0.44409733640249921</v>
      </c>
      <c r="M446" s="10">
        <v>335.9</v>
      </c>
      <c r="N446" s="10">
        <v>-42.32</v>
      </c>
      <c r="O446" s="10">
        <v>-287.49</v>
      </c>
      <c r="P446" s="11">
        <v>0.15179999999999999</v>
      </c>
      <c r="Q446" s="11">
        <f>(22.11+13.81+0.02+0.34+0.46+0.28+0.26)%</f>
        <v>0.37280000000000008</v>
      </c>
      <c r="R446" s="12">
        <f t="shared" si="107"/>
        <v>0.26299306305883086</v>
      </c>
      <c r="S446" s="12">
        <f t="shared" si="108"/>
        <v>-3.3134463913812813E-2</v>
      </c>
      <c r="T446" s="12">
        <f t="shared" si="109"/>
        <v>-0.2250904307793489</v>
      </c>
      <c r="U446" s="12">
        <f t="shared" si="65"/>
        <v>3.9922346972330519E-2</v>
      </c>
      <c r="V446" s="12">
        <f t="shared" si="53"/>
        <v>-5.0298116221167847E-3</v>
      </c>
      <c r="W446" s="12">
        <f t="shared" si="54"/>
        <v>-3.4168727392305163E-2</v>
      </c>
      <c r="X446" s="12">
        <f t="shared" si="55"/>
        <v>9.8043813908332167E-2</v>
      </c>
      <c r="Y446" s="12">
        <f t="shared" si="56"/>
        <v>-1.2352528147069419E-2</v>
      </c>
      <c r="Z446" s="12">
        <f t="shared" si="57"/>
        <v>-8.3913712594541293E-2</v>
      </c>
    </row>
    <row r="447" spans="1:26" ht="13">
      <c r="A447" s="8" t="s">
        <v>107</v>
      </c>
      <c r="B447" s="9">
        <v>2017</v>
      </c>
      <c r="C447" s="10">
        <v>860.51</v>
      </c>
      <c r="D447" s="10">
        <v>11531.46</v>
      </c>
      <c r="E447" s="10">
        <v>13998.42</v>
      </c>
      <c r="F447" s="10">
        <v>11692.99</v>
      </c>
      <c r="G447" s="10">
        <v>10905.14</v>
      </c>
      <c r="H447" s="10">
        <f t="shared" si="110"/>
        <v>6.1471937547237475E-2</v>
      </c>
      <c r="I447" s="10">
        <f t="shared" si="111"/>
        <v>0.82376868246559243</v>
      </c>
      <c r="J447" s="10">
        <f t="shared" si="112"/>
        <v>1.0722457483351888</v>
      </c>
      <c r="K447" s="4">
        <f t="shared" si="118"/>
        <v>0.1145687880979676</v>
      </c>
      <c r="L447" s="10">
        <f t="shared" si="129"/>
        <v>0.82376868246559243</v>
      </c>
      <c r="M447" s="10">
        <v>-1095.07</v>
      </c>
      <c r="N447" s="10">
        <v>-356.92</v>
      </c>
      <c r="O447" s="10">
        <v>1374.14</v>
      </c>
      <c r="P447" s="11">
        <v>0.22020000000000001</v>
      </c>
      <c r="Q447" s="11">
        <f>(15.78+0.58+0.47+0.3+1.06+0.22+0.02+0.01+0.12+0.05+0.01)%</f>
        <v>0.1862</v>
      </c>
      <c r="R447" s="12">
        <f t="shared" si="107"/>
        <v>-7.822811431575849E-2</v>
      </c>
      <c r="S447" s="12">
        <f t="shared" si="108"/>
        <v>-2.5497163251281218E-2</v>
      </c>
      <c r="T447" s="12">
        <f t="shared" si="109"/>
        <v>9.8163935644165562E-2</v>
      </c>
      <c r="U447" s="12">
        <f t="shared" si="65"/>
        <v>-1.722583077233002E-2</v>
      </c>
      <c r="V447" s="12">
        <f t="shared" si="53"/>
        <v>-5.6144753479321239E-3</v>
      </c>
      <c r="W447" s="12">
        <f t="shared" si="54"/>
        <v>2.1615698628845256E-2</v>
      </c>
      <c r="X447" s="12">
        <f t="shared" si="55"/>
        <v>-1.4566074885594232E-2</v>
      </c>
      <c r="Y447" s="12">
        <f t="shared" si="56"/>
        <v>-4.7475717973885631E-3</v>
      </c>
      <c r="Z447" s="12">
        <f t="shared" si="57"/>
        <v>1.8278124816943627E-2</v>
      </c>
    </row>
    <row r="448" spans="1:26" ht="13">
      <c r="A448" s="8" t="str">
        <f t="shared" ref="A448:A451" si="132">A447</f>
        <v>HBC</v>
      </c>
      <c r="B448" s="9">
        <v>2018</v>
      </c>
      <c r="C448" s="10">
        <v>620.11</v>
      </c>
      <c r="D448" s="10">
        <v>12977.68</v>
      </c>
      <c r="E448" s="10">
        <v>15900.5</v>
      </c>
      <c r="F448" s="10">
        <v>13522.63</v>
      </c>
      <c r="G448" s="10">
        <v>12313.17</v>
      </c>
      <c r="H448" s="10">
        <f t="shared" si="110"/>
        <v>3.8999402534511493E-2</v>
      </c>
      <c r="I448" s="10">
        <f t="shared" si="111"/>
        <v>0.81618062325084118</v>
      </c>
      <c r="J448" s="10">
        <f t="shared" si="112"/>
        <v>1.0982249087765377</v>
      </c>
      <c r="K448" s="4">
        <f t="shared" si="118"/>
        <v>0.17233934148938701</v>
      </c>
      <c r="L448" s="10">
        <f t="shared" si="129"/>
        <v>0.81618062325084118</v>
      </c>
      <c r="M448" s="10">
        <v>-182.45</v>
      </c>
      <c r="N448" s="10">
        <v>325.58999999999997</v>
      </c>
      <c r="O448" s="10">
        <v>-323.54000000000002</v>
      </c>
      <c r="P448" s="11">
        <v>0.18390000000000001</v>
      </c>
      <c r="Q448" s="11">
        <f>(17.52+0.58+0.49+0.31+1.05+0.07+0.03+0.02+0.24+0.06+0.01)%</f>
        <v>0.20379999999999995</v>
      </c>
      <c r="R448" s="12">
        <f t="shared" si="107"/>
        <v>-1.1474481934530359E-2</v>
      </c>
      <c r="S448" s="12">
        <f t="shared" si="108"/>
        <v>2.0476714568724252E-2</v>
      </c>
      <c r="T448" s="12">
        <f t="shared" si="109"/>
        <v>-2.0347787805414925E-2</v>
      </c>
      <c r="U448" s="12">
        <f t="shared" si="65"/>
        <v>-2.1101572277601333E-3</v>
      </c>
      <c r="V448" s="12">
        <f t="shared" si="53"/>
        <v>3.7656678091883902E-3</v>
      </c>
      <c r="W448" s="12">
        <f t="shared" si="54"/>
        <v>-3.7419581774158048E-3</v>
      </c>
      <c r="X448" s="12">
        <f t="shared" si="55"/>
        <v>-2.3384994182572868E-3</v>
      </c>
      <c r="Y448" s="12">
        <f t="shared" si="56"/>
        <v>4.1731544291060017E-3</v>
      </c>
      <c r="Z448" s="12">
        <f t="shared" si="57"/>
        <v>-4.1468791547435609E-3</v>
      </c>
    </row>
    <row r="449" spans="1:26" ht="13">
      <c r="A449" s="8" t="str">
        <f t="shared" si="132"/>
        <v>HBC</v>
      </c>
      <c r="B449" s="9">
        <v>2019</v>
      </c>
      <c r="C449" s="10">
        <v>405.58</v>
      </c>
      <c r="D449" s="10">
        <v>12761.53</v>
      </c>
      <c r="E449" s="10">
        <v>16721.3</v>
      </c>
      <c r="F449" s="10">
        <v>14422.88</v>
      </c>
      <c r="G449" s="10">
        <v>12044</v>
      </c>
      <c r="H449" s="10">
        <f t="shared" si="110"/>
        <v>2.4255291155591968E-2</v>
      </c>
      <c r="I449" s="10">
        <f t="shared" si="111"/>
        <v>0.76319006297357272</v>
      </c>
      <c r="J449" s="10">
        <f t="shared" si="112"/>
        <v>1.1975157754898704</v>
      </c>
      <c r="K449" s="4">
        <f t="shared" si="118"/>
        <v>-6.3755514352758585E-2</v>
      </c>
      <c r="L449" s="10">
        <f t="shared" si="129"/>
        <v>0.76319006297357272</v>
      </c>
      <c r="M449" s="10">
        <v>-706.24</v>
      </c>
      <c r="N449" s="10">
        <v>-164.63</v>
      </c>
      <c r="O449" s="10">
        <v>1130.5899999999999</v>
      </c>
      <c r="P449" s="11">
        <v>0.2301</v>
      </c>
      <c r="Q449" s="11">
        <f>(16.05+0.52+0.39+0.32+0.82+0.15+0.1+0.09+0.09+0.2+0.22+0.09+0.04)%</f>
        <v>0.19079999999999997</v>
      </c>
      <c r="R449" s="12">
        <f t="shared" si="107"/>
        <v>-4.2235950554083718E-2</v>
      </c>
      <c r="S449" s="12">
        <f t="shared" si="108"/>
        <v>-9.8455263645769175E-3</v>
      </c>
      <c r="T449" s="12">
        <f t="shared" si="109"/>
        <v>6.7613762087875937E-2</v>
      </c>
      <c r="U449" s="12">
        <f t="shared" si="65"/>
        <v>-9.7184922224946638E-3</v>
      </c>
      <c r="V449" s="12">
        <f t="shared" si="53"/>
        <v>-2.2654556164891488E-3</v>
      </c>
      <c r="W449" s="12">
        <f t="shared" si="54"/>
        <v>1.5557926656420253E-2</v>
      </c>
      <c r="X449" s="12">
        <f t="shared" si="55"/>
        <v>-8.0586193657191715E-3</v>
      </c>
      <c r="Y449" s="12">
        <f t="shared" si="56"/>
        <v>-1.8785264303612756E-3</v>
      </c>
      <c r="Z449" s="12">
        <f t="shared" si="57"/>
        <v>1.2900705806366727E-2</v>
      </c>
    </row>
    <row r="450" spans="1:26" ht="13">
      <c r="A450" s="8" t="str">
        <f t="shared" si="132"/>
        <v>HBC</v>
      </c>
      <c r="B450" s="9">
        <v>2020</v>
      </c>
      <c r="C450" s="10">
        <v>83.67</v>
      </c>
      <c r="D450" s="10">
        <v>11404.23</v>
      </c>
      <c r="E450" s="10">
        <v>15552.25</v>
      </c>
      <c r="F450" s="10">
        <v>13608.27</v>
      </c>
      <c r="G450" s="10">
        <v>10747.65</v>
      </c>
      <c r="H450" s="10">
        <f t="shared" si="110"/>
        <v>5.379928949187417E-3</v>
      </c>
      <c r="I450" s="10">
        <f t="shared" si="111"/>
        <v>0.73328489446864598</v>
      </c>
      <c r="J450" s="10">
        <f t="shared" si="112"/>
        <v>1.2661623703786411</v>
      </c>
      <c r="K450" s="4">
        <f t="shared" si="118"/>
        <v>-0.14955043128157522</v>
      </c>
      <c r="L450" s="10">
        <f t="shared" si="129"/>
        <v>0.73328489446864598</v>
      </c>
      <c r="M450" s="10">
        <v>-290.79000000000002</v>
      </c>
      <c r="N450" s="10">
        <v>-93.57</v>
      </c>
      <c r="O450" s="10">
        <v>54.26</v>
      </c>
      <c r="P450" s="11">
        <v>0.1603</v>
      </c>
      <c r="Q450" s="11">
        <f>(16.05+0.52+0.32+0.43+0.46+0.15+0.1+0.09+0.13+0.09+0.05+0.04+0.04)%</f>
        <v>0.18469999999999998</v>
      </c>
      <c r="R450" s="12">
        <f t="shared" ref="R450:R513" si="133">M450/E450</f>
        <v>-1.8697616100564227E-2</v>
      </c>
      <c r="S450" s="12">
        <f t="shared" ref="S450:S513" si="134">N450/E450</f>
        <v>-6.0164927904322518E-3</v>
      </c>
      <c r="T450" s="12">
        <f t="shared" ref="T450:T513" si="135">O450/E450</f>
        <v>3.488884245044929E-3</v>
      </c>
      <c r="U450" s="12">
        <f t="shared" si="65"/>
        <v>-2.9972278609204455E-3</v>
      </c>
      <c r="V450" s="12">
        <f t="shared" si="53"/>
        <v>-9.6444379430628995E-4</v>
      </c>
      <c r="W450" s="12">
        <f t="shared" si="54"/>
        <v>5.5926814448070217E-4</v>
      </c>
      <c r="X450" s="12">
        <f t="shared" si="55"/>
        <v>-3.4534496937742125E-3</v>
      </c>
      <c r="Y450" s="12">
        <f t="shared" si="56"/>
        <v>-1.1112462183928368E-3</v>
      </c>
      <c r="Z450" s="12">
        <f t="shared" si="57"/>
        <v>6.443969200597983E-4</v>
      </c>
    </row>
    <row r="451" spans="1:26" ht="13">
      <c r="A451" s="8" t="str">
        <f t="shared" si="132"/>
        <v>HBC</v>
      </c>
      <c r="B451" s="9">
        <v>2021</v>
      </c>
      <c r="C451" s="10">
        <v>96.97</v>
      </c>
      <c r="D451" s="10">
        <v>12520.09</v>
      </c>
      <c r="E451" s="10">
        <v>16576.62</v>
      </c>
      <c r="F451" s="10">
        <v>14877.34</v>
      </c>
      <c r="G451" s="10">
        <v>11644.46</v>
      </c>
      <c r="H451" s="10">
        <f t="shared" ref="H451:H514" si="136">C451/E451</f>
        <v>5.8498053282273468E-3</v>
      </c>
      <c r="I451" s="10">
        <f t="shared" ref="I451:I514" si="137">D451/E451</f>
        <v>0.75528605952238759</v>
      </c>
      <c r="J451" s="10">
        <f t="shared" ref="J451:J514" si="138">F451/G451</f>
        <v>1.2776324535444323</v>
      </c>
      <c r="K451" s="4">
        <f t="shared" si="118"/>
        <v>-2.6304114513591298E-2</v>
      </c>
      <c r="L451" s="10">
        <f t="shared" si="129"/>
        <v>0.75528605952238759</v>
      </c>
      <c r="M451" s="10">
        <v>563.52</v>
      </c>
      <c r="N451" s="10">
        <v>-53.05</v>
      </c>
      <c r="O451" s="10">
        <v>-20.14</v>
      </c>
      <c r="P451" s="11">
        <v>0.15</v>
      </c>
      <c r="Q451" s="11">
        <f>(16.05+0.46+0.003+0.32+0.5+0.1+0.09+0.09+0.06+0.09+0.04)%</f>
        <v>0.17803000000000002</v>
      </c>
      <c r="R451" s="12">
        <f t="shared" si="133"/>
        <v>3.3994867469966737E-2</v>
      </c>
      <c r="S451" s="12">
        <f t="shared" si="134"/>
        <v>-3.2002905296737213E-3</v>
      </c>
      <c r="T451" s="12">
        <f t="shared" si="135"/>
        <v>-1.2149642086263666E-3</v>
      </c>
      <c r="U451" s="12">
        <f t="shared" si="65"/>
        <v>5.0992301204950104E-3</v>
      </c>
      <c r="V451" s="12">
        <f t="shared" si="53"/>
        <v>-4.8004357945105819E-4</v>
      </c>
      <c r="W451" s="12">
        <f t="shared" si="54"/>
        <v>-1.8224463129395499E-4</v>
      </c>
      <c r="X451" s="12">
        <f t="shared" si="55"/>
        <v>6.052106255678179E-3</v>
      </c>
      <c r="Y451" s="12">
        <f t="shared" si="56"/>
        <v>-5.6974772299781267E-4</v>
      </c>
      <c r="Z451" s="12">
        <f t="shared" si="57"/>
        <v>-2.1630007806175208E-4</v>
      </c>
    </row>
    <row r="452" spans="1:26" ht="13">
      <c r="A452" s="8" t="s">
        <v>108</v>
      </c>
      <c r="B452" s="9">
        <v>2017</v>
      </c>
      <c r="C452" s="10">
        <v>81.069999999999993</v>
      </c>
      <c r="D452" s="10">
        <v>785.79</v>
      </c>
      <c r="E452" s="10">
        <v>1501.82</v>
      </c>
      <c r="F452" s="10">
        <v>1385.95</v>
      </c>
      <c r="G452" s="10">
        <v>414.48</v>
      </c>
      <c r="H452" s="10">
        <f t="shared" si="136"/>
        <v>5.3981169514322622E-2</v>
      </c>
      <c r="I452" s="10">
        <f t="shared" si="137"/>
        <v>0.52322515348044374</v>
      </c>
      <c r="J452" s="10">
        <f t="shared" si="138"/>
        <v>3.3438284115035706</v>
      </c>
      <c r="K452" s="4">
        <f t="shared" si="118"/>
        <v>-1.5739072016219364</v>
      </c>
      <c r="L452" s="10">
        <f t="shared" si="129"/>
        <v>0.52322515348044374</v>
      </c>
      <c r="M452" s="10">
        <v>134.91</v>
      </c>
      <c r="N452" s="10">
        <v>-94.22</v>
      </c>
      <c r="O452" s="10">
        <v>25.08</v>
      </c>
      <c r="P452" s="11">
        <v>0.1842</v>
      </c>
      <c r="Q452" s="11">
        <f>(8.44+2.11+0.7+0.67)%</f>
        <v>0.11919999999999999</v>
      </c>
      <c r="R452" s="12">
        <f t="shared" si="133"/>
        <v>8.9831005047209381E-2</v>
      </c>
      <c r="S452" s="12">
        <f t="shared" si="134"/>
        <v>-6.2737212182551835E-2</v>
      </c>
      <c r="T452" s="12">
        <f t="shared" si="135"/>
        <v>1.6699737651649331E-2</v>
      </c>
      <c r="U452" s="12">
        <f t="shared" si="65"/>
        <v>1.6546871129695967E-2</v>
      </c>
      <c r="V452" s="12">
        <f t="shared" si="53"/>
        <v>-1.1556194484026049E-2</v>
      </c>
      <c r="W452" s="12">
        <f t="shared" si="54"/>
        <v>3.076091675433807E-3</v>
      </c>
      <c r="X452" s="12">
        <f t="shared" si="55"/>
        <v>1.0707855801627357E-2</v>
      </c>
      <c r="Y452" s="12">
        <f t="shared" si="56"/>
        <v>-7.4782756921601776E-3</v>
      </c>
      <c r="Z452" s="12">
        <f t="shared" si="57"/>
        <v>1.9906087280765999E-3</v>
      </c>
    </row>
    <row r="453" spans="1:26" ht="13">
      <c r="A453" s="8" t="str">
        <f t="shared" ref="A453:A456" si="139">A452</f>
        <v>HDC</v>
      </c>
      <c r="B453" s="9">
        <v>2018</v>
      </c>
      <c r="C453" s="10">
        <v>105.97</v>
      </c>
      <c r="D453" s="10">
        <v>835.65</v>
      </c>
      <c r="E453" s="10">
        <v>1638.45</v>
      </c>
      <c r="F453" s="10">
        <v>1299.83</v>
      </c>
      <c r="G453" s="10">
        <v>533.92999999999995</v>
      </c>
      <c r="H453" s="10">
        <f t="shared" si="136"/>
        <v>6.4676981293295494E-2</v>
      </c>
      <c r="I453" s="10">
        <f t="shared" si="137"/>
        <v>0.51002471848393294</v>
      </c>
      <c r="J453" s="10">
        <f t="shared" si="138"/>
        <v>2.4344577004476244</v>
      </c>
      <c r="K453" s="4">
        <f t="shared" si="118"/>
        <v>-1.6936433512632025</v>
      </c>
      <c r="L453" s="10">
        <f t="shared" si="129"/>
        <v>0.51002471848393294</v>
      </c>
      <c r="M453" s="10">
        <v>-198.55</v>
      </c>
      <c r="N453" s="10">
        <v>114.77</v>
      </c>
      <c r="O453" s="10">
        <v>74.34</v>
      </c>
      <c r="P453" s="11">
        <v>0.18360000000000001</v>
      </c>
      <c r="Q453" s="11">
        <f>(8.45+2.33+0.71+0.67)%</f>
        <v>0.12159999999999999</v>
      </c>
      <c r="R453" s="12">
        <f t="shared" si="133"/>
        <v>-0.12118160456529037</v>
      </c>
      <c r="S453" s="12">
        <f t="shared" si="134"/>
        <v>7.0047911135524429E-2</v>
      </c>
      <c r="T453" s="12">
        <f t="shared" si="135"/>
        <v>4.5372150508102171E-2</v>
      </c>
      <c r="U453" s="12">
        <f t="shared" si="65"/>
        <v>-2.2248942598187313E-2</v>
      </c>
      <c r="V453" s="12">
        <f t="shared" si="53"/>
        <v>1.2860796484482287E-2</v>
      </c>
      <c r="W453" s="12">
        <f t="shared" si="54"/>
        <v>8.3303268332875595E-3</v>
      </c>
      <c r="X453" s="12">
        <f t="shared" si="55"/>
        <v>-1.4735683115139307E-2</v>
      </c>
      <c r="Y453" s="12">
        <f t="shared" si="56"/>
        <v>8.5178259940797696E-3</v>
      </c>
      <c r="Z453" s="12">
        <f t="shared" si="57"/>
        <v>5.5172535017852234E-3</v>
      </c>
    </row>
    <row r="454" spans="1:26" ht="13">
      <c r="A454" s="8" t="str">
        <f t="shared" si="139"/>
        <v>HDC</v>
      </c>
      <c r="B454" s="9">
        <v>2019</v>
      </c>
      <c r="C454" s="10">
        <v>146.01</v>
      </c>
      <c r="D454" s="10">
        <v>1305.75</v>
      </c>
      <c r="E454" s="10">
        <v>2463.33</v>
      </c>
      <c r="F454" s="10">
        <v>1530.51</v>
      </c>
      <c r="G454" s="10">
        <v>820.32</v>
      </c>
      <c r="H454" s="10">
        <f t="shared" si="136"/>
        <v>5.9273422562141492E-2</v>
      </c>
      <c r="I454" s="10">
        <f t="shared" si="137"/>
        <v>0.53007514218557805</v>
      </c>
      <c r="J454" s="10">
        <f t="shared" si="138"/>
        <v>1.8657475131655938</v>
      </c>
      <c r="K454" s="4">
        <f t="shared" si="118"/>
        <v>-1.5527650811245044</v>
      </c>
      <c r="L454" s="10">
        <f t="shared" si="129"/>
        <v>0.53007514218557805</v>
      </c>
      <c r="M454" s="10">
        <v>81.77</v>
      </c>
      <c r="N454" s="10">
        <v>-417.44</v>
      </c>
      <c r="O454" s="10">
        <v>305.64999999999998</v>
      </c>
      <c r="P454" s="11">
        <v>0.15790000000000001</v>
      </c>
      <c r="Q454" s="11">
        <f>(8.47+2.35+1.12+0.68)%</f>
        <v>0.12620000000000001</v>
      </c>
      <c r="R454" s="12">
        <f t="shared" si="133"/>
        <v>3.3194902834780562E-2</v>
      </c>
      <c r="S454" s="12">
        <f t="shared" si="134"/>
        <v>-0.1694616636829008</v>
      </c>
      <c r="T454" s="12">
        <f t="shared" si="135"/>
        <v>0.12408000552098175</v>
      </c>
      <c r="U454" s="12">
        <f t="shared" si="65"/>
        <v>5.2414751576118513E-3</v>
      </c>
      <c r="V454" s="12">
        <f t="shared" si="53"/>
        <v>-2.6757996695530039E-2</v>
      </c>
      <c r="W454" s="12">
        <f t="shared" si="54"/>
        <v>1.9592232871763021E-2</v>
      </c>
      <c r="X454" s="12">
        <f t="shared" si="55"/>
        <v>4.189196737749307E-3</v>
      </c>
      <c r="Y454" s="12">
        <f t="shared" si="56"/>
        <v>-2.1386061956782082E-2</v>
      </c>
      <c r="Z454" s="12">
        <f t="shared" si="57"/>
        <v>1.5658896696747897E-2</v>
      </c>
    </row>
    <row r="455" spans="1:26" ht="13">
      <c r="A455" s="8" t="str">
        <f t="shared" si="139"/>
        <v>HDC</v>
      </c>
      <c r="B455" s="9">
        <v>2020</v>
      </c>
      <c r="C455" s="10">
        <v>231.28</v>
      </c>
      <c r="D455" s="10">
        <v>2190.15</v>
      </c>
      <c r="E455" s="10">
        <v>3332.28</v>
      </c>
      <c r="F455" s="10">
        <v>2106.25</v>
      </c>
      <c r="G455" s="10">
        <v>1727.44</v>
      </c>
      <c r="H455" s="10">
        <f t="shared" si="136"/>
        <v>6.9405932274598764E-2</v>
      </c>
      <c r="I455" s="10">
        <f t="shared" si="137"/>
        <v>0.65725269185062474</v>
      </c>
      <c r="J455" s="10">
        <f t="shared" si="138"/>
        <v>1.2192898161441208</v>
      </c>
      <c r="K455" s="4">
        <f t="shared" si="118"/>
        <v>-0.87086351095170955</v>
      </c>
      <c r="L455" s="10">
        <f t="shared" si="129"/>
        <v>0.65725269185062474</v>
      </c>
      <c r="M455" s="10">
        <v>277.3</v>
      </c>
      <c r="N455" s="10">
        <v>-394.58</v>
      </c>
      <c r="O455" s="10">
        <v>93.3</v>
      </c>
      <c r="P455" s="11">
        <v>6.0999999999999999E-2</v>
      </c>
      <c r="Q455" s="11">
        <f>(9.35+3.45+1.72+0.61+0.002+0.09)%</f>
        <v>0.15222000000000002</v>
      </c>
      <c r="R455" s="12">
        <f t="shared" si="133"/>
        <v>8.3216296349646487E-2</v>
      </c>
      <c r="S455" s="12">
        <f t="shared" si="134"/>
        <v>-0.11841141800809055</v>
      </c>
      <c r="T455" s="12">
        <f t="shared" si="135"/>
        <v>2.7998847635852926E-2</v>
      </c>
      <c r="U455" s="12">
        <f t="shared" si="65"/>
        <v>5.0761940773284353E-3</v>
      </c>
      <c r="V455" s="12">
        <f t="shared" si="53"/>
        <v>-7.2230964984935234E-3</v>
      </c>
      <c r="W455" s="12">
        <f t="shared" si="54"/>
        <v>1.7079297057870284E-3</v>
      </c>
      <c r="X455" s="12">
        <f t="shared" si="55"/>
        <v>1.2667184630343191E-2</v>
      </c>
      <c r="Y455" s="12">
        <f t="shared" si="56"/>
        <v>-1.8024586049191545E-2</v>
      </c>
      <c r="Z455" s="12">
        <f t="shared" si="57"/>
        <v>4.2619845871295333E-3</v>
      </c>
    </row>
    <row r="456" spans="1:26" ht="13">
      <c r="A456" s="8" t="str">
        <f t="shared" si="139"/>
        <v>HDC</v>
      </c>
      <c r="B456" s="9">
        <v>2021</v>
      </c>
      <c r="C456" s="10">
        <v>311.25</v>
      </c>
      <c r="D456" s="10">
        <v>2292.9</v>
      </c>
      <c r="E456" s="10">
        <v>3776.88</v>
      </c>
      <c r="F456" s="10">
        <v>2670.42</v>
      </c>
      <c r="G456" s="10">
        <v>1469.19</v>
      </c>
      <c r="H456" s="10">
        <f t="shared" si="136"/>
        <v>8.2409290207790559E-2</v>
      </c>
      <c r="I456" s="10">
        <f t="shared" si="137"/>
        <v>0.60708839041748741</v>
      </c>
      <c r="J456" s="10">
        <f t="shared" si="138"/>
        <v>1.8176137871888591</v>
      </c>
      <c r="K456" s="4">
        <f t="shared" si="118"/>
        <v>-1.2177084357041348</v>
      </c>
      <c r="L456" s="10">
        <f t="shared" si="129"/>
        <v>0.60708839041748741</v>
      </c>
      <c r="M456" s="10">
        <v>-309.16000000000003</v>
      </c>
      <c r="N456" s="10">
        <v>-46.8</v>
      </c>
      <c r="O456" s="10">
        <v>387.73</v>
      </c>
      <c r="P456" s="11">
        <f>2.05%</f>
        <v>2.0499999999999997E-2</v>
      </c>
      <c r="Q456" s="11">
        <f>(9.5+4.06+2.09+0.23+0.13+0.64+0.19+0.06)%</f>
        <v>0.16899999999999998</v>
      </c>
      <c r="R456" s="12">
        <f t="shared" si="133"/>
        <v>-8.1855923407680414E-2</v>
      </c>
      <c r="S456" s="12">
        <f t="shared" si="134"/>
        <v>-1.2391180021605133E-2</v>
      </c>
      <c r="T456" s="12">
        <f t="shared" si="135"/>
        <v>0.1026588083285675</v>
      </c>
      <c r="U456" s="12">
        <f t="shared" si="65"/>
        <v>-1.6780464298574483E-3</v>
      </c>
      <c r="V456" s="12">
        <f t="shared" si="53"/>
        <v>-2.5401919044290517E-4</v>
      </c>
      <c r="W456" s="12">
        <f t="shared" si="54"/>
        <v>2.1045055707356332E-3</v>
      </c>
      <c r="X456" s="12">
        <f t="shared" si="55"/>
        <v>-1.3833651055897988E-2</v>
      </c>
      <c r="Y456" s="12">
        <f t="shared" si="56"/>
        <v>-2.0941094236512671E-3</v>
      </c>
      <c r="Z456" s="12">
        <f t="shared" si="57"/>
        <v>1.7349338607527905E-2</v>
      </c>
    </row>
    <row r="457" spans="1:26" ht="13">
      <c r="A457" s="8" t="s">
        <v>109</v>
      </c>
      <c r="B457" s="9">
        <v>2017</v>
      </c>
      <c r="C457" s="10">
        <v>273.10000000000002</v>
      </c>
      <c r="D457" s="10">
        <v>6331.36</v>
      </c>
      <c r="E457" s="10">
        <v>8415.5</v>
      </c>
      <c r="F457" s="10">
        <v>4910.93</v>
      </c>
      <c r="G457" s="10">
        <v>1453.21</v>
      </c>
      <c r="H457" s="10">
        <f t="shared" si="136"/>
        <v>3.2452023052700375E-2</v>
      </c>
      <c r="I457" s="10">
        <f t="shared" si="137"/>
        <v>0.75234507753549995</v>
      </c>
      <c r="J457" s="10">
        <f t="shared" si="138"/>
        <v>3.3793670563786375</v>
      </c>
      <c r="K457" s="4">
        <f t="shared" si="118"/>
        <v>-0.17118463001031611</v>
      </c>
      <c r="L457" s="10">
        <f t="shared" si="129"/>
        <v>0.75234507753549995</v>
      </c>
      <c r="M457" s="10">
        <v>1861.2</v>
      </c>
      <c r="N457" s="10">
        <v>-1009.02</v>
      </c>
      <c r="O457" s="10">
        <v>-771.88</v>
      </c>
      <c r="P457" s="11">
        <v>0.17</v>
      </c>
      <c r="Q457" s="11">
        <f>(35.04+8.94+0.15+0.16+0.02+0.04+0.02)%</f>
        <v>0.44369999999999998</v>
      </c>
      <c r="R457" s="12">
        <f t="shared" si="133"/>
        <v>0.22116332957043552</v>
      </c>
      <c r="S457" s="12">
        <f t="shared" si="134"/>
        <v>-0.11990018418394628</v>
      </c>
      <c r="T457" s="12">
        <f t="shared" si="135"/>
        <v>-9.1721228685164274E-2</v>
      </c>
      <c r="U457" s="12">
        <f t="shared" si="65"/>
        <v>3.7597766026974039E-2</v>
      </c>
      <c r="V457" s="12">
        <f t="shared" si="53"/>
        <v>-2.038303131127087E-2</v>
      </c>
      <c r="W457" s="12">
        <f t="shared" si="54"/>
        <v>-1.5592608876477928E-2</v>
      </c>
      <c r="X457" s="12">
        <f t="shared" si="55"/>
        <v>9.8130169330402237E-2</v>
      </c>
      <c r="Y457" s="12">
        <f t="shared" si="56"/>
        <v>-5.3199711722416963E-2</v>
      </c>
      <c r="Z457" s="12">
        <f t="shared" si="57"/>
        <v>-4.0696709167607384E-2</v>
      </c>
    </row>
    <row r="458" spans="1:26" ht="13">
      <c r="A458" s="8" t="str">
        <f t="shared" ref="A458:A461" si="140">A457</f>
        <v>HDG</v>
      </c>
      <c r="B458" s="9">
        <v>2018</v>
      </c>
      <c r="C458" s="10">
        <v>787.56</v>
      </c>
      <c r="D458" s="10">
        <v>8395.89</v>
      </c>
      <c r="E458" s="10">
        <v>11086.58</v>
      </c>
      <c r="F458" s="10">
        <v>6743.18</v>
      </c>
      <c r="G458" s="10">
        <v>3821.46</v>
      </c>
      <c r="H458" s="10">
        <f t="shared" si="136"/>
        <v>7.1037236009662122E-2</v>
      </c>
      <c r="I458" s="10">
        <f t="shared" si="137"/>
        <v>0.75730207151348738</v>
      </c>
      <c r="J458" s="10">
        <f t="shared" si="138"/>
        <v>1.7645559550538277</v>
      </c>
      <c r="K458" s="4">
        <f t="shared" si="118"/>
        <v>-0.31010397823681651</v>
      </c>
      <c r="L458" s="10">
        <f t="shared" si="129"/>
        <v>0.75730207151348738</v>
      </c>
      <c r="M458" s="10">
        <v>395.68</v>
      </c>
      <c r="N458" s="10">
        <v>-1442.18</v>
      </c>
      <c r="O458" s="10">
        <v>730.92</v>
      </c>
      <c r="P458" s="11">
        <v>0.1163</v>
      </c>
      <c r="Q458" s="11">
        <f>(35.04+8.94+0.15+0.16+0.02+0.69+0.04+0.16+0.02+0.01)%</f>
        <v>0.45229999999999992</v>
      </c>
      <c r="R458" s="12">
        <f t="shared" si="133"/>
        <v>3.5689996373994504E-2</v>
      </c>
      <c r="S458" s="12">
        <f t="shared" si="134"/>
        <v>-0.13008339812638345</v>
      </c>
      <c r="T458" s="12">
        <f t="shared" si="135"/>
        <v>6.5928356625758341E-2</v>
      </c>
      <c r="U458" s="12">
        <f t="shared" si="65"/>
        <v>4.150746578295561E-3</v>
      </c>
      <c r="V458" s="12">
        <f t="shared" si="53"/>
        <v>-1.5128699202098396E-2</v>
      </c>
      <c r="W458" s="12">
        <f t="shared" si="54"/>
        <v>7.6674678755756951E-3</v>
      </c>
      <c r="X458" s="12">
        <f t="shared" si="55"/>
        <v>1.614258535995771E-2</v>
      </c>
      <c r="Y458" s="12">
        <f t="shared" si="56"/>
        <v>-5.8836720972563226E-2</v>
      </c>
      <c r="Z458" s="12">
        <f t="shared" si="57"/>
        <v>2.9819395701830492E-2</v>
      </c>
    </row>
    <row r="459" spans="1:26" ht="13">
      <c r="A459" s="8" t="str">
        <f t="shared" si="140"/>
        <v>HDG</v>
      </c>
      <c r="B459" s="9">
        <v>2019</v>
      </c>
      <c r="C459" s="10">
        <v>1116.98</v>
      </c>
      <c r="D459" s="10">
        <v>10585.95</v>
      </c>
      <c r="E459" s="10">
        <v>13866.32</v>
      </c>
      <c r="F459" s="10">
        <v>6063.8</v>
      </c>
      <c r="G459" s="10">
        <v>5876.13</v>
      </c>
      <c r="H459" s="10">
        <f t="shared" si="136"/>
        <v>8.0553456144095911E-2</v>
      </c>
      <c r="I459" s="10">
        <f t="shared" si="137"/>
        <v>0.76342894149276819</v>
      </c>
      <c r="J459" s="10">
        <f t="shared" si="138"/>
        <v>1.0319376868789492</v>
      </c>
      <c r="K459" s="4">
        <f t="shared" si="118"/>
        <v>-0.31507333688716843</v>
      </c>
      <c r="L459" s="10">
        <f t="shared" si="129"/>
        <v>0.76342894149276819</v>
      </c>
      <c r="M459" s="10">
        <v>758.18</v>
      </c>
      <c r="N459" s="10">
        <v>-2614.6999999999998</v>
      </c>
      <c r="O459" s="10">
        <v>1887.74</v>
      </c>
      <c r="P459" s="11">
        <v>0.18</v>
      </c>
      <c r="Q459" s="11">
        <f>(35.04+8.94+0.23+0.69+0.16+0.03+0.02+0.01)%</f>
        <v>0.45119999999999988</v>
      </c>
      <c r="R459" s="12">
        <f t="shared" si="133"/>
        <v>5.4677809252923627E-2</v>
      </c>
      <c r="S459" s="12">
        <f t="shared" si="134"/>
        <v>-0.18856481027410299</v>
      </c>
      <c r="T459" s="12">
        <f t="shared" si="135"/>
        <v>0.13613849961633656</v>
      </c>
      <c r="U459" s="12">
        <f t="shared" si="65"/>
        <v>9.8420056655262531E-3</v>
      </c>
      <c r="V459" s="12">
        <f t="shared" si="53"/>
        <v>-3.394166584933854E-2</v>
      </c>
      <c r="W459" s="12">
        <f t="shared" si="54"/>
        <v>2.450492993094058E-2</v>
      </c>
      <c r="X459" s="12">
        <f t="shared" si="55"/>
        <v>2.4670627534919134E-2</v>
      </c>
      <c r="Y459" s="12">
        <f t="shared" si="56"/>
        <v>-8.5080442395675249E-2</v>
      </c>
      <c r="Z459" s="12">
        <f t="shared" si="57"/>
        <v>6.1425691026891042E-2</v>
      </c>
    </row>
    <row r="460" spans="1:26" ht="13">
      <c r="A460" s="8" t="str">
        <f t="shared" si="140"/>
        <v>HDG</v>
      </c>
      <c r="B460" s="9">
        <v>2020</v>
      </c>
      <c r="C460" s="10">
        <v>1253.8599999999999</v>
      </c>
      <c r="D460" s="10">
        <v>9901.23</v>
      </c>
      <c r="E460" s="10">
        <v>13878.65</v>
      </c>
      <c r="F460" s="10">
        <v>4187.24</v>
      </c>
      <c r="G460" s="10">
        <v>4032.3</v>
      </c>
      <c r="H460" s="10">
        <f t="shared" si="136"/>
        <v>9.0344521981604836E-2</v>
      </c>
      <c r="I460" s="10">
        <f t="shared" si="137"/>
        <v>0.71341448916140981</v>
      </c>
      <c r="J460" s="10">
        <f t="shared" si="138"/>
        <v>1.038424720382908</v>
      </c>
      <c r="K460" s="4">
        <f t="shared" si="118"/>
        <v>-0.64424145957871715</v>
      </c>
      <c r="L460" s="10">
        <f t="shared" si="129"/>
        <v>0.71341448916140981</v>
      </c>
      <c r="M460" s="10">
        <v>1425.84</v>
      </c>
      <c r="N460" s="10">
        <v>-2055.3000000000002</v>
      </c>
      <c r="O460" s="10">
        <v>688.47</v>
      </c>
      <c r="P460" s="11">
        <v>7.7399999999999997E-2</v>
      </c>
      <c r="Q460" s="11">
        <f>(35.05+8.94+0.23+0.69+0.03+0.02+0.01)%</f>
        <v>0.44969999999999993</v>
      </c>
      <c r="R460" s="12">
        <f t="shared" si="133"/>
        <v>0.10273621713927507</v>
      </c>
      <c r="S460" s="12">
        <f t="shared" si="134"/>
        <v>-0.14809077251749991</v>
      </c>
      <c r="T460" s="12">
        <f t="shared" si="135"/>
        <v>4.9606409845337984E-2</v>
      </c>
      <c r="U460" s="12">
        <f t="shared" si="65"/>
        <v>7.9517832065798891E-3</v>
      </c>
      <c r="V460" s="12">
        <f t="shared" si="53"/>
        <v>-1.1462225792854493E-2</v>
      </c>
      <c r="W460" s="12">
        <f t="shared" si="54"/>
        <v>3.8395361220291599E-3</v>
      </c>
      <c r="X460" s="12">
        <f t="shared" si="55"/>
        <v>4.6200476847531993E-2</v>
      </c>
      <c r="Y460" s="12">
        <f t="shared" si="56"/>
        <v>-6.6596420401119696E-2</v>
      </c>
      <c r="Z460" s="12">
        <f t="shared" si="57"/>
        <v>2.230800250744849E-2</v>
      </c>
    </row>
    <row r="461" spans="1:26" ht="13">
      <c r="A461" s="8" t="str">
        <f t="shared" si="140"/>
        <v>HDG</v>
      </c>
      <c r="B461" s="9">
        <v>2021</v>
      </c>
      <c r="C461" s="10">
        <v>1343.67</v>
      </c>
      <c r="D461" s="10">
        <v>10501.21</v>
      </c>
      <c r="E461" s="10">
        <v>15891.54</v>
      </c>
      <c r="F461" s="10">
        <v>4116.45</v>
      </c>
      <c r="G461" s="10">
        <v>4293.24</v>
      </c>
      <c r="H461" s="10">
        <f t="shared" si="136"/>
        <v>8.4552535500020759E-2</v>
      </c>
      <c r="I461" s="10">
        <f t="shared" si="137"/>
        <v>0.66080505728205063</v>
      </c>
      <c r="J461" s="10">
        <f t="shared" si="138"/>
        <v>0.95882130978002633</v>
      </c>
      <c r="K461" s="4">
        <f t="shared" si="118"/>
        <v>-0.91773286848152513</v>
      </c>
      <c r="L461" s="10">
        <f t="shared" si="129"/>
        <v>0.66080505728205063</v>
      </c>
      <c r="M461" s="10">
        <v>1056.93</v>
      </c>
      <c r="N461" s="10">
        <v>-2073.9299999999998</v>
      </c>
      <c r="O461" s="10">
        <v>845.04</v>
      </c>
      <c r="P461" s="11">
        <f>4.09%+6.31%</f>
        <v>0.10399999999999998</v>
      </c>
      <c r="Q461" s="11">
        <f>(33.04+8.43+0.22+0.28+0.002+0.01)%</f>
        <v>0.41981999999999997</v>
      </c>
      <c r="R461" s="12">
        <f t="shared" si="133"/>
        <v>6.6508972698681182E-2</v>
      </c>
      <c r="S461" s="12">
        <f t="shared" si="134"/>
        <v>-0.13050528771912601</v>
      </c>
      <c r="T461" s="12">
        <f t="shared" si="135"/>
        <v>5.3175463170970209E-2</v>
      </c>
      <c r="U461" s="12">
        <f t="shared" si="65"/>
        <v>6.9169331606628416E-3</v>
      </c>
      <c r="V461" s="12">
        <f t="shared" si="53"/>
        <v>-1.3572549922789102E-2</v>
      </c>
      <c r="W461" s="12">
        <f t="shared" si="54"/>
        <v>5.5302481697809009E-3</v>
      </c>
      <c r="X461" s="12">
        <f t="shared" si="55"/>
        <v>2.7921796918360331E-2</v>
      </c>
      <c r="Y461" s="12">
        <f t="shared" si="56"/>
        <v>-5.4788729890243477E-2</v>
      </c>
      <c r="Z461" s="12">
        <f t="shared" si="57"/>
        <v>2.2324122948436713E-2</v>
      </c>
    </row>
    <row r="462" spans="1:26" ht="13">
      <c r="A462" s="8" t="s">
        <v>110</v>
      </c>
      <c r="B462" s="9">
        <v>2017</v>
      </c>
      <c r="C462" s="10">
        <v>130.69999999999999</v>
      </c>
      <c r="D462" s="10">
        <v>158.05000000000001</v>
      </c>
      <c r="E462" s="10">
        <v>3378.24</v>
      </c>
      <c r="F462" s="10">
        <v>2442.0300000000002</v>
      </c>
      <c r="G462" s="10">
        <v>135.43</v>
      </c>
      <c r="H462" s="10">
        <f t="shared" si="136"/>
        <v>3.8688784692621006E-2</v>
      </c>
      <c r="I462" s="10">
        <f t="shared" si="137"/>
        <v>4.6784716301979737E-2</v>
      </c>
      <c r="J462" s="10">
        <f t="shared" si="138"/>
        <v>18.031676881045559</v>
      </c>
      <c r="K462" s="4">
        <f t="shared" si="118"/>
        <v>-4.2795533557196919</v>
      </c>
      <c r="L462" s="10">
        <f t="shared" si="129"/>
        <v>4.6784716301979737E-2</v>
      </c>
      <c r="M462" s="10">
        <v>-429.92</v>
      </c>
      <c r="N462" s="10">
        <v>-126.69</v>
      </c>
      <c r="O462" s="10">
        <v>0</v>
      </c>
      <c r="P462" s="11">
        <v>7.1300000000000002E-2</v>
      </c>
      <c r="Q462" s="11">
        <f>(5.39)%</f>
        <v>5.3899999999999997E-2</v>
      </c>
      <c r="R462" s="12">
        <f t="shared" si="133"/>
        <v>-0.12726153263237663</v>
      </c>
      <c r="S462" s="12">
        <f t="shared" si="134"/>
        <v>-3.750177607274794E-2</v>
      </c>
      <c r="T462" s="12">
        <f t="shared" si="135"/>
        <v>0</v>
      </c>
      <c r="U462" s="12">
        <f t="shared" si="65"/>
        <v>-9.0737472766884535E-3</v>
      </c>
      <c r="V462" s="12">
        <f t="shared" si="53"/>
        <v>-2.673876633986928E-3</v>
      </c>
      <c r="W462" s="12">
        <f t="shared" si="54"/>
        <v>0</v>
      </c>
      <c r="X462" s="12">
        <f t="shared" si="55"/>
        <v>-6.8593966088850997E-3</v>
      </c>
      <c r="Y462" s="12">
        <f t="shared" si="56"/>
        <v>-2.0213457303211138E-3</v>
      </c>
      <c r="Z462" s="12">
        <f t="shared" si="57"/>
        <v>0</v>
      </c>
    </row>
    <row r="463" spans="1:26" ht="13">
      <c r="A463" s="8" t="str">
        <f t="shared" ref="A463:A466" si="141">A462</f>
        <v>HHS</v>
      </c>
      <c r="B463" s="9">
        <v>2018</v>
      </c>
      <c r="C463" s="10">
        <v>219.15</v>
      </c>
      <c r="D463" s="10">
        <v>245.41</v>
      </c>
      <c r="E463" s="10">
        <v>3505.64</v>
      </c>
      <c r="F463" s="10">
        <v>2435.6</v>
      </c>
      <c r="G463" s="10">
        <v>239.65</v>
      </c>
      <c r="H463" s="10">
        <f t="shared" si="136"/>
        <v>6.2513549594367931E-2</v>
      </c>
      <c r="I463" s="10">
        <f t="shared" si="137"/>
        <v>7.0004335870197734E-2</v>
      </c>
      <c r="J463" s="10">
        <f t="shared" si="138"/>
        <v>10.163154600459002</v>
      </c>
      <c r="K463" s="4">
        <f t="shared" si="118"/>
        <v>-4.2229388771163645</v>
      </c>
      <c r="L463" s="10">
        <f t="shared" si="129"/>
        <v>7.0004335870197734E-2</v>
      </c>
      <c r="M463" s="10">
        <v>644.94000000000005</v>
      </c>
      <c r="N463" s="10">
        <v>-614.19000000000005</v>
      </c>
      <c r="O463" s="10">
        <v>-92.6</v>
      </c>
      <c r="P463" s="11">
        <v>7.1300000000000002E-2</v>
      </c>
      <c r="Q463" s="11">
        <f t="shared" ref="Q463:Q464" si="142">(5.93)%</f>
        <v>5.9299999999999999E-2</v>
      </c>
      <c r="R463" s="12">
        <f t="shared" si="133"/>
        <v>0.18397211350851772</v>
      </c>
      <c r="S463" s="12">
        <f t="shared" si="134"/>
        <v>-0.17520053399664542</v>
      </c>
      <c r="T463" s="12">
        <f t="shared" si="135"/>
        <v>-2.6414577652012185E-2</v>
      </c>
      <c r="U463" s="12">
        <f t="shared" si="65"/>
        <v>1.3117211693157315E-2</v>
      </c>
      <c r="V463" s="12">
        <f t="shared" si="53"/>
        <v>-1.2491798073960819E-2</v>
      </c>
      <c r="W463" s="12">
        <f t="shared" si="54"/>
        <v>-1.883359386588469E-3</v>
      </c>
      <c r="X463" s="12">
        <f t="shared" si="55"/>
        <v>1.0909546331055101E-2</v>
      </c>
      <c r="Y463" s="12">
        <f t="shared" si="56"/>
        <v>-1.0389391666001073E-2</v>
      </c>
      <c r="Z463" s="12">
        <f t="shared" si="57"/>
        <v>-1.5663844547643226E-3</v>
      </c>
    </row>
    <row r="464" spans="1:26" ht="13">
      <c r="A464" s="8" t="str">
        <f t="shared" si="141"/>
        <v>HHS</v>
      </c>
      <c r="B464" s="9">
        <v>2019</v>
      </c>
      <c r="C464" s="10">
        <v>226.18</v>
      </c>
      <c r="D464" s="10">
        <v>195.66</v>
      </c>
      <c r="E464" s="10">
        <v>3627.72</v>
      </c>
      <c r="F464" s="10">
        <v>2473.41</v>
      </c>
      <c r="G464" s="10">
        <v>135.13</v>
      </c>
      <c r="H464" s="10">
        <f t="shared" si="136"/>
        <v>6.234770048405059E-2</v>
      </c>
      <c r="I464" s="10">
        <f t="shared" si="137"/>
        <v>5.3934702788528334E-2</v>
      </c>
      <c r="J464" s="10">
        <f t="shared" si="138"/>
        <v>18.303929549322874</v>
      </c>
      <c r="K464" s="4">
        <f t="shared" si="118"/>
        <v>-4.3463525644809078</v>
      </c>
      <c r="L464" s="10">
        <f t="shared" si="129"/>
        <v>5.3934702788528334E-2</v>
      </c>
      <c r="M464" s="10">
        <v>-95.55</v>
      </c>
      <c r="N464" s="10">
        <v>129.13</v>
      </c>
      <c r="O464" s="10">
        <v>0</v>
      </c>
      <c r="P464" s="11">
        <v>4.1300000000000003E-2</v>
      </c>
      <c r="Q464" s="11">
        <f t="shared" si="142"/>
        <v>5.9299999999999999E-2</v>
      </c>
      <c r="R464" s="12">
        <f t="shared" si="133"/>
        <v>-2.6338857464192386E-2</v>
      </c>
      <c r="S464" s="12">
        <f t="shared" si="134"/>
        <v>3.5595360171126772E-2</v>
      </c>
      <c r="T464" s="12">
        <f t="shared" si="135"/>
        <v>0</v>
      </c>
      <c r="U464" s="12">
        <f t="shared" si="65"/>
        <v>-1.0877948132711457E-3</v>
      </c>
      <c r="V464" s="12">
        <f t="shared" si="53"/>
        <v>1.4700883750675359E-3</v>
      </c>
      <c r="W464" s="12">
        <f t="shared" si="54"/>
        <v>0</v>
      </c>
      <c r="X464" s="12">
        <f t="shared" si="55"/>
        <v>-1.5618942476266085E-3</v>
      </c>
      <c r="Y464" s="12">
        <f t="shared" si="56"/>
        <v>2.1108048581478175E-3</v>
      </c>
      <c r="Z464" s="12">
        <f t="shared" si="57"/>
        <v>0</v>
      </c>
    </row>
    <row r="465" spans="1:26" ht="13">
      <c r="A465" s="8" t="str">
        <f t="shared" si="141"/>
        <v>HHS</v>
      </c>
      <c r="B465" s="9">
        <v>2020</v>
      </c>
      <c r="C465" s="10">
        <v>305.83</v>
      </c>
      <c r="D465" s="10">
        <v>204.56</v>
      </c>
      <c r="E465" s="10">
        <v>3946.66</v>
      </c>
      <c r="F465" s="10">
        <v>653.53</v>
      </c>
      <c r="G465" s="10">
        <v>149.88</v>
      </c>
      <c r="H465" s="10">
        <f t="shared" si="136"/>
        <v>7.7490840356149254E-2</v>
      </c>
      <c r="I465" s="10">
        <f t="shared" si="137"/>
        <v>5.1831168633730801E-2</v>
      </c>
      <c r="J465" s="10">
        <f t="shared" si="138"/>
        <v>4.3603549506271682</v>
      </c>
      <c r="K465" s="4">
        <f t="shared" si="118"/>
        <v>-4.3707125401929154</v>
      </c>
      <c r="L465" s="10">
        <f t="shared" si="129"/>
        <v>5.1831168633730801E-2</v>
      </c>
      <c r="M465" s="10">
        <v>807.65</v>
      </c>
      <c r="N465" s="10">
        <v>-806.71</v>
      </c>
      <c r="O465" s="10">
        <v>24.55</v>
      </c>
      <c r="P465" s="11">
        <v>3.5299999999999998E-2</v>
      </c>
      <c r="Q465" s="11">
        <f>(5.39)%</f>
        <v>5.3899999999999997E-2</v>
      </c>
      <c r="R465" s="12">
        <f t="shared" si="133"/>
        <v>0.20464139297532596</v>
      </c>
      <c r="S465" s="12">
        <f t="shared" si="134"/>
        <v>-0.20440321689732585</v>
      </c>
      <c r="T465" s="12">
        <f t="shared" si="135"/>
        <v>6.2204496967055694E-3</v>
      </c>
      <c r="U465" s="12">
        <f t="shared" si="65"/>
        <v>7.2238411720290064E-3</v>
      </c>
      <c r="V465" s="12">
        <f t="shared" si="53"/>
        <v>-7.215433556475602E-3</v>
      </c>
      <c r="W465" s="12">
        <f t="shared" si="54"/>
        <v>2.1958187429370658E-4</v>
      </c>
      <c r="X465" s="12">
        <f t="shared" si="55"/>
        <v>1.1030171081370069E-2</v>
      </c>
      <c r="Y465" s="12">
        <f t="shared" si="56"/>
        <v>-1.1017333390765863E-2</v>
      </c>
      <c r="Z465" s="12">
        <f t="shared" si="57"/>
        <v>3.3528223865243018E-4</v>
      </c>
    </row>
    <row r="466" spans="1:26" ht="13">
      <c r="A466" s="8" t="str">
        <f t="shared" si="141"/>
        <v>HHS</v>
      </c>
      <c r="B466" s="9">
        <v>2021</v>
      </c>
      <c r="C466" s="10">
        <v>247.84</v>
      </c>
      <c r="D466" s="10">
        <v>323.20999999999998</v>
      </c>
      <c r="E466" s="10">
        <v>4265.26</v>
      </c>
      <c r="F466" s="10">
        <v>802.2</v>
      </c>
      <c r="G466" s="10">
        <v>290.70999999999998</v>
      </c>
      <c r="H466" s="10">
        <f t="shared" si="136"/>
        <v>5.8106657038492375E-2</v>
      </c>
      <c r="I466" s="10">
        <f t="shared" si="137"/>
        <v>7.5777326587359264E-2</v>
      </c>
      <c r="J466" s="10">
        <f t="shared" si="138"/>
        <v>2.759450999277631</v>
      </c>
      <c r="K466" s="4">
        <f t="shared" si="118"/>
        <v>-4.1405869991223785</v>
      </c>
      <c r="L466" s="10">
        <f t="shared" si="129"/>
        <v>7.5777326587359264E-2</v>
      </c>
      <c r="M466" s="10">
        <v>-81.67</v>
      </c>
      <c r="N466" s="10">
        <v>-90.04</v>
      </c>
      <c r="O466" s="10">
        <v>109.24</v>
      </c>
      <c r="P466" s="11">
        <v>1.7600000000000001E-2</v>
      </c>
      <c r="Q466" s="11">
        <v>0</v>
      </c>
      <c r="R466" s="12">
        <f t="shared" si="133"/>
        <v>-1.9147719013612299E-2</v>
      </c>
      <c r="S466" s="12">
        <f t="shared" si="134"/>
        <v>-2.1110084731059773E-2</v>
      </c>
      <c r="T466" s="12">
        <f t="shared" si="135"/>
        <v>2.5611568814093395E-2</v>
      </c>
      <c r="U466" s="12">
        <f t="shared" si="65"/>
        <v>-3.3699985463957649E-4</v>
      </c>
      <c r="V466" s="12">
        <f t="shared" si="53"/>
        <v>-3.7153749126665205E-4</v>
      </c>
      <c r="W466" s="12">
        <f t="shared" si="54"/>
        <v>4.5076361112804375E-4</v>
      </c>
      <c r="X466" s="12">
        <f t="shared" si="55"/>
        <v>0</v>
      </c>
      <c r="Y466" s="12">
        <f t="shared" si="56"/>
        <v>0</v>
      </c>
      <c r="Z466" s="12">
        <f t="shared" si="57"/>
        <v>0</v>
      </c>
    </row>
    <row r="467" spans="1:26" ht="13">
      <c r="A467" s="8" t="s">
        <v>111</v>
      </c>
      <c r="B467" s="9">
        <v>2017</v>
      </c>
      <c r="C467" s="10">
        <v>61.58</v>
      </c>
      <c r="D467" s="10">
        <v>772.78</v>
      </c>
      <c r="E467" s="10">
        <v>1079.0999999999999</v>
      </c>
      <c r="F467" s="10">
        <v>627</v>
      </c>
      <c r="G467" s="10">
        <v>574.42999999999995</v>
      </c>
      <c r="H467" s="10">
        <f t="shared" si="136"/>
        <v>5.706607357983505E-2</v>
      </c>
      <c r="I467" s="10">
        <f t="shared" si="137"/>
        <v>0.71613381521638408</v>
      </c>
      <c r="J467" s="10">
        <f t="shared" si="138"/>
        <v>1.0915168079661579</v>
      </c>
      <c r="K467" s="4">
        <f t="shared" si="118"/>
        <v>-0.47920065160773273</v>
      </c>
      <c r="L467" s="10">
        <f t="shared" si="129"/>
        <v>0.71613381521638408</v>
      </c>
      <c r="M467" s="10">
        <v>-160.22999999999999</v>
      </c>
      <c r="N467" s="10">
        <v>-223.2</v>
      </c>
      <c r="O467" s="10">
        <v>372.21</v>
      </c>
      <c r="P467" s="11">
        <v>3.1899999999999998E-2</v>
      </c>
      <c r="Q467" s="11">
        <f t="shared" ref="Q467:Q468" si="143">(0.28+3.59)%</f>
        <v>3.8699999999999998E-2</v>
      </c>
      <c r="R467" s="12">
        <f t="shared" si="133"/>
        <v>-0.1484848484848485</v>
      </c>
      <c r="S467" s="12">
        <f t="shared" si="134"/>
        <v>-0.20683903252710592</v>
      </c>
      <c r="T467" s="12">
        <f t="shared" si="135"/>
        <v>0.34492632749513485</v>
      </c>
      <c r="U467" s="12">
        <f t="shared" si="65"/>
        <v>-4.7366666666666668E-3</v>
      </c>
      <c r="V467" s="12">
        <f t="shared" si="53"/>
        <v>-6.5981651376146788E-3</v>
      </c>
      <c r="W467" s="12">
        <f t="shared" si="54"/>
        <v>1.1003149847094801E-2</v>
      </c>
      <c r="X467" s="12">
        <f t="shared" si="55"/>
        <v>-5.7463636363636363E-3</v>
      </c>
      <c r="Y467" s="12">
        <f t="shared" si="56"/>
        <v>-8.0046705587989986E-3</v>
      </c>
      <c r="Z467" s="12">
        <f t="shared" si="57"/>
        <v>1.3348648874061718E-2</v>
      </c>
    </row>
    <row r="468" spans="1:26" ht="13">
      <c r="A468" s="8" t="str">
        <f t="shared" ref="A468:A471" si="144">A467</f>
        <v>HII</v>
      </c>
      <c r="B468" s="9">
        <v>2018</v>
      </c>
      <c r="C468" s="10">
        <v>45.22</v>
      </c>
      <c r="D468" s="10">
        <v>1676.72</v>
      </c>
      <c r="E468" s="10">
        <v>2281.2399999999998</v>
      </c>
      <c r="F468" s="10">
        <v>1491.31</v>
      </c>
      <c r="G468" s="10">
        <v>1457.91</v>
      </c>
      <c r="H468" s="10">
        <f t="shared" si="136"/>
        <v>1.9822552646806123E-2</v>
      </c>
      <c r="I468" s="10">
        <f t="shared" si="137"/>
        <v>0.7350037698795393</v>
      </c>
      <c r="J468" s="10">
        <f t="shared" si="138"/>
        <v>1.0229095074455898</v>
      </c>
      <c r="K468" s="4">
        <f t="shared" si="118"/>
        <v>-0.20377163662703585</v>
      </c>
      <c r="L468" s="10">
        <f t="shared" si="129"/>
        <v>0.7350037698795393</v>
      </c>
      <c r="M468" s="10">
        <v>80.760000000000005</v>
      </c>
      <c r="N468" s="10">
        <v>-716.92</v>
      </c>
      <c r="O468" s="10">
        <v>660.82</v>
      </c>
      <c r="P468" s="11">
        <v>6.1999999999999998E-3</v>
      </c>
      <c r="Q468" s="11">
        <f t="shared" si="143"/>
        <v>3.8699999999999998E-2</v>
      </c>
      <c r="R468" s="12">
        <f t="shared" si="133"/>
        <v>3.5401799021584759E-2</v>
      </c>
      <c r="S468" s="12">
        <f t="shared" si="134"/>
        <v>-0.31426767898160651</v>
      </c>
      <c r="T468" s="12">
        <f t="shared" si="135"/>
        <v>0.28967579035962904</v>
      </c>
      <c r="U468" s="12">
        <f t="shared" si="65"/>
        <v>2.194911539338255E-4</v>
      </c>
      <c r="V468" s="12">
        <f t="shared" si="53"/>
        <v>-1.9484596096859604E-3</v>
      </c>
      <c r="W468" s="12">
        <f t="shared" si="54"/>
        <v>1.7959899002297E-3</v>
      </c>
      <c r="X468" s="12">
        <f t="shared" si="55"/>
        <v>1.3700496221353302E-3</v>
      </c>
      <c r="Y468" s="12">
        <f t="shared" si="56"/>
        <v>-1.2162159176588172E-2</v>
      </c>
      <c r="Z468" s="12">
        <f t="shared" si="57"/>
        <v>1.1210453086917644E-2</v>
      </c>
    </row>
    <row r="469" spans="1:26" ht="13">
      <c r="A469" s="8" t="str">
        <f t="shared" si="144"/>
        <v>HII</v>
      </c>
      <c r="B469" s="9">
        <v>2019</v>
      </c>
      <c r="C469" s="10">
        <v>54.09</v>
      </c>
      <c r="D469" s="10">
        <v>1188.69</v>
      </c>
      <c r="E469" s="10">
        <v>1749.91</v>
      </c>
      <c r="F469" s="10">
        <v>1127.18</v>
      </c>
      <c r="G469" s="10">
        <v>1078.68</v>
      </c>
      <c r="H469" s="10">
        <f t="shared" si="136"/>
        <v>3.0910161093999119E-2</v>
      </c>
      <c r="I469" s="10">
        <f t="shared" si="137"/>
        <v>0.67928636329868397</v>
      </c>
      <c r="J469" s="10">
        <f t="shared" si="138"/>
        <v>1.0449623614046797</v>
      </c>
      <c r="K469" s="4">
        <f t="shared" si="118"/>
        <v>-0.57134330356611618</v>
      </c>
      <c r="L469" s="10">
        <f t="shared" si="129"/>
        <v>0.67928636329868397</v>
      </c>
      <c r="M469" s="10">
        <v>-9.3699999999999992</v>
      </c>
      <c r="N469" s="10">
        <v>-21.65</v>
      </c>
      <c r="O469" s="10">
        <v>-62.61</v>
      </c>
      <c r="P469" s="11">
        <v>1.8E-3</v>
      </c>
      <c r="Q469" s="11">
        <v>3.0000000000000001E-3</v>
      </c>
      <c r="R469" s="12">
        <f t="shared" si="133"/>
        <v>-5.354561091713287E-3</v>
      </c>
      <c r="S469" s="12">
        <f t="shared" si="134"/>
        <v>-1.2372064849049378E-2</v>
      </c>
      <c r="T469" s="12">
        <f t="shared" si="135"/>
        <v>-3.5778982919121551E-2</v>
      </c>
      <c r="U469" s="12">
        <f t="shared" si="65"/>
        <v>-9.6382099650839172E-6</v>
      </c>
      <c r="V469" s="12">
        <f t="shared" si="53"/>
        <v>-2.2269716728288881E-5</v>
      </c>
      <c r="W469" s="12">
        <f t="shared" si="54"/>
        <v>-6.4402169254418787E-5</v>
      </c>
      <c r="X469" s="12">
        <f t="shared" si="55"/>
        <v>-1.6063683275139863E-5</v>
      </c>
      <c r="Y469" s="12">
        <f t="shared" si="56"/>
        <v>-3.7116194547148135E-5</v>
      </c>
      <c r="Z469" s="12">
        <f t="shared" si="57"/>
        <v>-1.0733694875736465E-4</v>
      </c>
    </row>
    <row r="470" spans="1:26" ht="13">
      <c r="A470" s="8" t="str">
        <f t="shared" si="144"/>
        <v>HII</v>
      </c>
      <c r="B470" s="9">
        <v>2020</v>
      </c>
      <c r="C470" s="10">
        <v>52.97</v>
      </c>
      <c r="D470" s="10">
        <v>957.21</v>
      </c>
      <c r="E470" s="10">
        <v>1530.46</v>
      </c>
      <c r="F470" s="10">
        <v>1005.82</v>
      </c>
      <c r="G470" s="10">
        <v>930.79</v>
      </c>
      <c r="H470" s="10">
        <f t="shared" si="136"/>
        <v>3.4610509258654262E-2</v>
      </c>
      <c r="I470" s="10">
        <f t="shared" si="137"/>
        <v>0.62543941037335182</v>
      </c>
      <c r="J470" s="10">
        <f t="shared" si="138"/>
        <v>1.0806089450896552</v>
      </c>
      <c r="K470" s="4">
        <f t="shared" si="118"/>
        <v>-0.89506508831619724</v>
      </c>
      <c r="L470" s="10">
        <f t="shared" si="129"/>
        <v>0.62543941037335182</v>
      </c>
      <c r="M470" s="10">
        <v>-182.07</v>
      </c>
      <c r="N470" s="10">
        <v>294.75</v>
      </c>
      <c r="O470" s="10">
        <v>-99.81</v>
      </c>
      <c r="P470" s="11">
        <v>1.29E-2</v>
      </c>
      <c r="Q470" s="11">
        <v>2.8E-3</v>
      </c>
      <c r="R470" s="12">
        <f t="shared" si="133"/>
        <v>-0.11896423297570664</v>
      </c>
      <c r="S470" s="12">
        <f t="shared" si="134"/>
        <v>0.19258915620140349</v>
      </c>
      <c r="T470" s="12">
        <f t="shared" si="135"/>
        <v>-6.5215686786979074E-2</v>
      </c>
      <c r="U470" s="12">
        <f t="shared" si="65"/>
        <v>-1.5346386053866157E-3</v>
      </c>
      <c r="V470" s="12">
        <f t="shared" si="53"/>
        <v>2.4844001149981051E-3</v>
      </c>
      <c r="W470" s="12">
        <f t="shared" si="54"/>
        <v>-8.4128235955203002E-4</v>
      </c>
      <c r="X470" s="12">
        <f t="shared" si="55"/>
        <v>-3.330998523319786E-4</v>
      </c>
      <c r="Y470" s="12">
        <f t="shared" si="56"/>
        <v>5.3924963736392975E-4</v>
      </c>
      <c r="Z470" s="12">
        <f t="shared" si="57"/>
        <v>-1.826039230035414E-4</v>
      </c>
    </row>
    <row r="471" spans="1:26" ht="13">
      <c r="A471" s="8" t="str">
        <f t="shared" si="144"/>
        <v>HII</v>
      </c>
      <c r="B471" s="9">
        <v>2021</v>
      </c>
      <c r="C471" s="10">
        <v>103.65</v>
      </c>
      <c r="D471" s="10">
        <v>1574.85</v>
      </c>
      <c r="E471" s="10">
        <v>2224.23</v>
      </c>
      <c r="F471" s="10">
        <v>1716.47</v>
      </c>
      <c r="G471" s="10">
        <v>1489.41</v>
      </c>
      <c r="H471" s="10">
        <f t="shared" si="136"/>
        <v>4.6600396541724556E-2</v>
      </c>
      <c r="I471" s="10">
        <f t="shared" si="137"/>
        <v>0.70804278334524751</v>
      </c>
      <c r="J471" s="10">
        <f t="shared" si="138"/>
        <v>1.1524496277049301</v>
      </c>
      <c r="K471" s="4">
        <f t="shared" si="118"/>
        <v>-0.47846771788066994</v>
      </c>
      <c r="L471" s="10">
        <f t="shared" si="129"/>
        <v>0.70804278334524751</v>
      </c>
      <c r="M471" s="10">
        <v>-86.16</v>
      </c>
      <c r="N471" s="10">
        <v>-37.79</v>
      </c>
      <c r="O471" s="10">
        <v>162.65</v>
      </c>
      <c r="P471" s="11">
        <v>7.6E-3</v>
      </c>
      <c r="Q471" s="11">
        <v>0</v>
      </c>
      <c r="R471" s="12">
        <f t="shared" si="133"/>
        <v>-3.8737001119488537E-2</v>
      </c>
      <c r="S471" s="12">
        <f t="shared" si="134"/>
        <v>-1.6990149400017085E-2</v>
      </c>
      <c r="T471" s="12">
        <f t="shared" si="135"/>
        <v>7.3126430270250828E-2</v>
      </c>
      <c r="U471" s="12">
        <f t="shared" si="65"/>
        <v>-2.9440120850811286E-4</v>
      </c>
      <c r="V471" s="12">
        <f t="shared" si="53"/>
        <v>-1.2912513544012985E-4</v>
      </c>
      <c r="W471" s="12">
        <f t="shared" si="54"/>
        <v>5.5576087005390629E-4</v>
      </c>
      <c r="X471" s="12">
        <f t="shared" si="55"/>
        <v>0</v>
      </c>
      <c r="Y471" s="12">
        <f t="shared" si="56"/>
        <v>0</v>
      </c>
      <c r="Z471" s="12">
        <f t="shared" si="57"/>
        <v>0</v>
      </c>
    </row>
    <row r="472" spans="1:26" ht="13">
      <c r="A472" s="8" t="s">
        <v>112</v>
      </c>
      <c r="B472" s="9">
        <v>2017</v>
      </c>
      <c r="C472" s="10">
        <v>80.72</v>
      </c>
      <c r="D472" s="10">
        <v>667.44</v>
      </c>
      <c r="E472" s="10">
        <v>1059.99</v>
      </c>
      <c r="F472" s="10">
        <v>912.99</v>
      </c>
      <c r="G472" s="10">
        <v>646.16</v>
      </c>
      <c r="H472" s="10">
        <f t="shared" si="136"/>
        <v>7.6151661808130267E-2</v>
      </c>
      <c r="I472" s="10">
        <f t="shared" si="137"/>
        <v>0.62966631760676994</v>
      </c>
      <c r="J472" s="10">
        <f t="shared" si="138"/>
        <v>1.4129472576451654</v>
      </c>
      <c r="K472" s="4">
        <f t="shared" si="118"/>
        <v>-1.0592362568085778</v>
      </c>
      <c r="L472" s="10">
        <f t="shared" si="129"/>
        <v>0.62966631760676994</v>
      </c>
      <c r="M472" s="10">
        <v>26.6</v>
      </c>
      <c r="N472" s="10">
        <v>4.82</v>
      </c>
      <c r="O472" s="10">
        <v>-41.19</v>
      </c>
      <c r="P472" s="11">
        <v>4.5999999999999999E-3</v>
      </c>
      <c r="Q472" s="11">
        <f>(0.5+0.26+0.04)%</f>
        <v>8.0000000000000002E-3</v>
      </c>
      <c r="R472" s="12">
        <f t="shared" si="133"/>
        <v>2.5094576363927961E-2</v>
      </c>
      <c r="S472" s="12">
        <f t="shared" si="134"/>
        <v>4.5472127095538637E-3</v>
      </c>
      <c r="T472" s="12">
        <f t="shared" si="135"/>
        <v>-3.88588571590298E-2</v>
      </c>
      <c r="U472" s="12">
        <f t="shared" si="65"/>
        <v>1.1543505127406862E-4</v>
      </c>
      <c r="V472" s="12">
        <f t="shared" si="53"/>
        <v>2.0917178463947772E-5</v>
      </c>
      <c r="W472" s="12">
        <f t="shared" si="54"/>
        <v>-1.7875074293153707E-4</v>
      </c>
      <c r="X472" s="12">
        <f t="shared" si="55"/>
        <v>2.007566109114237E-4</v>
      </c>
      <c r="Y472" s="12">
        <f t="shared" si="56"/>
        <v>3.6377701676430908E-5</v>
      </c>
      <c r="Z472" s="12">
        <f t="shared" si="57"/>
        <v>-3.1087085727223842E-4</v>
      </c>
    </row>
    <row r="473" spans="1:26" ht="13">
      <c r="A473" s="8" t="str">
        <f t="shared" ref="A473:A476" si="145">A472</f>
        <v>HMC</v>
      </c>
      <c r="B473" s="9">
        <v>2018</v>
      </c>
      <c r="C473" s="10">
        <v>98.18</v>
      </c>
      <c r="D473" s="10">
        <v>467.81</v>
      </c>
      <c r="E473" s="10">
        <v>887.43</v>
      </c>
      <c r="F473" s="10">
        <v>748.05</v>
      </c>
      <c r="G473" s="10">
        <v>450.11</v>
      </c>
      <c r="H473" s="10">
        <f t="shared" si="136"/>
        <v>0.11063407818081428</v>
      </c>
      <c r="I473" s="10">
        <f t="shared" si="137"/>
        <v>0.52715143729646285</v>
      </c>
      <c r="J473" s="10">
        <f t="shared" si="138"/>
        <v>1.6619270844904577</v>
      </c>
      <c r="K473" s="4">
        <f t="shared" si="118"/>
        <v>-1.7997378675617879</v>
      </c>
      <c r="L473" s="10">
        <f t="shared" si="129"/>
        <v>0.52715143729646285</v>
      </c>
      <c r="M473" s="10">
        <v>19.46</v>
      </c>
      <c r="N473" s="10">
        <v>12.1</v>
      </c>
      <c r="O473" s="10">
        <v>-27.96</v>
      </c>
      <c r="P473" s="11">
        <v>6.3E-3</v>
      </c>
      <c r="Q473" s="11">
        <f>(0.5+0.26+3.8+0.04)%</f>
        <v>4.5999999999999999E-2</v>
      </c>
      <c r="R473" s="12">
        <f t="shared" si="133"/>
        <v>2.192849013443314E-2</v>
      </c>
      <c r="S473" s="12">
        <f t="shared" si="134"/>
        <v>1.363487824391783E-2</v>
      </c>
      <c r="T473" s="12">
        <f t="shared" si="135"/>
        <v>-3.1506710388425008E-2</v>
      </c>
      <c r="U473" s="12">
        <f t="shared" si="65"/>
        <v>1.381494878469288E-4</v>
      </c>
      <c r="V473" s="12">
        <f t="shared" si="53"/>
        <v>8.5899732936682333E-5</v>
      </c>
      <c r="W473" s="12">
        <f t="shared" si="54"/>
        <v>-1.9849227544707754E-4</v>
      </c>
      <c r="X473" s="12">
        <f t="shared" si="55"/>
        <v>1.0087105461839244E-3</v>
      </c>
      <c r="Y473" s="12">
        <f t="shared" si="56"/>
        <v>6.2720439922022016E-4</v>
      </c>
      <c r="Z473" s="12">
        <f t="shared" si="57"/>
        <v>-1.4493086778675503E-3</v>
      </c>
    </row>
    <row r="474" spans="1:26" ht="13">
      <c r="A474" s="8" t="str">
        <f t="shared" si="145"/>
        <v>HMC</v>
      </c>
      <c r="B474" s="9">
        <v>2019</v>
      </c>
      <c r="C474" s="10">
        <v>11.4</v>
      </c>
      <c r="D474" s="10">
        <v>600.45000000000005</v>
      </c>
      <c r="E474" s="10">
        <v>953.64</v>
      </c>
      <c r="F474" s="10">
        <v>825.63</v>
      </c>
      <c r="G474" s="10">
        <v>581.02</v>
      </c>
      <c r="H474" s="10">
        <f t="shared" si="136"/>
        <v>1.1954196552158047E-2</v>
      </c>
      <c r="I474" s="10">
        <f t="shared" si="137"/>
        <v>0.62964011576695611</v>
      </c>
      <c r="J474" s="10">
        <f t="shared" si="138"/>
        <v>1.4210009982444667</v>
      </c>
      <c r="K474" s="4">
        <f t="shared" si="118"/>
        <v>-0.77052922860603867</v>
      </c>
      <c r="L474" s="10">
        <f t="shared" si="129"/>
        <v>0.62964011576695611</v>
      </c>
      <c r="M474" s="10">
        <v>249.4</v>
      </c>
      <c r="N474" s="10">
        <v>13.83</v>
      </c>
      <c r="O474" s="10">
        <v>-265.55</v>
      </c>
      <c r="P474" s="11">
        <v>2.1600000000000001E-2</v>
      </c>
      <c r="Q474" s="11">
        <f t="shared" ref="Q474:Q475" si="146">(0.26+0.01)%</f>
        <v>2.7000000000000001E-3</v>
      </c>
      <c r="R474" s="12">
        <f t="shared" si="133"/>
        <v>0.26152426492177344</v>
      </c>
      <c r="S474" s="12">
        <f t="shared" si="134"/>
        <v>1.4502327922486473E-2</v>
      </c>
      <c r="T474" s="12">
        <f t="shared" si="135"/>
        <v>-0.27845937670399734</v>
      </c>
      <c r="U474" s="12">
        <f t="shared" si="65"/>
        <v>5.6489241223103065E-3</v>
      </c>
      <c r="V474" s="12">
        <f t="shared" si="53"/>
        <v>3.1325028312570783E-4</v>
      </c>
      <c r="W474" s="12">
        <f t="shared" si="54"/>
        <v>-6.0147225368063426E-3</v>
      </c>
      <c r="X474" s="12">
        <f t="shared" si="55"/>
        <v>7.0611551528878831E-4</v>
      </c>
      <c r="Y474" s="12">
        <f t="shared" si="56"/>
        <v>3.9156285390713478E-5</v>
      </c>
      <c r="Z474" s="12">
        <f t="shared" si="57"/>
        <v>-7.5184031710079282E-4</v>
      </c>
    </row>
    <row r="475" spans="1:26" ht="13">
      <c r="A475" s="8" t="str">
        <f t="shared" si="145"/>
        <v>HMC</v>
      </c>
      <c r="B475" s="9">
        <v>2020</v>
      </c>
      <c r="C475" s="10">
        <v>67.27</v>
      </c>
      <c r="D475" s="10">
        <v>513.27</v>
      </c>
      <c r="E475" s="10">
        <v>892.99</v>
      </c>
      <c r="F475" s="10">
        <v>764.58</v>
      </c>
      <c r="G475" s="10">
        <v>491.53</v>
      </c>
      <c r="H475" s="10">
        <f t="shared" si="136"/>
        <v>7.5331190718821037E-2</v>
      </c>
      <c r="I475" s="10">
        <f t="shared" si="137"/>
        <v>0.57477687320126758</v>
      </c>
      <c r="J475" s="10">
        <f t="shared" si="138"/>
        <v>1.55551034524851</v>
      </c>
      <c r="K475" s="4">
        <f t="shared" ref="K475:K538" si="147">-4.3 -4.5*(C475/E475)+5.7*(D475/E475)-0.004*(F475/G475)</f>
        <v>-1.3689842223684627</v>
      </c>
      <c r="L475" s="10">
        <f t="shared" si="129"/>
        <v>0.57477687320126758</v>
      </c>
      <c r="M475" s="10">
        <v>15.32</v>
      </c>
      <c r="N475" s="10">
        <v>0.68</v>
      </c>
      <c r="O475" s="10">
        <v>-24.81</v>
      </c>
      <c r="P475" s="11">
        <v>9.1999999999999998E-3</v>
      </c>
      <c r="Q475" s="11">
        <f t="shared" si="146"/>
        <v>2.7000000000000001E-3</v>
      </c>
      <c r="R475" s="12">
        <f t="shared" si="133"/>
        <v>1.7155847209935161E-2</v>
      </c>
      <c r="S475" s="12">
        <f t="shared" si="134"/>
        <v>7.6148669078041195E-4</v>
      </c>
      <c r="T475" s="12">
        <f t="shared" si="135"/>
        <v>-2.7783065879797085E-2</v>
      </c>
      <c r="U475" s="12">
        <f t="shared" si="65"/>
        <v>1.5783379433140349E-4</v>
      </c>
      <c r="V475" s="12">
        <f t="shared" si="53"/>
        <v>7.0056775551797901E-6</v>
      </c>
      <c r="W475" s="12">
        <f t="shared" si="54"/>
        <v>-2.5560420609413317E-4</v>
      </c>
      <c r="X475" s="12">
        <f t="shared" si="55"/>
        <v>4.6320787466824939E-5</v>
      </c>
      <c r="Y475" s="12">
        <f t="shared" si="56"/>
        <v>2.0560140651071124E-6</v>
      </c>
      <c r="Z475" s="12">
        <f t="shared" si="57"/>
        <v>-7.5014277875452137E-5</v>
      </c>
    </row>
    <row r="476" spans="1:26" ht="13">
      <c r="A476" s="8" t="str">
        <f t="shared" si="145"/>
        <v>HMC</v>
      </c>
      <c r="B476" s="9">
        <v>2021</v>
      </c>
      <c r="C476" s="10">
        <v>142.09</v>
      </c>
      <c r="D476" s="10">
        <v>777.39</v>
      </c>
      <c r="E476" s="10">
        <v>1261.5999999999999</v>
      </c>
      <c r="F476" s="10">
        <v>1136.22</v>
      </c>
      <c r="G476" s="10">
        <v>754.47</v>
      </c>
      <c r="H476" s="10">
        <f t="shared" si="136"/>
        <v>0.1126268230818009</v>
      </c>
      <c r="I476" s="10">
        <f t="shared" si="137"/>
        <v>0.61619372225745084</v>
      </c>
      <c r="J476" s="10">
        <f t="shared" si="138"/>
        <v>1.5059843333730962</v>
      </c>
      <c r="K476" s="4">
        <f t="shared" si="147"/>
        <v>-1.3005404243341259</v>
      </c>
      <c r="L476" s="10">
        <f t="shared" si="129"/>
        <v>0.61619372225745084</v>
      </c>
      <c r="M476" s="10">
        <v>17.59</v>
      </c>
      <c r="N476" s="10">
        <v>1.87</v>
      </c>
      <c r="O476" s="10">
        <v>-12.55</v>
      </c>
      <c r="P476" s="11">
        <v>1.8499999999999999E-2</v>
      </c>
      <c r="Q476" s="11">
        <v>1E-4</v>
      </c>
      <c r="R476" s="12">
        <f t="shared" si="133"/>
        <v>1.3942612555485099E-2</v>
      </c>
      <c r="S476" s="12">
        <f t="shared" si="134"/>
        <v>1.4822447685478759E-3</v>
      </c>
      <c r="T476" s="12">
        <f t="shared" si="135"/>
        <v>-9.9476854787571359E-3</v>
      </c>
      <c r="U476" s="12">
        <f t="shared" si="65"/>
        <v>2.5793833227647433E-4</v>
      </c>
      <c r="V476" s="12">
        <f t="shared" si="53"/>
        <v>2.7421528218135702E-5</v>
      </c>
      <c r="W476" s="12">
        <f t="shared" si="54"/>
        <v>-1.8403218135700701E-4</v>
      </c>
      <c r="X476" s="12">
        <f t="shared" si="55"/>
        <v>1.39426125554851E-6</v>
      </c>
      <c r="Y476" s="12">
        <f t="shared" si="56"/>
        <v>1.4822447685478761E-7</v>
      </c>
      <c r="Z476" s="12">
        <f t="shared" si="57"/>
        <v>-9.9476854787571362E-7</v>
      </c>
    </row>
    <row r="477" spans="1:26" ht="13">
      <c r="A477" s="8" t="s">
        <v>113</v>
      </c>
      <c r="B477" s="9">
        <v>2017</v>
      </c>
      <c r="C477" s="10">
        <v>530.46</v>
      </c>
      <c r="D477" s="10">
        <v>22129.41</v>
      </c>
      <c r="E477" s="10">
        <v>32282.18</v>
      </c>
      <c r="F477" s="10">
        <v>4416.62</v>
      </c>
      <c r="G477" s="10">
        <v>6601.21</v>
      </c>
      <c r="H477" s="10">
        <f t="shared" si="136"/>
        <v>1.6431975783543738E-2</v>
      </c>
      <c r="I477" s="10">
        <f t="shared" si="137"/>
        <v>0.68549924447481547</v>
      </c>
      <c r="J477" s="10">
        <f t="shared" si="138"/>
        <v>0.6690621870838831</v>
      </c>
      <c r="K477" s="4">
        <f t="shared" si="147"/>
        <v>-0.46927444626783438</v>
      </c>
      <c r="L477" s="10">
        <f t="shared" si="129"/>
        <v>0.68549924447481547</v>
      </c>
      <c r="M477" s="10">
        <v>1235.96</v>
      </c>
      <c r="N477" s="10">
        <v>1032.69</v>
      </c>
      <c r="O477" s="10">
        <v>-2526.84</v>
      </c>
      <c r="P477" s="11">
        <v>1.2999999999999999E-2</v>
      </c>
      <c r="Q477" s="11">
        <f>(0.001+0.066)%</f>
        <v>6.7000000000000002E-4</v>
      </c>
      <c r="R477" s="12">
        <f t="shared" si="133"/>
        <v>3.8286138048917388E-2</v>
      </c>
      <c r="S477" s="12">
        <f t="shared" si="134"/>
        <v>3.1989475308049208E-2</v>
      </c>
      <c r="T477" s="12">
        <f t="shared" si="135"/>
        <v>-7.8273524278719725E-2</v>
      </c>
      <c r="U477" s="12">
        <f t="shared" si="65"/>
        <v>4.9771979463592605E-4</v>
      </c>
      <c r="V477" s="12">
        <f t="shared" si="53"/>
        <v>4.1586317900463966E-4</v>
      </c>
      <c r="W477" s="12">
        <f t="shared" si="54"/>
        <v>-1.0175558156233565E-3</v>
      </c>
      <c r="X477" s="12">
        <f t="shared" si="55"/>
        <v>2.5651712492774651E-5</v>
      </c>
      <c r="Y477" s="12">
        <f t="shared" si="56"/>
        <v>2.1432948456392971E-5</v>
      </c>
      <c r="Z477" s="12">
        <f t="shared" si="57"/>
        <v>-5.2443261266742215E-5</v>
      </c>
    </row>
    <row r="478" spans="1:26" ht="13">
      <c r="A478" s="8" t="str">
        <f t="shared" ref="A478:A481" si="148">A477</f>
        <v>HNG</v>
      </c>
      <c r="B478" s="9">
        <v>2018</v>
      </c>
      <c r="C478" s="10">
        <v>-656.11</v>
      </c>
      <c r="D478" s="10">
        <v>19855.669999999998</v>
      </c>
      <c r="E478" s="10">
        <v>30531.55</v>
      </c>
      <c r="F478" s="10">
        <v>4177.43</v>
      </c>
      <c r="G478" s="10">
        <v>8513.5499999999993</v>
      </c>
      <c r="H478" s="10">
        <f t="shared" si="136"/>
        <v>-2.1489573899785633E-2</v>
      </c>
      <c r="I478" s="10">
        <f t="shared" si="137"/>
        <v>0.6503328524100479</v>
      </c>
      <c r="J478" s="10">
        <f t="shared" si="138"/>
        <v>0.49068015105332097</v>
      </c>
      <c r="K478" s="4">
        <f t="shared" si="147"/>
        <v>-0.49836237931790511</v>
      </c>
      <c r="L478" s="10">
        <f t="shared" si="129"/>
        <v>0.6503328524100479</v>
      </c>
      <c r="M478" s="10">
        <v>-1663.21</v>
      </c>
      <c r="N478" s="10">
        <v>-1255.98</v>
      </c>
      <c r="O478" s="10">
        <v>2938.38</v>
      </c>
      <c r="P478" s="11">
        <v>8.2000000000000007E-3</v>
      </c>
      <c r="Q478" s="11">
        <f>(0.001+0.057)%</f>
        <v>5.8E-4</v>
      </c>
      <c r="R478" s="12">
        <f t="shared" si="133"/>
        <v>-5.4475124911771595E-2</v>
      </c>
      <c r="S478" s="12">
        <f t="shared" si="134"/>
        <v>-4.1137118816437425E-2</v>
      </c>
      <c r="T478" s="12">
        <f t="shared" si="135"/>
        <v>9.6240773887994555E-2</v>
      </c>
      <c r="U478" s="12">
        <f t="shared" si="65"/>
        <v>-4.4669602427652714E-4</v>
      </c>
      <c r="V478" s="12">
        <f t="shared" si="53"/>
        <v>-3.3732437429478691E-4</v>
      </c>
      <c r="W478" s="12">
        <f t="shared" si="54"/>
        <v>7.891743458815554E-4</v>
      </c>
      <c r="X478" s="12">
        <f t="shared" si="55"/>
        <v>-3.1595572448827529E-5</v>
      </c>
      <c r="Y478" s="12">
        <f t="shared" si="56"/>
        <v>-2.3859528913533708E-5</v>
      </c>
      <c r="Z478" s="12">
        <f t="shared" si="57"/>
        <v>5.5819648855036841E-5</v>
      </c>
    </row>
    <row r="479" spans="1:26" ht="13">
      <c r="A479" s="8" t="str">
        <f t="shared" si="148"/>
        <v>HNG</v>
      </c>
      <c r="B479" s="9">
        <v>2019</v>
      </c>
      <c r="C479" s="10">
        <v>-2444.4</v>
      </c>
      <c r="D479" s="10">
        <v>13542.54</v>
      </c>
      <c r="E479" s="10">
        <v>23280.49</v>
      </c>
      <c r="F479" s="10">
        <v>3872.42</v>
      </c>
      <c r="G479" s="10">
        <v>7912.95</v>
      </c>
      <c r="H479" s="10">
        <f t="shared" si="136"/>
        <v>-0.10499778999497003</v>
      </c>
      <c r="I479" s="10">
        <f t="shared" si="137"/>
        <v>0.58171198286633996</v>
      </c>
      <c r="J479" s="10">
        <f t="shared" si="138"/>
        <v>0.48937753935005279</v>
      </c>
      <c r="K479" s="4">
        <f t="shared" si="147"/>
        <v>-0.51370915284189722</v>
      </c>
      <c r="L479" s="10">
        <f t="shared" si="129"/>
        <v>0.58171198286633996</v>
      </c>
      <c r="M479" s="10">
        <v>-1831.57</v>
      </c>
      <c r="N479" s="10">
        <v>4604</v>
      </c>
      <c r="O479" s="10">
        <v>-2733.39</v>
      </c>
      <c r="P479" s="11">
        <v>3.0999999999999999E-3</v>
      </c>
      <c r="Q479" s="11">
        <f>(0.05+0.05)%</f>
        <v>1E-3</v>
      </c>
      <c r="R479" s="12">
        <f t="shared" si="133"/>
        <v>-7.8674031345560155E-2</v>
      </c>
      <c r="S479" s="12">
        <f t="shared" si="134"/>
        <v>0.19776216050435363</v>
      </c>
      <c r="T479" s="12">
        <f t="shared" si="135"/>
        <v>-0.11741118851020746</v>
      </c>
      <c r="U479" s="12">
        <f t="shared" si="65"/>
        <v>-2.4388949717123648E-4</v>
      </c>
      <c r="V479" s="12">
        <f t="shared" si="53"/>
        <v>6.1306269756349627E-4</v>
      </c>
      <c r="W479" s="12">
        <f t="shared" si="54"/>
        <v>-3.6397468438164314E-4</v>
      </c>
      <c r="X479" s="12">
        <f t="shared" si="55"/>
        <v>-7.8674031345560153E-5</v>
      </c>
      <c r="Y479" s="12">
        <f t="shared" si="56"/>
        <v>1.9776216050435363E-4</v>
      </c>
      <c r="Z479" s="12">
        <f t="shared" si="57"/>
        <v>-1.1741118851020746E-4</v>
      </c>
    </row>
    <row r="480" spans="1:26" ht="13">
      <c r="A480" s="8" t="str">
        <f t="shared" si="148"/>
        <v>HNG</v>
      </c>
      <c r="B480" s="9">
        <v>2020</v>
      </c>
      <c r="C480" s="10">
        <v>20.9</v>
      </c>
      <c r="D480" s="10">
        <v>15989.85</v>
      </c>
      <c r="E480" s="10">
        <v>24669.87</v>
      </c>
      <c r="F480" s="10">
        <v>6229.93</v>
      </c>
      <c r="G480" s="10">
        <v>10978.68</v>
      </c>
      <c r="H480" s="10">
        <f t="shared" si="136"/>
        <v>8.4718727743599779E-4</v>
      </c>
      <c r="I480" s="10">
        <f t="shared" si="137"/>
        <v>0.6481529898617221</v>
      </c>
      <c r="J480" s="10">
        <f t="shared" si="138"/>
        <v>0.56745710777616254</v>
      </c>
      <c r="K480" s="4">
        <f t="shared" si="147"/>
        <v>-0.61161012896775091</v>
      </c>
      <c r="L480" s="10">
        <f t="shared" si="129"/>
        <v>0.6481529898617221</v>
      </c>
      <c r="M480" s="10">
        <v>-26.05</v>
      </c>
      <c r="N480" s="10">
        <v>-2589.11</v>
      </c>
      <c r="O480" s="10">
        <v>2530.37</v>
      </c>
      <c r="P480" s="11">
        <v>1E-3</v>
      </c>
      <c r="Q480" s="11">
        <v>4.58E-2</v>
      </c>
      <c r="R480" s="12">
        <f t="shared" si="133"/>
        <v>-1.0559439510625715E-3</v>
      </c>
      <c r="S480" s="12">
        <f t="shared" si="134"/>
        <v>-0.1049502895637472</v>
      </c>
      <c r="T480" s="12">
        <f t="shared" si="135"/>
        <v>0.10256924742611129</v>
      </c>
      <c r="U480" s="12">
        <f t="shared" si="65"/>
        <v>-1.0559439510625716E-6</v>
      </c>
      <c r="V480" s="12">
        <f t="shared" si="53"/>
        <v>-1.0495028956374721E-4</v>
      </c>
      <c r="W480" s="12">
        <f t="shared" si="54"/>
        <v>1.0256924742611128E-4</v>
      </c>
      <c r="X480" s="12">
        <f t="shared" si="55"/>
        <v>-4.8362232958665774E-5</v>
      </c>
      <c r="Y480" s="12">
        <f t="shared" si="56"/>
        <v>-4.8067232620196219E-3</v>
      </c>
      <c r="Z480" s="12">
        <f t="shared" si="57"/>
        <v>4.697671532115897E-3</v>
      </c>
    </row>
    <row r="481" spans="1:26" ht="13">
      <c r="A481" s="8" t="str">
        <f t="shared" si="148"/>
        <v>HNG</v>
      </c>
      <c r="B481" s="9">
        <v>2021</v>
      </c>
      <c r="C481" s="10">
        <v>-1119.43</v>
      </c>
      <c r="D481" s="10">
        <v>8020.02</v>
      </c>
      <c r="E481" s="10">
        <v>14017.05</v>
      </c>
      <c r="F481" s="10">
        <v>2848.62</v>
      </c>
      <c r="G481" s="10">
        <v>4828.42</v>
      </c>
      <c r="H481" s="10">
        <f t="shared" si="136"/>
        <v>-7.9862025176481513E-2</v>
      </c>
      <c r="I481" s="10">
        <f t="shared" si="137"/>
        <v>0.57216176014211273</v>
      </c>
      <c r="J481" s="10">
        <f t="shared" si="138"/>
        <v>0.58996938957257239</v>
      </c>
      <c r="K481" s="4">
        <f t="shared" si="147"/>
        <v>-0.68165873145408096</v>
      </c>
      <c r="L481" s="10">
        <f t="shared" si="129"/>
        <v>0.57216176014211273</v>
      </c>
      <c r="M481" s="10">
        <v>-1586.07</v>
      </c>
      <c r="N481" s="10">
        <v>2803.36</v>
      </c>
      <c r="O481" s="10">
        <v>-1214.06</v>
      </c>
      <c r="P481" s="11">
        <v>1.7399999999999999E-2</v>
      </c>
      <c r="Q481" s="11">
        <v>4.58E-2</v>
      </c>
      <c r="R481" s="12">
        <f t="shared" si="133"/>
        <v>-0.11315291020578509</v>
      </c>
      <c r="S481" s="12">
        <f t="shared" si="134"/>
        <v>0.19999643291562777</v>
      </c>
      <c r="T481" s="12">
        <f t="shared" si="135"/>
        <v>-8.661308905939552E-2</v>
      </c>
      <c r="U481" s="12">
        <f t="shared" si="65"/>
        <v>-1.9688606375806604E-3</v>
      </c>
      <c r="V481" s="12">
        <f t="shared" si="53"/>
        <v>3.4799379327319232E-3</v>
      </c>
      <c r="W481" s="12">
        <f t="shared" si="54"/>
        <v>-1.507067749633482E-3</v>
      </c>
      <c r="X481" s="12">
        <f t="shared" si="55"/>
        <v>-5.1824032874249575E-3</v>
      </c>
      <c r="Y481" s="12">
        <f t="shared" si="56"/>
        <v>9.1598366275357519E-3</v>
      </c>
      <c r="Z481" s="12">
        <f t="shared" si="57"/>
        <v>-3.9668794789203153E-3</v>
      </c>
    </row>
    <row r="482" spans="1:26" ht="13">
      <c r="A482" s="8" t="s">
        <v>114</v>
      </c>
      <c r="B482" s="9">
        <v>2017</v>
      </c>
      <c r="C482" s="10">
        <v>11.59</v>
      </c>
      <c r="D482" s="10">
        <v>36.520000000000003</v>
      </c>
      <c r="E482" s="10">
        <v>148.16999999999999</v>
      </c>
      <c r="F482" s="10">
        <v>42.24</v>
      </c>
      <c r="G482" s="10">
        <v>28.42</v>
      </c>
      <c r="H482" s="10">
        <f t="shared" si="136"/>
        <v>7.8220962408044825E-2</v>
      </c>
      <c r="I482" s="10">
        <f t="shared" si="137"/>
        <v>0.2464736451373423</v>
      </c>
      <c r="J482" s="10">
        <f t="shared" si="138"/>
        <v>1.4862772695285011</v>
      </c>
      <c r="K482" s="4">
        <f t="shared" si="147"/>
        <v>-3.2530396626314646</v>
      </c>
      <c r="L482" s="10">
        <f t="shared" si="129"/>
        <v>0.2464736451373423</v>
      </c>
      <c r="M482" s="10">
        <v>32.590000000000003</v>
      </c>
      <c r="N482" s="10">
        <v>-2.54</v>
      </c>
      <c r="O482" s="10">
        <v>-8.7200000000000006</v>
      </c>
      <c r="P482" s="11">
        <v>2.0000000000000001E-4</v>
      </c>
      <c r="Q482" s="11">
        <f t="shared" ref="Q482:Q484" si="149">(0.04)%</f>
        <v>4.0000000000000002E-4</v>
      </c>
      <c r="R482" s="12">
        <f t="shared" si="133"/>
        <v>0.21995005736653847</v>
      </c>
      <c r="S482" s="12">
        <f t="shared" si="134"/>
        <v>-1.7142471485455897E-2</v>
      </c>
      <c r="T482" s="12">
        <f t="shared" si="135"/>
        <v>-5.8851319430384026E-2</v>
      </c>
      <c r="U482" s="12">
        <f t="shared" si="65"/>
        <v>4.3990011473307693E-5</v>
      </c>
      <c r="V482" s="12">
        <f t="shared" si="53"/>
        <v>-3.4284942970911795E-6</v>
      </c>
      <c r="W482" s="12">
        <f t="shared" si="54"/>
        <v>-1.1770263886076806E-5</v>
      </c>
      <c r="X482" s="12">
        <f t="shared" si="55"/>
        <v>8.7980022946615387E-5</v>
      </c>
      <c r="Y482" s="12">
        <f t="shared" si="56"/>
        <v>-6.8569885941823591E-6</v>
      </c>
      <c r="Z482" s="12">
        <f t="shared" si="57"/>
        <v>-2.3540527772153612E-5</v>
      </c>
    </row>
    <row r="483" spans="1:26" ht="13">
      <c r="A483" s="8" t="str">
        <f t="shared" ref="A483:A486" si="150">A482</f>
        <v>HOT</v>
      </c>
      <c r="B483" s="9">
        <v>2018</v>
      </c>
      <c r="C483" s="10">
        <v>19.66</v>
      </c>
      <c r="D483" s="10">
        <v>28.38</v>
      </c>
      <c r="E483" s="10">
        <v>148.72999999999999</v>
      </c>
      <c r="F483" s="10">
        <v>59.26</v>
      </c>
      <c r="G483" s="10">
        <v>27.53</v>
      </c>
      <c r="H483" s="10">
        <f t="shared" si="136"/>
        <v>0.13218584011295637</v>
      </c>
      <c r="I483" s="10">
        <f t="shared" si="137"/>
        <v>0.19081557184159215</v>
      </c>
      <c r="J483" s="10">
        <f t="shared" si="138"/>
        <v>2.152560842717036</v>
      </c>
      <c r="K483" s="4">
        <f t="shared" si="147"/>
        <v>-3.8157977643820966</v>
      </c>
      <c r="L483" s="10">
        <f t="shared" si="129"/>
        <v>0.19081557184159215</v>
      </c>
      <c r="M483" s="10">
        <v>38.520000000000003</v>
      </c>
      <c r="N483" s="10">
        <v>0.59</v>
      </c>
      <c r="O483" s="10">
        <v>-19.920000000000002</v>
      </c>
      <c r="P483" s="11">
        <v>2.0000000000000001E-4</v>
      </c>
      <c r="Q483" s="11">
        <f t="shared" si="149"/>
        <v>4.0000000000000002E-4</v>
      </c>
      <c r="R483" s="12">
        <f t="shared" si="133"/>
        <v>0.25899280575539574</v>
      </c>
      <c r="S483" s="12">
        <f t="shared" si="134"/>
        <v>3.9669199220063204E-3</v>
      </c>
      <c r="T483" s="12">
        <f t="shared" si="135"/>
        <v>-0.13393397431587442</v>
      </c>
      <c r="U483" s="12">
        <f t="shared" si="65"/>
        <v>5.179856115107915E-5</v>
      </c>
      <c r="V483" s="12">
        <f t="shared" si="53"/>
        <v>7.933839844012641E-7</v>
      </c>
      <c r="W483" s="12">
        <f t="shared" si="54"/>
        <v>-2.6786794863174884E-5</v>
      </c>
      <c r="X483" s="12">
        <f t="shared" si="55"/>
        <v>1.035971223021583E-4</v>
      </c>
      <c r="Y483" s="12">
        <f t="shared" si="56"/>
        <v>1.5867679688025282E-6</v>
      </c>
      <c r="Z483" s="12">
        <f t="shared" si="57"/>
        <v>-5.3573589726349768E-5</v>
      </c>
    </row>
    <row r="484" spans="1:26" ht="13">
      <c r="A484" s="8" t="str">
        <f t="shared" si="150"/>
        <v>HOT</v>
      </c>
      <c r="B484" s="9">
        <v>2019</v>
      </c>
      <c r="C484" s="10">
        <v>12.6</v>
      </c>
      <c r="D484" s="10">
        <v>29.34</v>
      </c>
      <c r="E484" s="10">
        <v>144.59</v>
      </c>
      <c r="F484" s="10">
        <v>72.88</v>
      </c>
      <c r="G484" s="10">
        <v>28.84</v>
      </c>
      <c r="H484" s="10">
        <f t="shared" si="136"/>
        <v>8.7142955944394487E-2</v>
      </c>
      <c r="I484" s="10">
        <f t="shared" si="137"/>
        <v>0.20291859741337576</v>
      </c>
      <c r="J484" s="10">
        <f t="shared" si="138"/>
        <v>2.5270457697642161</v>
      </c>
      <c r="K484" s="4">
        <f t="shared" si="147"/>
        <v>-3.5456154795725903</v>
      </c>
      <c r="L484" s="10">
        <f t="shared" si="129"/>
        <v>0.20291859741337576</v>
      </c>
      <c r="M484" s="10">
        <v>27.07</v>
      </c>
      <c r="N484" s="10">
        <v>-42.54</v>
      </c>
      <c r="O484" s="10">
        <v>-16.32</v>
      </c>
      <c r="P484" s="11">
        <v>2.0000000000000001E-4</v>
      </c>
      <c r="Q484" s="11">
        <f t="shared" si="149"/>
        <v>4.0000000000000002E-4</v>
      </c>
      <c r="R484" s="12">
        <f t="shared" si="133"/>
        <v>0.18721903312815547</v>
      </c>
      <c r="S484" s="12">
        <f t="shared" si="134"/>
        <v>-0.29421121792655092</v>
      </c>
      <c r="T484" s="12">
        <f t="shared" si="135"/>
        <v>-0.11287087627083478</v>
      </c>
      <c r="U484" s="12">
        <f t="shared" si="65"/>
        <v>3.7443806625631097E-5</v>
      </c>
      <c r="V484" s="12">
        <f t="shared" si="53"/>
        <v>-5.8842243585310183E-5</v>
      </c>
      <c r="W484" s="12">
        <f t="shared" si="54"/>
        <v>-2.2574175254166957E-5</v>
      </c>
      <c r="X484" s="12">
        <f t="shared" si="55"/>
        <v>7.4887613251262193E-5</v>
      </c>
      <c r="Y484" s="12">
        <f t="shared" si="56"/>
        <v>-1.1768448717062037E-4</v>
      </c>
      <c r="Z484" s="12">
        <f t="shared" si="57"/>
        <v>-4.5148350508333914E-5</v>
      </c>
    </row>
    <row r="485" spans="1:26" ht="13">
      <c r="A485" s="8" t="str">
        <f t="shared" si="150"/>
        <v>HOT</v>
      </c>
      <c r="B485" s="9">
        <v>2020</v>
      </c>
      <c r="C485" s="10">
        <v>-25.07</v>
      </c>
      <c r="D485" s="10">
        <v>11.1</v>
      </c>
      <c r="E485" s="10">
        <v>89.16</v>
      </c>
      <c r="F485" s="10">
        <v>26.55</v>
      </c>
      <c r="G485" s="10">
        <v>10.46</v>
      </c>
      <c r="H485" s="10">
        <f t="shared" si="136"/>
        <v>-0.28117990130103188</v>
      </c>
      <c r="I485" s="10">
        <f t="shared" si="137"/>
        <v>0.12449528936742935</v>
      </c>
      <c r="J485" s="10">
        <f t="shared" si="138"/>
        <v>2.5382409177820264</v>
      </c>
      <c r="K485" s="4">
        <f t="shared" si="147"/>
        <v>-2.3352202584221371</v>
      </c>
      <c r="L485" s="10">
        <f t="shared" si="129"/>
        <v>0.12449528936742935</v>
      </c>
      <c r="M485" s="10">
        <v>-27.79</v>
      </c>
      <c r="N485" s="10">
        <v>35.32</v>
      </c>
      <c r="O485" s="10">
        <v>-11.2</v>
      </c>
      <c r="P485" s="11">
        <v>2.0000000000000001E-4</v>
      </c>
      <c r="Q485" s="11">
        <f>(3.89+0.06+0.05)%</f>
        <v>0.04</v>
      </c>
      <c r="R485" s="12">
        <f t="shared" si="133"/>
        <v>-0.31168685509196947</v>
      </c>
      <c r="S485" s="12">
        <f t="shared" si="134"/>
        <v>0.39614176760879322</v>
      </c>
      <c r="T485" s="12">
        <f t="shared" si="135"/>
        <v>-0.12561686855091969</v>
      </c>
      <c r="U485" s="12">
        <f t="shared" si="65"/>
        <v>-6.2337371018393901E-5</v>
      </c>
      <c r="V485" s="12">
        <f t="shared" si="53"/>
        <v>7.9228353521758641E-5</v>
      </c>
      <c r="W485" s="12">
        <f t="shared" si="54"/>
        <v>-2.512337371018394E-5</v>
      </c>
      <c r="X485" s="12">
        <f t="shared" si="55"/>
        <v>-1.246747420367878E-2</v>
      </c>
      <c r="Y485" s="12">
        <f t="shared" si="56"/>
        <v>1.5845670704351729E-2</v>
      </c>
      <c r="Z485" s="12">
        <f t="shared" si="57"/>
        <v>-5.0246747420367877E-3</v>
      </c>
    </row>
    <row r="486" spans="1:26" ht="13">
      <c r="A486" s="8" t="str">
        <f t="shared" si="150"/>
        <v>HOT</v>
      </c>
      <c r="B486" s="9">
        <v>2021</v>
      </c>
      <c r="C486" s="10">
        <v>-21.1</v>
      </c>
      <c r="D486" s="10">
        <v>19.03</v>
      </c>
      <c r="E486" s="10">
        <v>75.989999999999995</v>
      </c>
      <c r="F486" s="10">
        <v>14.81</v>
      </c>
      <c r="G486" s="10">
        <v>18.28</v>
      </c>
      <c r="H486" s="10">
        <f t="shared" si="136"/>
        <v>-0.27766811422555604</v>
      </c>
      <c r="I486" s="10">
        <f t="shared" si="137"/>
        <v>0.25042768785366498</v>
      </c>
      <c r="J486" s="10">
        <f t="shared" si="138"/>
        <v>0.81017505470459517</v>
      </c>
      <c r="K486" s="4">
        <f t="shared" si="147"/>
        <v>-1.6262963654379254</v>
      </c>
      <c r="L486" s="10">
        <f t="shared" si="129"/>
        <v>0.25042768785366498</v>
      </c>
      <c r="M486" s="10">
        <v>-8.08</v>
      </c>
      <c r="N486" s="10">
        <v>8.18</v>
      </c>
      <c r="O486" s="10">
        <v>0</v>
      </c>
      <c r="P486" s="11">
        <v>8.0000000000000004E-4</v>
      </c>
      <c r="Q486" s="11">
        <f>(3.8936+0.0517)%</f>
        <v>3.9453000000000002E-2</v>
      </c>
      <c r="R486" s="12">
        <f t="shared" si="133"/>
        <v>-0.10632978023424136</v>
      </c>
      <c r="S486" s="12">
        <f t="shared" si="134"/>
        <v>0.10764574286090275</v>
      </c>
      <c r="T486" s="12">
        <f t="shared" si="135"/>
        <v>0</v>
      </c>
      <c r="U486" s="12">
        <f t="shared" si="65"/>
        <v>-8.5063824187393093E-5</v>
      </c>
      <c r="V486" s="12">
        <f t="shared" si="53"/>
        <v>8.611659428872221E-5</v>
      </c>
      <c r="W486" s="12">
        <f t="shared" si="54"/>
        <v>0</v>
      </c>
      <c r="X486" s="12">
        <f t="shared" si="55"/>
        <v>-4.195028819581525E-3</v>
      </c>
      <c r="Y486" s="12">
        <f t="shared" si="56"/>
        <v>4.2469474930911964E-3</v>
      </c>
      <c r="Z486" s="12">
        <f t="shared" si="57"/>
        <v>0</v>
      </c>
    </row>
    <row r="487" spans="1:26" ht="13">
      <c r="A487" s="8" t="s">
        <v>115</v>
      </c>
      <c r="B487" s="9">
        <v>2017</v>
      </c>
      <c r="C487" s="10">
        <v>8014.76</v>
      </c>
      <c r="D487" s="10">
        <v>20624.599999999999</v>
      </c>
      <c r="E487" s="10">
        <v>53022.18</v>
      </c>
      <c r="F487" s="10">
        <v>33068.06</v>
      </c>
      <c r="G487" s="10">
        <v>18519.72</v>
      </c>
      <c r="H487" s="10">
        <f t="shared" si="136"/>
        <v>0.15115862833252047</v>
      </c>
      <c r="I487" s="10">
        <f t="shared" si="137"/>
        <v>0.38898061151012647</v>
      </c>
      <c r="J487" s="10">
        <f t="shared" si="138"/>
        <v>1.785559392906588</v>
      </c>
      <c r="K487" s="4">
        <f t="shared" si="147"/>
        <v>-2.770166579460247</v>
      </c>
      <c r="L487" s="10">
        <f t="shared" si="129"/>
        <v>0.38898061151012647</v>
      </c>
      <c r="M487" s="10">
        <v>6058.32</v>
      </c>
      <c r="N487" s="10">
        <v>-17925.77</v>
      </c>
      <c r="O487" s="10">
        <v>11573.69</v>
      </c>
      <c r="P487" s="11">
        <v>0.40179999999999999</v>
      </c>
      <c r="Q487" s="11">
        <f>(25.15+2.68+2.63+1.98+1.98+0.13+0.49+0.38)%</f>
        <v>0.35420000000000001</v>
      </c>
      <c r="R487" s="12">
        <f t="shared" si="133"/>
        <v>0.11426010775113357</v>
      </c>
      <c r="S487" s="12">
        <f t="shared" si="134"/>
        <v>-0.33808059193341355</v>
      </c>
      <c r="T487" s="12">
        <f t="shared" si="135"/>
        <v>0.21828016124572774</v>
      </c>
      <c r="U487" s="12">
        <f t="shared" si="65"/>
        <v>4.5909711294405471E-2</v>
      </c>
      <c r="V487" s="12">
        <f t="shared" si="53"/>
        <v>-0.13584078183884557</v>
      </c>
      <c r="W487" s="12">
        <f t="shared" si="54"/>
        <v>8.77049687885334E-2</v>
      </c>
      <c r="X487" s="12">
        <f t="shared" si="55"/>
        <v>4.0470930165451516E-2</v>
      </c>
      <c r="Y487" s="12">
        <f t="shared" si="56"/>
        <v>-0.11974814566281508</v>
      </c>
      <c r="Z487" s="12">
        <f t="shared" si="57"/>
        <v>7.7314833113236767E-2</v>
      </c>
    </row>
    <row r="488" spans="1:26" ht="13">
      <c r="A488" s="8" t="str">
        <f t="shared" ref="A488:A491" si="151">A487</f>
        <v>HPG</v>
      </c>
      <c r="B488" s="9">
        <v>2018</v>
      </c>
      <c r="C488" s="10">
        <v>8600.5499999999993</v>
      </c>
      <c r="D488" s="10">
        <v>37600.06</v>
      </c>
      <c r="E488" s="10">
        <v>78223.009999999995</v>
      </c>
      <c r="F488" s="10">
        <v>25308.73</v>
      </c>
      <c r="G488" s="10">
        <v>22636.15</v>
      </c>
      <c r="H488" s="10">
        <f t="shared" si="136"/>
        <v>0.10994910576823878</v>
      </c>
      <c r="I488" s="10">
        <f t="shared" si="137"/>
        <v>0.4806777443107853</v>
      </c>
      <c r="J488" s="10">
        <f t="shared" si="138"/>
        <v>1.1180668974185097</v>
      </c>
      <c r="K488" s="4">
        <f t="shared" si="147"/>
        <v>-2.0593801009752721</v>
      </c>
      <c r="L488" s="10">
        <f t="shared" si="129"/>
        <v>0.4806777443107853</v>
      </c>
      <c r="M488" s="10">
        <v>7642.34</v>
      </c>
      <c r="N488" s="10">
        <v>-20533.13</v>
      </c>
      <c r="O488" s="10">
        <v>11142.51</v>
      </c>
      <c r="P488" s="11">
        <v>0.4</v>
      </c>
      <c r="Q488" s="11">
        <f>(25.15+2.68+2.63+1.98+1.98+0.13+0.49+0.32)%</f>
        <v>0.35359999999999997</v>
      </c>
      <c r="R488" s="12">
        <f t="shared" si="133"/>
        <v>9.7699385385451171E-2</v>
      </c>
      <c r="S488" s="12">
        <f t="shared" si="134"/>
        <v>-0.26249475697751856</v>
      </c>
      <c r="T488" s="12">
        <f t="shared" si="135"/>
        <v>0.14244542622432965</v>
      </c>
      <c r="U488" s="12">
        <f t="shared" si="65"/>
        <v>3.9079754154180468E-2</v>
      </c>
      <c r="V488" s="12">
        <f t="shared" si="53"/>
        <v>-0.10499790279100743</v>
      </c>
      <c r="W488" s="12">
        <f t="shared" si="54"/>
        <v>5.6978170489731861E-2</v>
      </c>
      <c r="X488" s="12">
        <f t="shared" si="55"/>
        <v>3.4546502672295532E-2</v>
      </c>
      <c r="Y488" s="12">
        <f t="shared" si="56"/>
        <v>-9.2818146067250556E-2</v>
      </c>
      <c r="Z488" s="12">
        <f t="shared" si="57"/>
        <v>5.0368702712922958E-2</v>
      </c>
    </row>
    <row r="489" spans="1:26" ht="13">
      <c r="A489" s="8" t="str">
        <f t="shared" si="151"/>
        <v>HPG</v>
      </c>
      <c r="B489" s="9">
        <v>2019</v>
      </c>
      <c r="C489" s="10">
        <v>7578.25</v>
      </c>
      <c r="D489" s="10">
        <v>53989.39</v>
      </c>
      <c r="E489" s="10">
        <v>101776.03</v>
      </c>
      <c r="F489" s="10">
        <v>30436.94</v>
      </c>
      <c r="G489" s="10">
        <v>26984.2</v>
      </c>
      <c r="H489" s="10">
        <f t="shared" si="136"/>
        <v>7.4460066874292505E-2</v>
      </c>
      <c r="I489" s="10">
        <f t="shared" si="137"/>
        <v>0.53047254839867497</v>
      </c>
      <c r="J489" s="10">
        <f t="shared" si="138"/>
        <v>1.1279541361241021</v>
      </c>
      <c r="K489" s="4">
        <f t="shared" si="147"/>
        <v>-1.6158885916063652</v>
      </c>
      <c r="L489" s="10">
        <f t="shared" si="129"/>
        <v>0.53047254839867497</v>
      </c>
      <c r="M489" s="10">
        <v>7715.17</v>
      </c>
      <c r="N489" s="10">
        <v>-18064.22</v>
      </c>
      <c r="O489" s="10">
        <v>12377.94</v>
      </c>
      <c r="P489" s="11">
        <v>0.38</v>
      </c>
      <c r="Q489" s="11">
        <f>(25.35+2.68+2.63+1.98+1.92+0.13+0.49+0.32)%</f>
        <v>0.35500000000000009</v>
      </c>
      <c r="R489" s="12">
        <f t="shared" si="133"/>
        <v>7.5805373819356092E-2</v>
      </c>
      <c r="S489" s="12">
        <f t="shared" si="134"/>
        <v>-0.17748992567306862</v>
      </c>
      <c r="T489" s="12">
        <f t="shared" si="135"/>
        <v>0.12161940291834925</v>
      </c>
      <c r="U489" s="12">
        <f t="shared" si="65"/>
        <v>2.8806042051355316E-2</v>
      </c>
      <c r="V489" s="12">
        <f t="shared" si="53"/>
        <v>-6.7446171755766074E-2</v>
      </c>
      <c r="W489" s="12">
        <f t="shared" si="54"/>
        <v>4.6215373108972717E-2</v>
      </c>
      <c r="X489" s="12">
        <f t="shared" si="55"/>
        <v>2.6910907705871418E-2</v>
      </c>
      <c r="Y489" s="12">
        <f t="shared" si="56"/>
        <v>-6.300892361393938E-2</v>
      </c>
      <c r="Z489" s="12">
        <f t="shared" si="57"/>
        <v>4.3174888036013992E-2</v>
      </c>
    </row>
    <row r="490" spans="1:26" ht="13">
      <c r="A490" s="8" t="str">
        <f t="shared" si="151"/>
        <v>HPG</v>
      </c>
      <c r="B490" s="9">
        <v>2020</v>
      </c>
      <c r="C490" s="10">
        <v>13506.16</v>
      </c>
      <c r="D490" s="10">
        <v>72291.649999999994</v>
      </c>
      <c r="E490" s="10">
        <v>131511.43</v>
      </c>
      <c r="F490" s="10">
        <v>56747.26</v>
      </c>
      <c r="G490" s="10">
        <v>51975.22</v>
      </c>
      <c r="H490" s="10">
        <f t="shared" si="136"/>
        <v>0.10269951440722681</v>
      </c>
      <c r="I490" s="10">
        <f t="shared" si="137"/>
        <v>0.5496986079460926</v>
      </c>
      <c r="J490" s="10">
        <f t="shared" si="138"/>
        <v>1.0918137527845</v>
      </c>
      <c r="K490" s="4">
        <f t="shared" si="147"/>
        <v>-1.6332330045509302</v>
      </c>
      <c r="L490" s="10">
        <f t="shared" si="129"/>
        <v>0.5496986079460926</v>
      </c>
      <c r="M490" s="10">
        <v>11587.25</v>
      </c>
      <c r="N490" s="10">
        <v>-18495.400000000001</v>
      </c>
      <c r="O490" s="10">
        <v>16053.7</v>
      </c>
      <c r="P490" s="11">
        <v>0.3</v>
      </c>
      <c r="Q490" s="11">
        <f>(26.08+2.68+2.63+1.25+1.89+0.13+0.49+0.32)%</f>
        <v>0.35470000000000007</v>
      </c>
      <c r="R490" s="12">
        <f t="shared" si="133"/>
        <v>8.8108311193939567E-2</v>
      </c>
      <c r="S490" s="12">
        <f t="shared" si="134"/>
        <v>-0.14063720545050726</v>
      </c>
      <c r="T490" s="12">
        <f t="shared" si="135"/>
        <v>0.12207075841240568</v>
      </c>
      <c r="U490" s="12">
        <f t="shared" si="65"/>
        <v>2.6432493358181871E-2</v>
      </c>
      <c r="V490" s="12">
        <f t="shared" si="53"/>
        <v>-4.2191161635152179E-2</v>
      </c>
      <c r="W490" s="12">
        <f t="shared" si="54"/>
        <v>3.6621227523721704E-2</v>
      </c>
      <c r="X490" s="12">
        <f t="shared" si="55"/>
        <v>3.1252017980490369E-2</v>
      </c>
      <c r="Y490" s="12">
        <f t="shared" si="56"/>
        <v>-4.9884016773294931E-2</v>
      </c>
      <c r="Z490" s="12">
        <f t="shared" si="57"/>
        <v>4.3298498008880304E-2</v>
      </c>
    </row>
    <row r="491" spans="1:26" ht="13">
      <c r="A491" s="8" t="str">
        <f t="shared" si="151"/>
        <v>HPG</v>
      </c>
      <c r="B491" s="9">
        <v>2021</v>
      </c>
      <c r="C491" s="10">
        <v>34520.949999999997</v>
      </c>
      <c r="D491" s="10">
        <v>87455.8</v>
      </c>
      <c r="E491" s="10">
        <v>178236.42</v>
      </c>
      <c r="F491" s="10">
        <v>94154.86</v>
      </c>
      <c r="G491" s="10">
        <v>73459.320000000007</v>
      </c>
      <c r="H491" s="10">
        <f t="shared" si="136"/>
        <v>0.19368067424154947</v>
      </c>
      <c r="I491" s="10">
        <f t="shared" si="137"/>
        <v>0.49067300611176995</v>
      </c>
      <c r="J491" s="10">
        <f t="shared" si="138"/>
        <v>1.2817279005577507</v>
      </c>
      <c r="K491" s="4">
        <f t="shared" si="147"/>
        <v>-2.3798538108521146</v>
      </c>
      <c r="L491" s="10">
        <f t="shared" si="129"/>
        <v>0.49067300611176995</v>
      </c>
      <c r="M491" s="10">
        <v>26720.91</v>
      </c>
      <c r="N491" s="10">
        <v>-19669.45</v>
      </c>
      <c r="O491" s="10">
        <v>1740.11</v>
      </c>
      <c r="P491" s="11">
        <v>0.26</v>
      </c>
      <c r="Q491" s="11">
        <f>(26.08+2.31+2.27+1.25+1.87+0.49+0.32)%</f>
        <v>0.34589999999999999</v>
      </c>
      <c r="R491" s="12">
        <f t="shared" si="133"/>
        <v>0.14991835002071965</v>
      </c>
      <c r="S491" s="12">
        <f t="shared" si="134"/>
        <v>-0.11035595306503575</v>
      </c>
      <c r="T491" s="12">
        <f t="shared" si="135"/>
        <v>9.7629317285434693E-3</v>
      </c>
      <c r="U491" s="12">
        <f t="shared" si="65"/>
        <v>3.897877100538711E-2</v>
      </c>
      <c r="V491" s="12">
        <f t="shared" si="53"/>
        <v>-2.8692547796909294E-2</v>
      </c>
      <c r="W491" s="12">
        <f t="shared" si="54"/>
        <v>2.5383622494213019E-3</v>
      </c>
      <c r="X491" s="12">
        <f t="shared" si="55"/>
        <v>5.1856757272166924E-2</v>
      </c>
      <c r="Y491" s="12">
        <f t="shared" si="56"/>
        <v>-3.8172124165195866E-2</v>
      </c>
      <c r="Z491" s="12">
        <f t="shared" si="57"/>
        <v>3.376998084903186E-3</v>
      </c>
    </row>
    <row r="492" spans="1:26" ht="13">
      <c r="A492" s="21" t="s">
        <v>116</v>
      </c>
      <c r="B492" s="9">
        <v>2017</v>
      </c>
      <c r="C492" s="10">
        <v>65.38</v>
      </c>
      <c r="D492" s="10">
        <v>2050.23</v>
      </c>
      <c r="E492" s="10">
        <v>6239.54</v>
      </c>
      <c r="F492" s="10">
        <v>3770.27</v>
      </c>
      <c r="G492" s="10">
        <v>1815.23</v>
      </c>
      <c r="H492" s="10">
        <f t="shared" si="136"/>
        <v>1.0478336544040104E-2</v>
      </c>
      <c r="I492" s="10">
        <f t="shared" si="137"/>
        <v>0.32858672273917627</v>
      </c>
      <c r="J492" s="10">
        <f t="shared" si="138"/>
        <v>2.0770205428513191</v>
      </c>
      <c r="K492" s="4">
        <f t="shared" si="147"/>
        <v>-2.4825162770062805</v>
      </c>
      <c r="L492" s="10">
        <f t="shared" si="129"/>
        <v>0.32858672273917627</v>
      </c>
      <c r="M492" s="10">
        <v>-216.54</v>
      </c>
      <c r="N492" s="10">
        <v>156.55000000000001</v>
      </c>
      <c r="O492" s="10">
        <v>35.54</v>
      </c>
      <c r="P492" s="11">
        <v>8.5999999999999993E-2</v>
      </c>
      <c r="Q492" s="11">
        <v>9.0399999999999994E-2</v>
      </c>
      <c r="R492" s="12">
        <f t="shared" si="133"/>
        <v>-3.4704481420104689E-2</v>
      </c>
      <c r="S492" s="12">
        <f t="shared" si="134"/>
        <v>2.5089990608282021E-2</v>
      </c>
      <c r="T492" s="12">
        <f t="shared" si="135"/>
        <v>5.6959327129884572E-3</v>
      </c>
      <c r="U492" s="12">
        <f t="shared" si="65"/>
        <v>-2.9845854021290029E-3</v>
      </c>
      <c r="V492" s="12">
        <f t="shared" si="53"/>
        <v>2.1577391923122535E-3</v>
      </c>
      <c r="W492" s="12">
        <f t="shared" si="54"/>
        <v>4.898502133170073E-4</v>
      </c>
      <c r="X492" s="12">
        <f t="shared" si="55"/>
        <v>-3.1372851203774637E-3</v>
      </c>
      <c r="Y492" s="12">
        <f t="shared" si="56"/>
        <v>2.2681351509886948E-3</v>
      </c>
      <c r="Z492" s="12">
        <f t="shared" si="57"/>
        <v>5.149123172541565E-4</v>
      </c>
    </row>
    <row r="493" spans="1:26" ht="13">
      <c r="A493" s="22" t="str">
        <f t="shared" ref="A493:A496" si="152">A492</f>
        <v>HQC</v>
      </c>
      <c r="B493" s="9">
        <v>2018</v>
      </c>
      <c r="C493" s="10">
        <v>42.5</v>
      </c>
      <c r="D493" s="10">
        <v>2308.75</v>
      </c>
      <c r="E493" s="10">
        <v>6594.38</v>
      </c>
      <c r="F493" s="10">
        <v>4177.53</v>
      </c>
      <c r="G493" s="10">
        <v>2063.1</v>
      </c>
      <c r="H493" s="10">
        <f t="shared" si="136"/>
        <v>6.4448818539422966E-3</v>
      </c>
      <c r="I493" s="10">
        <f t="shared" si="137"/>
        <v>0.35010872894798295</v>
      </c>
      <c r="J493" s="10">
        <f t="shared" si="138"/>
        <v>2.0248800348989384</v>
      </c>
      <c r="K493" s="4">
        <f t="shared" si="147"/>
        <v>-2.3414817334788331</v>
      </c>
      <c r="L493" s="10">
        <f t="shared" si="129"/>
        <v>0.35010872894798295</v>
      </c>
      <c r="M493" s="10">
        <v>172.05</v>
      </c>
      <c r="N493" s="10">
        <v>138.66</v>
      </c>
      <c r="O493" s="10">
        <v>-318.92</v>
      </c>
      <c r="P493" s="11">
        <v>5.0999999999999997E-2</v>
      </c>
      <c r="Q493" s="11">
        <v>3.7000000000000002E-3</v>
      </c>
      <c r="R493" s="12">
        <f t="shared" si="133"/>
        <v>2.6090398187547579E-2</v>
      </c>
      <c r="S493" s="12">
        <f t="shared" si="134"/>
        <v>2.1026995714532676E-2</v>
      </c>
      <c r="T493" s="12">
        <f t="shared" si="135"/>
        <v>-4.8362393431982995E-2</v>
      </c>
      <c r="U493" s="12">
        <f t="shared" si="65"/>
        <v>1.3306103075649265E-3</v>
      </c>
      <c r="V493" s="12">
        <f t="shared" si="53"/>
        <v>1.0723767814411664E-3</v>
      </c>
      <c r="W493" s="12">
        <f t="shared" si="54"/>
        <v>-2.4664820650311327E-3</v>
      </c>
      <c r="X493" s="12">
        <f t="shared" si="55"/>
        <v>9.6534473293926045E-5</v>
      </c>
      <c r="Y493" s="12">
        <f t="shared" si="56"/>
        <v>7.779988414377091E-5</v>
      </c>
      <c r="Z493" s="12">
        <f t="shared" si="57"/>
        <v>-1.7894085569833708E-4</v>
      </c>
    </row>
    <row r="494" spans="1:26" ht="13">
      <c r="A494" s="22" t="str">
        <f t="shared" si="152"/>
        <v>HQC</v>
      </c>
      <c r="B494" s="9">
        <v>2019</v>
      </c>
      <c r="C494" s="10">
        <v>41.5</v>
      </c>
      <c r="D494" s="10">
        <v>2386.44</v>
      </c>
      <c r="E494" s="10">
        <v>6713.43</v>
      </c>
      <c r="F494" s="10">
        <v>4511.3900000000003</v>
      </c>
      <c r="G494" s="10">
        <v>2161.7600000000002</v>
      </c>
      <c r="H494" s="10">
        <f t="shared" si="136"/>
        <v>6.1816388939781898E-3</v>
      </c>
      <c r="I494" s="10">
        <f t="shared" si="137"/>
        <v>0.35547253788301958</v>
      </c>
      <c r="J494" s="10">
        <f t="shared" si="138"/>
        <v>2.0869060395233512</v>
      </c>
      <c r="K494" s="4">
        <f t="shared" si="147"/>
        <v>-2.3099715332477837</v>
      </c>
      <c r="L494" s="10">
        <f t="shared" si="129"/>
        <v>0.35547253788301958</v>
      </c>
      <c r="M494" s="10">
        <v>14.06</v>
      </c>
      <c r="N494" s="10">
        <v>4.3600000000000003</v>
      </c>
      <c r="O494" s="10">
        <v>-20.92</v>
      </c>
      <c r="P494" s="11">
        <v>3.7999999999999999E-2</v>
      </c>
      <c r="Q494" s="11">
        <v>5.7999999999999996E-3</v>
      </c>
      <c r="R494" s="12">
        <f t="shared" si="133"/>
        <v>2.0943094662489964E-3</v>
      </c>
      <c r="S494" s="12">
        <f t="shared" si="134"/>
        <v>6.4944447175288935E-4</v>
      </c>
      <c r="T494" s="12">
        <f t="shared" si="135"/>
        <v>-3.1161418231812951E-3</v>
      </c>
      <c r="U494" s="12">
        <f t="shared" si="65"/>
        <v>7.958375971746186E-5</v>
      </c>
      <c r="V494" s="12">
        <f t="shared" si="53"/>
        <v>2.4678889926609794E-5</v>
      </c>
      <c r="W494" s="12">
        <f t="shared" si="54"/>
        <v>-1.1841338928088921E-4</v>
      </c>
      <c r="X494" s="12">
        <f t="shared" si="55"/>
        <v>1.2146994904244178E-5</v>
      </c>
      <c r="Y494" s="12">
        <f t="shared" si="56"/>
        <v>3.766777936166758E-6</v>
      </c>
      <c r="Z494" s="12">
        <f t="shared" si="57"/>
        <v>-1.807362257445151E-5</v>
      </c>
    </row>
    <row r="495" spans="1:26" ht="13">
      <c r="A495" s="22" t="str">
        <f t="shared" si="152"/>
        <v>HQC</v>
      </c>
      <c r="B495" s="9">
        <v>2020</v>
      </c>
      <c r="C495" s="10">
        <v>9.6</v>
      </c>
      <c r="D495" s="10">
        <v>2633.72</v>
      </c>
      <c r="E495" s="10">
        <v>6970.18</v>
      </c>
      <c r="F495" s="10">
        <v>3450.45</v>
      </c>
      <c r="G495" s="10">
        <v>2586.1</v>
      </c>
      <c r="H495" s="10">
        <f t="shared" si="136"/>
        <v>1.3772958517570563E-3</v>
      </c>
      <c r="I495" s="10">
        <f t="shared" si="137"/>
        <v>0.37785537819683274</v>
      </c>
      <c r="J495" s="10">
        <f t="shared" si="138"/>
        <v>1.334229148138123</v>
      </c>
      <c r="K495" s="4">
        <f t="shared" si="147"/>
        <v>-2.1577590922035124</v>
      </c>
      <c r="L495" s="10">
        <f t="shared" si="129"/>
        <v>0.37785537819683274</v>
      </c>
      <c r="M495" s="10">
        <v>170.3</v>
      </c>
      <c r="N495" s="10">
        <v>-163.5</v>
      </c>
      <c r="O495" s="10">
        <v>-11.77</v>
      </c>
      <c r="P495" s="11">
        <v>1.61E-2</v>
      </c>
      <c r="Q495" s="11">
        <v>0</v>
      </c>
      <c r="R495" s="12">
        <f t="shared" si="133"/>
        <v>2.4432654536898617E-2</v>
      </c>
      <c r="S495" s="12">
        <f t="shared" si="134"/>
        <v>-2.3457069975237367E-2</v>
      </c>
      <c r="T495" s="12">
        <f t="shared" si="135"/>
        <v>-1.6886221015813077E-3</v>
      </c>
      <c r="U495" s="12">
        <f t="shared" si="65"/>
        <v>3.9336573804406771E-4</v>
      </c>
      <c r="V495" s="12">
        <f t="shared" si="53"/>
        <v>-3.7765882660132158E-4</v>
      </c>
      <c r="W495" s="12">
        <f t="shared" si="54"/>
        <v>-2.7186815835459055E-5</v>
      </c>
      <c r="X495" s="12">
        <f t="shared" si="55"/>
        <v>0</v>
      </c>
      <c r="Y495" s="12">
        <f t="shared" si="56"/>
        <v>0</v>
      </c>
      <c r="Z495" s="12">
        <f t="shared" si="57"/>
        <v>0</v>
      </c>
    </row>
    <row r="496" spans="1:26" ht="13">
      <c r="A496" s="22" t="str">
        <f t="shared" si="152"/>
        <v>HQC</v>
      </c>
      <c r="B496" s="9">
        <v>2021</v>
      </c>
      <c r="C496" s="10">
        <v>4.16</v>
      </c>
      <c r="D496" s="10">
        <v>4986.18</v>
      </c>
      <c r="E496" s="10">
        <v>9326.77</v>
      </c>
      <c r="F496" s="10">
        <v>3503.9</v>
      </c>
      <c r="G496" s="10">
        <v>3785.02</v>
      </c>
      <c r="H496" s="10">
        <f t="shared" si="136"/>
        <v>4.4602793893277093E-4</v>
      </c>
      <c r="I496" s="10">
        <f t="shared" si="137"/>
        <v>0.5346095164778375</v>
      </c>
      <c r="J496" s="10">
        <f t="shared" si="138"/>
        <v>0.92572826563664135</v>
      </c>
      <c r="K496" s="4">
        <f t="shared" si="147"/>
        <v>-1.2584357948640696</v>
      </c>
      <c r="L496" s="10">
        <f t="shared" si="129"/>
        <v>0.5346095164778375</v>
      </c>
      <c r="M496" s="10">
        <v>2272.6799999999998</v>
      </c>
      <c r="N496" s="10">
        <v>-1962</v>
      </c>
      <c r="O496" s="10">
        <v>-309.95999999999998</v>
      </c>
      <c r="P496" s="11">
        <v>6.1000000000000004E-3</v>
      </c>
      <c r="Q496" s="11">
        <v>0</v>
      </c>
      <c r="R496" s="12">
        <f t="shared" si="133"/>
        <v>0.24367278275330043</v>
      </c>
      <c r="S496" s="12">
        <f t="shared" si="134"/>
        <v>-0.21036221542935013</v>
      </c>
      <c r="T496" s="12">
        <f t="shared" si="135"/>
        <v>-3.3233370180673474E-2</v>
      </c>
      <c r="U496" s="12">
        <f t="shared" si="65"/>
        <v>1.4864039747951327E-3</v>
      </c>
      <c r="V496" s="12">
        <f t="shared" si="53"/>
        <v>-1.283209514119036E-3</v>
      </c>
      <c r="W496" s="12">
        <f t="shared" si="54"/>
        <v>-2.0272355810210821E-4</v>
      </c>
      <c r="X496" s="12">
        <f t="shared" si="55"/>
        <v>0</v>
      </c>
      <c r="Y496" s="12">
        <f t="shared" si="56"/>
        <v>0</v>
      </c>
      <c r="Z496" s="12">
        <f t="shared" si="57"/>
        <v>0</v>
      </c>
    </row>
    <row r="497" spans="1:26" ht="13">
      <c r="A497" s="21" t="s">
        <v>117</v>
      </c>
      <c r="B497" s="9">
        <v>2017</v>
      </c>
      <c r="C497" s="10">
        <v>1225.03</v>
      </c>
      <c r="D497" s="19">
        <v>18608.03</v>
      </c>
      <c r="E497" s="19">
        <v>24108.09</v>
      </c>
      <c r="F497" s="19">
        <v>15009.79</v>
      </c>
      <c r="G497" s="19">
        <v>15466.25</v>
      </c>
      <c r="H497" s="10">
        <f t="shared" si="136"/>
        <v>5.0814062831190693E-2</v>
      </c>
      <c r="I497" s="10">
        <f t="shared" si="137"/>
        <v>0.77185832639582808</v>
      </c>
      <c r="J497" s="10">
        <f t="shared" si="138"/>
        <v>0.97048670492200761</v>
      </c>
      <c r="K497" s="4">
        <f t="shared" si="147"/>
        <v>-0.13295276910382617</v>
      </c>
      <c r="L497" s="10">
        <f t="shared" si="129"/>
        <v>0.77185832639582808</v>
      </c>
      <c r="M497" s="19">
        <v>-4925.26</v>
      </c>
      <c r="N497" s="19">
        <v>-3745.79</v>
      </c>
      <c r="O497" s="19">
        <v>8952</v>
      </c>
      <c r="P497" s="11">
        <v>0.25619999999999998</v>
      </c>
      <c r="Q497" s="11">
        <v>5.7000000000000002E-3</v>
      </c>
      <c r="R497" s="12">
        <f t="shared" si="133"/>
        <v>-0.2042990547986174</v>
      </c>
      <c r="S497" s="12">
        <f t="shared" si="134"/>
        <v>-0.15537481401471456</v>
      </c>
      <c r="T497" s="12">
        <f t="shared" si="135"/>
        <v>0.37132763317210116</v>
      </c>
      <c r="U497" s="12">
        <f t="shared" si="65"/>
        <v>-5.2341417839405775E-2</v>
      </c>
      <c r="V497" s="12">
        <f t="shared" si="53"/>
        <v>-3.9807027350569867E-2</v>
      </c>
      <c r="W497" s="12">
        <f t="shared" si="54"/>
        <v>9.5134139618692312E-2</v>
      </c>
      <c r="X497" s="12">
        <f t="shared" si="55"/>
        <v>-1.1645046123521193E-3</v>
      </c>
      <c r="Y497" s="12">
        <f t="shared" si="56"/>
        <v>-8.8563643988387301E-4</v>
      </c>
      <c r="Z497" s="12">
        <f t="shared" si="57"/>
        <v>2.1165675090809768E-3</v>
      </c>
    </row>
    <row r="498" spans="1:26" ht="13">
      <c r="A498" s="22" t="str">
        <f t="shared" ref="A498:A501" si="153">A497</f>
        <v>HSG</v>
      </c>
      <c r="B498" s="9">
        <v>2018</v>
      </c>
      <c r="C498" s="10">
        <v>136.43</v>
      </c>
      <c r="D498" s="19">
        <v>14651.98</v>
      </c>
      <c r="E498" s="19">
        <v>19834.169999999998</v>
      </c>
      <c r="F498" s="19">
        <v>9435.44</v>
      </c>
      <c r="G498" s="19">
        <v>1094.77</v>
      </c>
      <c r="H498" s="10">
        <f t="shared" si="136"/>
        <v>6.8785333593490436E-3</v>
      </c>
      <c r="I498" s="10">
        <f t="shared" si="137"/>
        <v>0.73872413113329172</v>
      </c>
      <c r="J498" s="10">
        <f t="shared" si="138"/>
        <v>8.618650492797574</v>
      </c>
      <c r="K498" s="4">
        <f t="shared" si="147"/>
        <v>-0.1547004546284973</v>
      </c>
      <c r="L498" s="10">
        <f t="shared" si="129"/>
        <v>0.73872413113329172</v>
      </c>
      <c r="M498" s="19">
        <v>7139.16</v>
      </c>
      <c r="N498" s="19">
        <v>-1972.65</v>
      </c>
      <c r="O498" s="19">
        <v>-5243.09</v>
      </c>
      <c r="P498" s="11">
        <v>0.1726</v>
      </c>
      <c r="Q498" s="11">
        <v>3.8E-3</v>
      </c>
      <c r="R498" s="12">
        <f t="shared" si="133"/>
        <v>0.3599424629313957</v>
      </c>
      <c r="S498" s="12">
        <f t="shared" si="134"/>
        <v>-9.945714895052328E-2</v>
      </c>
      <c r="T498" s="12">
        <f t="shared" si="135"/>
        <v>-0.26434632757508886</v>
      </c>
      <c r="U498" s="12">
        <f t="shared" si="65"/>
        <v>6.2126069101958899E-2</v>
      </c>
      <c r="V498" s="12">
        <f t="shared" si="53"/>
        <v>-1.7166303908860318E-2</v>
      </c>
      <c r="W498" s="12">
        <f t="shared" si="54"/>
        <v>-4.5626176139460337E-2</v>
      </c>
      <c r="X498" s="12">
        <f t="shared" si="55"/>
        <v>1.3677813591393036E-3</v>
      </c>
      <c r="Y498" s="12">
        <f t="shared" si="56"/>
        <v>-3.7793716601198845E-4</v>
      </c>
      <c r="Z498" s="12">
        <f t="shared" si="57"/>
        <v>-1.0045160447853376E-3</v>
      </c>
    </row>
    <row r="499" spans="1:26" ht="13">
      <c r="A499" s="22" t="str">
        <f t="shared" si="153"/>
        <v>HSG</v>
      </c>
      <c r="B499" s="9">
        <v>2019</v>
      </c>
      <c r="C499" s="10">
        <v>489.82</v>
      </c>
      <c r="D499" s="19">
        <v>11082.19</v>
      </c>
      <c r="E499" s="19">
        <v>16725.099999999999</v>
      </c>
      <c r="F499" s="19">
        <v>7098.89</v>
      </c>
      <c r="G499" s="19">
        <v>8324.67</v>
      </c>
      <c r="H499" s="10">
        <f t="shared" si="136"/>
        <v>2.9286521455776052E-2</v>
      </c>
      <c r="I499" s="10">
        <f t="shared" si="137"/>
        <v>0.66260829531662002</v>
      </c>
      <c r="J499" s="10">
        <f t="shared" si="138"/>
        <v>0.85275332235391921</v>
      </c>
      <c r="K499" s="4">
        <f t="shared" si="147"/>
        <v>-0.6583330765356733</v>
      </c>
      <c r="L499" s="10">
        <f t="shared" si="129"/>
        <v>0.66260829531662002</v>
      </c>
      <c r="M499" s="19">
        <v>3421.6</v>
      </c>
      <c r="N499" s="19">
        <v>-653.08000000000004</v>
      </c>
      <c r="O499" s="19">
        <v>-2768.8</v>
      </c>
      <c r="P499" s="11">
        <v>0.16589999999999999</v>
      </c>
      <c r="Q499" s="11">
        <v>7.6E-3</v>
      </c>
      <c r="R499" s="12">
        <f t="shared" si="133"/>
        <v>0.2045787469133219</v>
      </c>
      <c r="S499" s="12">
        <f t="shared" si="134"/>
        <v>-3.90478980693688E-2</v>
      </c>
      <c r="T499" s="12">
        <f t="shared" si="135"/>
        <v>-0.16554759014893786</v>
      </c>
      <c r="U499" s="12">
        <f t="shared" si="65"/>
        <v>3.3939614112920104E-2</v>
      </c>
      <c r="V499" s="12">
        <f t="shared" si="53"/>
        <v>-6.4780462897082837E-3</v>
      </c>
      <c r="W499" s="12">
        <f t="shared" si="54"/>
        <v>-2.7464345205708788E-2</v>
      </c>
      <c r="X499" s="12">
        <f t="shared" si="55"/>
        <v>1.5547984765412464E-3</v>
      </c>
      <c r="Y499" s="12">
        <f t="shared" si="56"/>
        <v>-2.9676402532720288E-4</v>
      </c>
      <c r="Z499" s="12">
        <f t="shared" si="57"/>
        <v>-1.2581616851319278E-3</v>
      </c>
    </row>
    <row r="500" spans="1:26" ht="13">
      <c r="A500" s="22" t="str">
        <f t="shared" si="153"/>
        <v>HSG</v>
      </c>
      <c r="B500" s="9">
        <v>2020</v>
      </c>
      <c r="C500" s="10">
        <v>1543.11</v>
      </c>
      <c r="D500" s="19">
        <v>10266.26</v>
      </c>
      <c r="E500" s="19">
        <v>17350.84</v>
      </c>
      <c r="F500" s="19">
        <v>8877.61</v>
      </c>
      <c r="G500" s="19">
        <v>8273.2800000000007</v>
      </c>
      <c r="H500" s="10">
        <f t="shared" si="136"/>
        <v>8.8935751813745037E-2</v>
      </c>
      <c r="I500" s="10">
        <f t="shared" si="137"/>
        <v>0.59168662727568233</v>
      </c>
      <c r="J500" s="10">
        <f t="shared" si="138"/>
        <v>1.073045998684923</v>
      </c>
      <c r="K500" s="4">
        <f t="shared" si="147"/>
        <v>-1.3318892916852028</v>
      </c>
      <c r="L500" s="10">
        <f t="shared" si="129"/>
        <v>0.59168662727568233</v>
      </c>
      <c r="M500" s="19">
        <v>2320.2600000000002</v>
      </c>
      <c r="N500" s="19">
        <v>-294.91000000000003</v>
      </c>
      <c r="O500" s="19">
        <v>-1966.43</v>
      </c>
      <c r="P500" s="11">
        <v>0.1169</v>
      </c>
      <c r="Q500" s="11">
        <v>7.0000000000000001E-3</v>
      </c>
      <c r="R500" s="12">
        <f t="shared" si="133"/>
        <v>0.13372609049475415</v>
      </c>
      <c r="S500" s="12">
        <f t="shared" si="134"/>
        <v>-1.6996871621201049E-2</v>
      </c>
      <c r="T500" s="12">
        <f t="shared" si="135"/>
        <v>-0.11333341786334264</v>
      </c>
      <c r="U500" s="12">
        <f t="shared" si="65"/>
        <v>1.5632579978836759E-2</v>
      </c>
      <c r="V500" s="12">
        <f t="shared" si="53"/>
        <v>-1.9869342925184028E-3</v>
      </c>
      <c r="W500" s="12">
        <f t="shared" si="54"/>
        <v>-1.3248676548224755E-2</v>
      </c>
      <c r="X500" s="12">
        <f t="shared" si="55"/>
        <v>9.3608263346327909E-4</v>
      </c>
      <c r="Y500" s="12">
        <f t="shared" si="56"/>
        <v>-1.1897810134840735E-4</v>
      </c>
      <c r="Z500" s="12">
        <f t="shared" si="57"/>
        <v>-7.9333392504339845E-4</v>
      </c>
    </row>
    <row r="501" spans="1:26" ht="13">
      <c r="A501" s="22" t="str">
        <f t="shared" si="153"/>
        <v>HSG</v>
      </c>
      <c r="B501" s="9">
        <v>2021</v>
      </c>
      <c r="C501" s="10">
        <v>4379.12</v>
      </c>
      <c r="D501" s="19">
        <v>11643.2</v>
      </c>
      <c r="E501" s="19">
        <v>22932.26</v>
      </c>
      <c r="F501" s="19">
        <v>15114.22</v>
      </c>
      <c r="G501" s="19">
        <v>10617.05</v>
      </c>
      <c r="H501" s="10">
        <f t="shared" si="136"/>
        <v>0.19095893732235725</v>
      </c>
      <c r="I501" s="10">
        <f t="shared" si="137"/>
        <v>0.50772143696260208</v>
      </c>
      <c r="J501" s="10">
        <f t="shared" si="138"/>
        <v>1.4235799963266633</v>
      </c>
      <c r="K501" s="4">
        <f t="shared" si="147"/>
        <v>-2.2709973472490819</v>
      </c>
      <c r="L501" s="10">
        <f t="shared" si="129"/>
        <v>0.50772143696260208</v>
      </c>
      <c r="M501" s="19">
        <v>2106.67</v>
      </c>
      <c r="N501" s="19">
        <v>-201.54</v>
      </c>
      <c r="O501" s="19">
        <v>-1400.37</v>
      </c>
      <c r="P501" s="11">
        <v>8.2100000000000006E-2</v>
      </c>
      <c r="Q501" s="11">
        <v>3.7000000000000002E-3</v>
      </c>
      <c r="R501" s="12">
        <f t="shared" si="133"/>
        <v>9.1864909956541577E-2</v>
      </c>
      <c r="S501" s="12">
        <f t="shared" si="134"/>
        <v>-8.7884927172463597E-3</v>
      </c>
      <c r="T501" s="12">
        <f t="shared" si="135"/>
        <v>-6.1065503356407085E-2</v>
      </c>
      <c r="U501" s="12">
        <f t="shared" si="65"/>
        <v>7.5421091074320641E-3</v>
      </c>
      <c r="V501" s="12">
        <f t="shared" si="53"/>
        <v>-7.2153525208592617E-4</v>
      </c>
      <c r="W501" s="12">
        <f t="shared" si="54"/>
        <v>-5.013477825561022E-3</v>
      </c>
      <c r="X501" s="12">
        <f t="shared" si="55"/>
        <v>3.3990016683920382E-4</v>
      </c>
      <c r="Y501" s="12">
        <f t="shared" si="56"/>
        <v>-3.2517423053811533E-5</v>
      </c>
      <c r="Z501" s="12">
        <f t="shared" si="57"/>
        <v>-2.2594236241870621E-4</v>
      </c>
    </row>
    <row r="502" spans="1:26" ht="13">
      <c r="A502" s="21" t="s">
        <v>118</v>
      </c>
      <c r="B502" s="9">
        <v>2017</v>
      </c>
      <c r="C502" s="10">
        <v>78.150000000000006</v>
      </c>
      <c r="D502" s="19">
        <v>1238.8900000000001</v>
      </c>
      <c r="E502" s="19">
        <v>1678.46</v>
      </c>
      <c r="F502" s="19">
        <v>158.84</v>
      </c>
      <c r="G502" s="19">
        <v>152.37</v>
      </c>
      <c r="H502" s="10">
        <f t="shared" si="136"/>
        <v>4.6560537635689861E-2</v>
      </c>
      <c r="I502" s="10">
        <f t="shared" si="137"/>
        <v>0.7381111256747257</v>
      </c>
      <c r="J502" s="10">
        <f t="shared" si="138"/>
        <v>1.0424624269869396</v>
      </c>
      <c r="K502" s="4">
        <f t="shared" si="147"/>
        <v>-0.30645885272261542</v>
      </c>
      <c r="L502" s="10">
        <f t="shared" si="129"/>
        <v>0.7381111256747257</v>
      </c>
      <c r="M502" s="19">
        <v>162.36000000000001</v>
      </c>
      <c r="N502" s="19">
        <v>-396.9</v>
      </c>
      <c r="O502" s="19">
        <v>232.98</v>
      </c>
      <c r="P502" s="11">
        <v>0.1661</v>
      </c>
      <c r="Q502" s="11">
        <v>6.6E-3</v>
      </c>
      <c r="R502" s="12">
        <f t="shared" si="133"/>
        <v>9.6731527709924575E-2</v>
      </c>
      <c r="S502" s="12">
        <f t="shared" si="134"/>
        <v>-0.23646676119776461</v>
      </c>
      <c r="T502" s="12">
        <f t="shared" si="135"/>
        <v>0.13880581008781859</v>
      </c>
      <c r="U502" s="12">
        <f t="shared" si="65"/>
        <v>1.6067106752618472E-2</v>
      </c>
      <c r="V502" s="12">
        <f t="shared" si="53"/>
        <v>-3.9277129034948698E-2</v>
      </c>
      <c r="W502" s="12">
        <f t="shared" si="54"/>
        <v>2.3055645055586667E-2</v>
      </c>
      <c r="X502" s="12">
        <f t="shared" si="55"/>
        <v>6.3842808288550219E-4</v>
      </c>
      <c r="Y502" s="12">
        <f t="shared" si="56"/>
        <v>-1.5606806239052463E-3</v>
      </c>
      <c r="Z502" s="12">
        <f t="shared" si="57"/>
        <v>9.1611834657960264E-4</v>
      </c>
    </row>
    <row r="503" spans="1:26" ht="13">
      <c r="A503" s="22" t="str">
        <f t="shared" ref="A503:A506" si="154">A502</f>
        <v>HTI</v>
      </c>
      <c r="B503" s="9">
        <v>2018</v>
      </c>
      <c r="C503" s="10">
        <v>68.400000000000006</v>
      </c>
      <c r="D503" s="19">
        <v>1295.8399999999999</v>
      </c>
      <c r="E503" s="19">
        <v>1748.75</v>
      </c>
      <c r="F503" s="19">
        <v>119.68</v>
      </c>
      <c r="G503" s="19">
        <v>39.93</v>
      </c>
      <c r="H503" s="10">
        <f t="shared" si="136"/>
        <v>3.9113652609006434E-2</v>
      </c>
      <c r="I503" s="10">
        <f t="shared" si="137"/>
        <v>0.74100929235167967</v>
      </c>
      <c r="J503" s="10">
        <f t="shared" si="138"/>
        <v>2.997245179063361</v>
      </c>
      <c r="K503" s="4">
        <f t="shared" si="147"/>
        <v>-0.26424745105220793</v>
      </c>
      <c r="L503" s="10">
        <f t="shared" si="129"/>
        <v>0.74100929235167967</v>
      </c>
      <c r="M503" s="19">
        <v>187.91</v>
      </c>
      <c r="N503" s="19">
        <v>-149.76</v>
      </c>
      <c r="O503" s="19">
        <v>-29.82</v>
      </c>
      <c r="P503" s="11">
        <v>0.1704</v>
      </c>
      <c r="Q503" s="11">
        <v>3.0999999999999999E-3</v>
      </c>
      <c r="R503" s="12">
        <f t="shared" si="133"/>
        <v>0.10745389563974267</v>
      </c>
      <c r="S503" s="12">
        <f t="shared" si="134"/>
        <v>-8.563831308077198E-2</v>
      </c>
      <c r="T503" s="12">
        <f t="shared" si="135"/>
        <v>-1.705218012866333E-2</v>
      </c>
      <c r="U503" s="12">
        <f t="shared" si="65"/>
        <v>1.831014381701215E-2</v>
      </c>
      <c r="V503" s="12">
        <f t="shared" si="53"/>
        <v>-1.4592768548963546E-2</v>
      </c>
      <c r="W503" s="12">
        <f t="shared" si="54"/>
        <v>-2.9056914939242316E-3</v>
      </c>
      <c r="X503" s="12">
        <f t="shared" si="55"/>
        <v>3.3310707648320228E-4</v>
      </c>
      <c r="Y503" s="12">
        <f t="shared" si="56"/>
        <v>-2.6547877055039311E-4</v>
      </c>
      <c r="Z503" s="12">
        <f t="shared" si="57"/>
        <v>-5.2861758398856323E-5</v>
      </c>
    </row>
    <row r="504" spans="1:26" ht="13">
      <c r="A504" s="22" t="str">
        <f t="shared" si="154"/>
        <v>HTI</v>
      </c>
      <c r="B504" s="9">
        <v>2019</v>
      </c>
      <c r="C504" s="10">
        <v>69.89</v>
      </c>
      <c r="D504" s="19">
        <v>1296.1400000000001</v>
      </c>
      <c r="E504" s="19">
        <v>1755.16</v>
      </c>
      <c r="F504" s="19">
        <v>111.28</v>
      </c>
      <c r="G504" s="19">
        <v>87.66</v>
      </c>
      <c r="H504" s="10">
        <f t="shared" si="136"/>
        <v>3.9819731534446998E-2</v>
      </c>
      <c r="I504" s="10">
        <f t="shared" si="137"/>
        <v>0.73847398527769548</v>
      </c>
      <c r="J504" s="10">
        <f t="shared" si="138"/>
        <v>1.2694501483002509</v>
      </c>
      <c r="K504" s="4">
        <f t="shared" si="147"/>
        <v>-0.27496487641534845</v>
      </c>
      <c r="L504" s="10">
        <f t="shared" ref="L504:L567" si="155">D504/E504</f>
        <v>0.73847398527769548</v>
      </c>
      <c r="M504" s="19">
        <v>169.53</v>
      </c>
      <c r="N504" s="19">
        <v>-85.76</v>
      </c>
      <c r="O504" s="19">
        <v>-83.38</v>
      </c>
      <c r="P504" s="11">
        <v>0.1721</v>
      </c>
      <c r="Q504" s="11">
        <v>3.0999999999999999E-3</v>
      </c>
      <c r="R504" s="12">
        <f t="shared" si="133"/>
        <v>9.6589484719341825E-2</v>
      </c>
      <c r="S504" s="12">
        <f t="shared" si="134"/>
        <v>-4.8861642243442194E-2</v>
      </c>
      <c r="T504" s="12">
        <f t="shared" si="135"/>
        <v>-4.7505640511406363E-2</v>
      </c>
      <c r="U504" s="12">
        <f t="shared" si="65"/>
        <v>1.6623050320198729E-2</v>
      </c>
      <c r="V504" s="12">
        <f t="shared" si="53"/>
        <v>-8.4090886300964025E-3</v>
      </c>
      <c r="W504" s="12">
        <f t="shared" si="54"/>
        <v>-8.1757207320130344E-3</v>
      </c>
      <c r="X504" s="12">
        <f t="shared" si="55"/>
        <v>2.9942740262995965E-4</v>
      </c>
      <c r="Y504" s="12">
        <f t="shared" si="56"/>
        <v>-1.514710909546708E-4</v>
      </c>
      <c r="Z504" s="12">
        <f t="shared" si="57"/>
        <v>-1.4726748558535973E-4</v>
      </c>
    </row>
    <row r="505" spans="1:26" ht="13">
      <c r="A505" s="22" t="str">
        <f t="shared" si="154"/>
        <v>HTI</v>
      </c>
      <c r="B505" s="9">
        <v>2020</v>
      </c>
      <c r="C505" s="10">
        <v>60.61</v>
      </c>
      <c r="D505" s="19">
        <v>1204.83</v>
      </c>
      <c r="E505" s="19">
        <v>1658.39</v>
      </c>
      <c r="F505" s="19">
        <v>77.86</v>
      </c>
      <c r="G505" s="19">
        <v>55.28</v>
      </c>
      <c r="H505" s="10">
        <f t="shared" si="136"/>
        <v>3.6547494859472139E-2</v>
      </c>
      <c r="I505" s="10">
        <f t="shared" si="137"/>
        <v>0.72650582794155771</v>
      </c>
      <c r="J505" s="10">
        <f t="shared" si="138"/>
        <v>1.408465991316932</v>
      </c>
      <c r="K505" s="4">
        <f t="shared" si="147"/>
        <v>-0.32901437156601249</v>
      </c>
      <c r="L505" s="10">
        <f t="shared" si="155"/>
        <v>0.72650582794155771</v>
      </c>
      <c r="M505" s="19">
        <v>133.44</v>
      </c>
      <c r="N505" s="19">
        <v>-14.84</v>
      </c>
      <c r="O505" s="19">
        <v>-149.38</v>
      </c>
      <c r="P505" s="11">
        <v>0.15240000000000001</v>
      </c>
      <c r="Q505" s="11">
        <v>5.0000000000000001E-4</v>
      </c>
      <c r="R505" s="12">
        <f t="shared" si="133"/>
        <v>8.046358214895169E-2</v>
      </c>
      <c r="S505" s="12">
        <f t="shared" si="134"/>
        <v>-8.9484379428240637E-3</v>
      </c>
      <c r="T505" s="12">
        <f t="shared" si="135"/>
        <v>-9.0075314009370522E-2</v>
      </c>
      <c r="U505" s="12">
        <f t="shared" si="65"/>
        <v>1.2262649919500239E-2</v>
      </c>
      <c r="V505" s="12">
        <f t="shared" si="53"/>
        <v>-1.3637419424863875E-3</v>
      </c>
      <c r="W505" s="12">
        <f t="shared" si="54"/>
        <v>-1.3727477855028068E-2</v>
      </c>
      <c r="X505" s="12">
        <f t="shared" si="55"/>
        <v>4.0231791074475845E-5</v>
      </c>
      <c r="Y505" s="12">
        <f t="shared" si="56"/>
        <v>-4.4742189714120322E-6</v>
      </c>
      <c r="Z505" s="12">
        <f t="shared" si="57"/>
        <v>-4.5037657004685264E-5</v>
      </c>
    </row>
    <row r="506" spans="1:26" ht="13">
      <c r="A506" s="22" t="str">
        <f t="shared" si="154"/>
        <v>HTI</v>
      </c>
      <c r="B506" s="9">
        <v>2021</v>
      </c>
      <c r="C506" s="10">
        <v>36.19</v>
      </c>
      <c r="D506" s="19">
        <v>1093.6600000000001</v>
      </c>
      <c r="E506" s="19">
        <v>1556.04</v>
      </c>
      <c r="F506" s="19">
        <v>31.73</v>
      </c>
      <c r="G506" s="19">
        <v>137.54</v>
      </c>
      <c r="H506" s="10">
        <f t="shared" si="136"/>
        <v>2.3257756870003341E-2</v>
      </c>
      <c r="I506" s="10">
        <f t="shared" si="137"/>
        <v>0.70284825582889909</v>
      </c>
      <c r="J506" s="10">
        <f t="shared" si="138"/>
        <v>0.23069652464737533</v>
      </c>
      <c r="K506" s="4">
        <f t="shared" si="147"/>
        <v>-0.39934763378887933</v>
      </c>
      <c r="L506" s="10">
        <f t="shared" si="155"/>
        <v>0.70284825582889909</v>
      </c>
      <c r="M506" s="19">
        <v>86.3</v>
      </c>
      <c r="N506" s="19">
        <v>-10.039999999999999</v>
      </c>
      <c r="O506" s="19">
        <v>-126.97</v>
      </c>
      <c r="P506" s="11">
        <v>0.1384</v>
      </c>
      <c r="Q506" s="11">
        <v>5.0000000000000001E-4</v>
      </c>
      <c r="R506" s="12">
        <f t="shared" si="133"/>
        <v>5.5461299195393436E-2</v>
      </c>
      <c r="S506" s="12">
        <f t="shared" si="134"/>
        <v>-6.4522762910979147E-3</v>
      </c>
      <c r="T506" s="12">
        <f t="shared" si="135"/>
        <v>-8.1598159430348829E-2</v>
      </c>
      <c r="U506" s="12">
        <f t="shared" si="65"/>
        <v>7.6758438086424515E-3</v>
      </c>
      <c r="V506" s="12">
        <f t="shared" si="53"/>
        <v>-8.9299503868795133E-4</v>
      </c>
      <c r="W506" s="12">
        <f t="shared" si="54"/>
        <v>-1.1293185265160278E-2</v>
      </c>
      <c r="X506" s="12">
        <f t="shared" si="55"/>
        <v>2.773064959769672E-5</v>
      </c>
      <c r="Y506" s="12">
        <f t="shared" si="56"/>
        <v>-3.2261381455489575E-6</v>
      </c>
      <c r="Z506" s="12">
        <f t="shared" si="57"/>
        <v>-4.0799079715174417E-5</v>
      </c>
    </row>
    <row r="507" spans="1:26" ht="13">
      <c r="A507" s="21" t="s">
        <v>119</v>
      </c>
      <c r="B507" s="9">
        <v>2017</v>
      </c>
      <c r="C507" s="19">
        <v>19.18</v>
      </c>
      <c r="D507" s="19">
        <v>547.04999999999995</v>
      </c>
      <c r="E507" s="19">
        <v>742.47</v>
      </c>
      <c r="F507" s="19">
        <v>661.22</v>
      </c>
      <c r="G507" s="19">
        <v>547.04999999999995</v>
      </c>
      <c r="H507" s="10">
        <f t="shared" si="136"/>
        <v>2.5832693576844853E-2</v>
      </c>
      <c r="I507" s="10">
        <f t="shared" si="137"/>
        <v>0.73679744636146904</v>
      </c>
      <c r="J507" s="10">
        <f t="shared" si="138"/>
        <v>1.2087012156110046</v>
      </c>
      <c r="K507" s="4">
        <f t="shared" si="147"/>
        <v>-0.22133648169787268</v>
      </c>
      <c r="L507" s="10">
        <f t="shared" si="155"/>
        <v>0.73679744636146904</v>
      </c>
      <c r="M507" s="19">
        <v>15.4</v>
      </c>
      <c r="N507" s="19">
        <v>-14.67</v>
      </c>
      <c r="O507" s="19">
        <v>8.15</v>
      </c>
      <c r="P507" s="11">
        <v>4.7600000000000003E-2</v>
      </c>
      <c r="Q507" s="11">
        <v>2.8E-3</v>
      </c>
      <c r="R507" s="12">
        <f t="shared" si="133"/>
        <v>2.0741578784327985E-2</v>
      </c>
      <c r="S507" s="12">
        <f t="shared" si="134"/>
        <v>-1.9758374075720231E-2</v>
      </c>
      <c r="T507" s="12">
        <f t="shared" si="135"/>
        <v>1.097687448651124E-2</v>
      </c>
      <c r="U507" s="12">
        <f t="shared" si="65"/>
        <v>9.8729915013401207E-4</v>
      </c>
      <c r="V507" s="12">
        <f t="shared" ref="V507:V756" si="156">S507*P507</f>
        <v>-9.40498606004283E-4</v>
      </c>
      <c r="W507" s="12">
        <f t="shared" ref="W507:W756" si="157">T507*P507</f>
        <v>5.2249922555793512E-4</v>
      </c>
      <c r="X507" s="12">
        <f t="shared" ref="X507:X756" si="158">R507*Q507</f>
        <v>5.8076420596118356E-5</v>
      </c>
      <c r="Y507" s="12">
        <f t="shared" ref="Y507:Y756" si="159">S507*Q507</f>
        <v>-5.5323447412016648E-5</v>
      </c>
      <c r="Z507" s="12">
        <f t="shared" ref="Z507:Z756" si="160">T507*Q507</f>
        <v>3.0735248562231469E-5</v>
      </c>
    </row>
    <row r="508" spans="1:26" ht="13">
      <c r="A508" s="22" t="str">
        <f t="shared" ref="A508:A511" si="161">A507</f>
        <v>HU3</v>
      </c>
      <c r="B508" s="9">
        <v>2018</v>
      </c>
      <c r="C508" s="19">
        <v>21.21</v>
      </c>
      <c r="D508" s="19">
        <v>575.83000000000004</v>
      </c>
      <c r="E508" s="19">
        <v>744.13</v>
      </c>
      <c r="F508" s="19">
        <v>672.19</v>
      </c>
      <c r="G508" s="19">
        <v>575.83000000000004</v>
      </c>
      <c r="H508" s="10">
        <f t="shared" si="136"/>
        <v>2.8503084138524183E-2</v>
      </c>
      <c r="I508" s="10">
        <f t="shared" si="137"/>
        <v>0.7738298415599425</v>
      </c>
      <c r="J508" s="10">
        <f t="shared" si="138"/>
        <v>1.1673410555198582</v>
      </c>
      <c r="K508" s="4">
        <f t="shared" si="147"/>
        <v>-2.2103145953765516E-2</v>
      </c>
      <c r="L508" s="10">
        <f t="shared" si="155"/>
        <v>0.7738298415599425</v>
      </c>
      <c r="M508" s="19">
        <v>94.22</v>
      </c>
      <c r="N508" s="19">
        <v>7.14</v>
      </c>
      <c r="O508" s="19">
        <v>-71.72</v>
      </c>
      <c r="P508" s="11">
        <v>4.7100000000000003E-2</v>
      </c>
      <c r="Q508" s="11">
        <v>2.5999999999999999E-3</v>
      </c>
      <c r="R508" s="12">
        <f t="shared" si="133"/>
        <v>0.12661766089258597</v>
      </c>
      <c r="S508" s="12">
        <f t="shared" si="134"/>
        <v>9.5950976307903179E-3</v>
      </c>
      <c r="T508" s="12">
        <f t="shared" si="135"/>
        <v>-9.6381008694717316E-2</v>
      </c>
      <c r="U508" s="12">
        <f t="shared" si="65"/>
        <v>5.9636918280407993E-3</v>
      </c>
      <c r="V508" s="12">
        <f t="shared" si="156"/>
        <v>4.5192909841022398E-4</v>
      </c>
      <c r="W508" s="12">
        <f t="shared" si="157"/>
        <v>-4.5395455095211855E-3</v>
      </c>
      <c r="X508" s="12">
        <f t="shared" si="158"/>
        <v>3.292059183207235E-4</v>
      </c>
      <c r="Y508" s="12">
        <f t="shared" si="159"/>
        <v>2.4947253840054824E-5</v>
      </c>
      <c r="Z508" s="12">
        <f t="shared" si="160"/>
        <v>-2.5059062260626502E-4</v>
      </c>
    </row>
    <row r="509" spans="1:26" ht="13">
      <c r="A509" s="22" t="str">
        <f t="shared" si="161"/>
        <v>HU3</v>
      </c>
      <c r="B509" s="9">
        <v>2019</v>
      </c>
      <c r="C509" s="19">
        <v>16.68</v>
      </c>
      <c r="D509" s="19">
        <v>225.3</v>
      </c>
      <c r="E509" s="19">
        <v>386.17</v>
      </c>
      <c r="F509" s="19">
        <v>344.33</v>
      </c>
      <c r="G509" s="19">
        <v>225.3</v>
      </c>
      <c r="H509" s="10">
        <f t="shared" si="136"/>
        <v>4.3193412227775327E-2</v>
      </c>
      <c r="I509" s="10">
        <f t="shared" si="137"/>
        <v>0.5834218090478287</v>
      </c>
      <c r="J509" s="10">
        <f t="shared" si="138"/>
        <v>1.5283177984909009</v>
      </c>
      <c r="K509" s="4">
        <f t="shared" si="147"/>
        <v>-1.1749793146463288</v>
      </c>
      <c r="L509" s="10">
        <f t="shared" si="155"/>
        <v>0.5834218090478287</v>
      </c>
      <c r="M509" s="19">
        <v>-33.28</v>
      </c>
      <c r="N509" s="19">
        <v>36.94</v>
      </c>
      <c r="O509" s="19">
        <v>-29.63</v>
      </c>
      <c r="P509" s="11">
        <v>5.1999999999999998E-2</v>
      </c>
      <c r="Q509" s="11">
        <v>3.1E-2</v>
      </c>
      <c r="R509" s="12">
        <f t="shared" si="133"/>
        <v>-8.6179661806976199E-2</v>
      </c>
      <c r="S509" s="12">
        <f t="shared" si="134"/>
        <v>9.5657352979257829E-2</v>
      </c>
      <c r="T509" s="12">
        <f t="shared" si="135"/>
        <v>-7.6727865965766362E-2</v>
      </c>
      <c r="U509" s="12">
        <f t="shared" si="65"/>
        <v>-4.4813424139627618E-3</v>
      </c>
      <c r="V509" s="12">
        <f t="shared" si="156"/>
        <v>4.9741823549214071E-3</v>
      </c>
      <c r="W509" s="12">
        <f t="shared" si="157"/>
        <v>-3.9898490302198502E-3</v>
      </c>
      <c r="X509" s="12">
        <f t="shared" si="158"/>
        <v>-2.6715695160162622E-3</v>
      </c>
      <c r="Y509" s="12">
        <f t="shared" si="159"/>
        <v>2.9653779423569927E-3</v>
      </c>
      <c r="Z509" s="12">
        <f t="shared" si="160"/>
        <v>-2.3785638449387572E-3</v>
      </c>
    </row>
    <row r="510" spans="1:26" ht="13">
      <c r="A510" s="22" t="str">
        <f t="shared" si="161"/>
        <v>HU3</v>
      </c>
      <c r="B510" s="9">
        <v>2020</v>
      </c>
      <c r="C510" s="19">
        <v>1.43</v>
      </c>
      <c r="D510" s="19">
        <v>111.66</v>
      </c>
      <c r="E510" s="19">
        <v>262.39</v>
      </c>
      <c r="F510" s="19">
        <v>223.7</v>
      </c>
      <c r="G510" s="19">
        <v>111.66</v>
      </c>
      <c r="H510" s="10">
        <f t="shared" si="136"/>
        <v>5.4499028164183084E-3</v>
      </c>
      <c r="I510" s="10">
        <f t="shared" si="137"/>
        <v>0.42554975418270513</v>
      </c>
      <c r="J510" s="10">
        <f t="shared" si="138"/>
        <v>2.0034031882500449</v>
      </c>
      <c r="K510" s="4">
        <f t="shared" si="147"/>
        <v>-1.9069045765854626</v>
      </c>
      <c r="L510" s="10">
        <f t="shared" si="155"/>
        <v>0.42554975418270513</v>
      </c>
      <c r="M510" s="19">
        <v>35.159999999999997</v>
      </c>
      <c r="N510" s="19">
        <v>0.69</v>
      </c>
      <c r="O510" s="19">
        <v>-70.709999999999994</v>
      </c>
      <c r="P510" s="11">
        <v>4.7500000000000001E-2</v>
      </c>
      <c r="Q510" s="11">
        <v>1.1999999999999999E-3</v>
      </c>
      <c r="R510" s="12">
        <f t="shared" si="133"/>
        <v>0.13399900910857881</v>
      </c>
      <c r="S510" s="12">
        <f t="shared" si="134"/>
        <v>2.6296733869430999E-3</v>
      </c>
      <c r="T510" s="12">
        <f t="shared" si="135"/>
        <v>-0.26948435534890808</v>
      </c>
      <c r="U510" s="12">
        <f t="shared" si="65"/>
        <v>6.3649529326574939E-3</v>
      </c>
      <c r="V510" s="12">
        <f t="shared" si="156"/>
        <v>1.2490948587979723E-4</v>
      </c>
      <c r="W510" s="12">
        <f t="shared" si="157"/>
        <v>-1.2800506879073133E-2</v>
      </c>
      <c r="X510" s="12">
        <f t="shared" si="158"/>
        <v>1.6079881093029457E-4</v>
      </c>
      <c r="Y510" s="12">
        <f t="shared" si="159"/>
        <v>3.1556080643317196E-6</v>
      </c>
      <c r="Z510" s="12">
        <f t="shared" si="160"/>
        <v>-3.2338122641868965E-4</v>
      </c>
    </row>
    <row r="511" spans="1:26" ht="13">
      <c r="A511" s="22" t="str">
        <f t="shared" si="161"/>
        <v>HU3</v>
      </c>
      <c r="B511" s="9">
        <v>2021</v>
      </c>
      <c r="C511" s="19">
        <v>0.66</v>
      </c>
      <c r="D511" s="19">
        <v>198.21</v>
      </c>
      <c r="E511" s="19">
        <v>346.71</v>
      </c>
      <c r="F511" s="19">
        <v>310.64999999999998</v>
      </c>
      <c r="G511" s="19">
        <v>198.21</v>
      </c>
      <c r="H511" s="10">
        <f t="shared" si="136"/>
        <v>1.9036082028208014E-3</v>
      </c>
      <c r="I511" s="10">
        <f t="shared" si="137"/>
        <v>0.57168815436531972</v>
      </c>
      <c r="J511" s="10">
        <f t="shared" si="138"/>
        <v>1.5672771303163311</v>
      </c>
      <c r="K511" s="4">
        <f t="shared" si="147"/>
        <v>-1.0562128655516365</v>
      </c>
      <c r="L511" s="10">
        <f t="shared" si="155"/>
        <v>0.57168815436531972</v>
      </c>
      <c r="M511" s="19">
        <v>-37.61</v>
      </c>
      <c r="N511" s="19">
        <v>-0.01</v>
      </c>
      <c r="O511" s="19">
        <v>47.35</v>
      </c>
      <c r="P511" s="11">
        <v>4.6800000000000001E-2</v>
      </c>
      <c r="Q511" s="11">
        <v>6.9999999999999999E-4</v>
      </c>
      <c r="R511" s="12">
        <f t="shared" si="133"/>
        <v>-0.10847682501225808</v>
      </c>
      <c r="S511" s="12">
        <f t="shared" si="134"/>
        <v>-2.88425485275879E-5</v>
      </c>
      <c r="T511" s="12">
        <f t="shared" si="135"/>
        <v>0.13656946727812871</v>
      </c>
      <c r="U511" s="12">
        <f t="shared" si="65"/>
        <v>-5.0767154105736782E-3</v>
      </c>
      <c r="V511" s="12">
        <f t="shared" si="156"/>
        <v>-1.3498312710911139E-6</v>
      </c>
      <c r="W511" s="12">
        <f t="shared" si="157"/>
        <v>6.3914510686164244E-3</v>
      </c>
      <c r="X511" s="12">
        <f t="shared" si="158"/>
        <v>-7.593377750858065E-5</v>
      </c>
      <c r="Y511" s="12">
        <f t="shared" si="159"/>
        <v>-2.0189783969311531E-8</v>
      </c>
      <c r="Z511" s="12">
        <f t="shared" si="160"/>
        <v>9.5598627094690102E-5</v>
      </c>
    </row>
    <row r="512" spans="1:26" ht="13">
      <c r="A512" s="21" t="s">
        <v>120</v>
      </c>
      <c r="B512" s="9">
        <v>2017</v>
      </c>
      <c r="C512" s="19">
        <v>64.45</v>
      </c>
      <c r="D512" s="19">
        <v>324.39</v>
      </c>
      <c r="E512" s="19">
        <v>656.97</v>
      </c>
      <c r="F512" s="19">
        <v>400.61</v>
      </c>
      <c r="G512" s="19">
        <v>228.24</v>
      </c>
      <c r="H512" s="10">
        <f t="shared" si="136"/>
        <v>9.8101892019422501E-2</v>
      </c>
      <c r="I512" s="10">
        <f t="shared" si="137"/>
        <v>0.4937668386684323</v>
      </c>
      <c r="J512" s="10">
        <f t="shared" si="138"/>
        <v>1.7552138100245356</v>
      </c>
      <c r="K512" s="4">
        <f t="shared" si="147"/>
        <v>-1.9340083889174347</v>
      </c>
      <c r="L512" s="10">
        <f t="shared" si="155"/>
        <v>0.4937668386684323</v>
      </c>
      <c r="M512" s="19">
        <v>-35.22</v>
      </c>
      <c r="N512" s="19">
        <v>-4.63</v>
      </c>
      <c r="O512" s="19">
        <v>-33.909999999999997</v>
      </c>
      <c r="P512" s="11">
        <v>0</v>
      </c>
      <c r="Q512" s="11">
        <v>7.8600000000000003E-2</v>
      </c>
      <c r="R512" s="12">
        <f t="shared" si="133"/>
        <v>-5.3609753870039724E-2</v>
      </c>
      <c r="S512" s="12">
        <f t="shared" si="134"/>
        <v>-7.0475059743976129E-3</v>
      </c>
      <c r="T512" s="12">
        <f t="shared" si="135"/>
        <v>-5.1615751099745796E-2</v>
      </c>
      <c r="U512" s="12">
        <f t="shared" si="65"/>
        <v>0</v>
      </c>
      <c r="V512" s="12">
        <f t="shared" si="156"/>
        <v>0</v>
      </c>
      <c r="W512" s="12">
        <f t="shared" si="157"/>
        <v>0</v>
      </c>
      <c r="X512" s="12">
        <f t="shared" si="158"/>
        <v>-4.2137266541851228E-3</v>
      </c>
      <c r="Y512" s="12">
        <f t="shared" si="159"/>
        <v>-5.5393396958765241E-4</v>
      </c>
      <c r="Z512" s="12">
        <f t="shared" si="160"/>
        <v>-4.0569980364400194E-3</v>
      </c>
    </row>
    <row r="513" spans="1:26" ht="13">
      <c r="A513" s="22" t="str">
        <f t="shared" ref="A513:A516" si="162">A512</f>
        <v>HUB</v>
      </c>
      <c r="B513" s="9">
        <v>2018</v>
      </c>
      <c r="C513" s="19">
        <v>71.62</v>
      </c>
      <c r="D513" s="19">
        <v>332.6</v>
      </c>
      <c r="E513" s="19">
        <v>707.1</v>
      </c>
      <c r="F513" s="19">
        <v>434.19</v>
      </c>
      <c r="G513" s="19">
        <v>242.98</v>
      </c>
      <c r="H513" s="10">
        <f t="shared" si="136"/>
        <v>0.1012869466836374</v>
      </c>
      <c r="I513" s="10">
        <f t="shared" si="137"/>
        <v>0.47037194173384245</v>
      </c>
      <c r="J513" s="10">
        <f t="shared" si="138"/>
        <v>1.7869371964770764</v>
      </c>
      <c r="K513" s="4">
        <f t="shared" si="147"/>
        <v>-2.0818189409793741</v>
      </c>
      <c r="L513" s="10">
        <f t="shared" si="155"/>
        <v>0.47037194173384245</v>
      </c>
      <c r="M513" s="19">
        <v>17.329999999999998</v>
      </c>
      <c r="N513" s="19">
        <v>-47.76</v>
      </c>
      <c r="O513" s="19">
        <v>-11.4</v>
      </c>
      <c r="P513" s="11">
        <v>0</v>
      </c>
      <c r="Q513" s="11">
        <v>7.8600000000000003E-2</v>
      </c>
      <c r="R513" s="12">
        <f t="shared" si="133"/>
        <v>2.4508556074105497E-2</v>
      </c>
      <c r="S513" s="12">
        <f t="shared" si="134"/>
        <v>-6.7543487484089934E-2</v>
      </c>
      <c r="T513" s="12">
        <f t="shared" si="135"/>
        <v>-1.6122189223589309E-2</v>
      </c>
      <c r="U513" s="12">
        <f t="shared" si="65"/>
        <v>0</v>
      </c>
      <c r="V513" s="12">
        <f t="shared" si="156"/>
        <v>0</v>
      </c>
      <c r="W513" s="12">
        <f t="shared" si="157"/>
        <v>0</v>
      </c>
      <c r="X513" s="12">
        <f t="shared" si="158"/>
        <v>1.9263725074246921E-3</v>
      </c>
      <c r="Y513" s="12">
        <f t="shared" si="159"/>
        <v>-5.3089181162494694E-3</v>
      </c>
      <c r="Z513" s="12">
        <f t="shared" si="160"/>
        <v>-1.2672040729741197E-3</v>
      </c>
    </row>
    <row r="514" spans="1:26" ht="13">
      <c r="A514" s="22" t="str">
        <f t="shared" si="162"/>
        <v>HUB</v>
      </c>
      <c r="B514" s="9">
        <v>2019</v>
      </c>
      <c r="C514" s="19">
        <v>71.650000000000006</v>
      </c>
      <c r="D514" s="19">
        <v>315.49</v>
      </c>
      <c r="E514" s="19">
        <v>731.77</v>
      </c>
      <c r="F514" s="19">
        <v>427.54</v>
      </c>
      <c r="G514" s="19">
        <v>231.58</v>
      </c>
      <c r="H514" s="10">
        <f t="shared" si="136"/>
        <v>9.7913278762452691E-2</v>
      </c>
      <c r="I514" s="10">
        <f t="shared" si="137"/>
        <v>0.4311327329625429</v>
      </c>
      <c r="J514" s="10">
        <f t="shared" si="138"/>
        <v>1.8461870627860781</v>
      </c>
      <c r="K514" s="4">
        <f t="shared" si="147"/>
        <v>-2.2905379247956863</v>
      </c>
      <c r="L514" s="10">
        <f t="shared" si="155"/>
        <v>0.4311327329625429</v>
      </c>
      <c r="M514" s="19">
        <v>9.6</v>
      </c>
      <c r="N514" s="19">
        <v>-9.26</v>
      </c>
      <c r="O514" s="19">
        <v>-44.77</v>
      </c>
      <c r="P514" s="11">
        <v>0</v>
      </c>
      <c r="Q514" s="11">
        <v>6.13E-2</v>
      </c>
      <c r="R514" s="12">
        <f t="shared" ref="R514:R577" si="163">M514/E514</f>
        <v>1.311887614960985E-2</v>
      </c>
      <c r="S514" s="12">
        <f t="shared" ref="S514:S577" si="164">N514/E514</f>
        <v>-1.2654249285977835E-2</v>
      </c>
      <c r="T514" s="12">
        <f t="shared" ref="T514:T577" si="165">O514/E514</f>
        <v>-6.1180425543545108E-2</v>
      </c>
      <c r="U514" s="12">
        <f t="shared" si="65"/>
        <v>0</v>
      </c>
      <c r="V514" s="12">
        <f t="shared" si="156"/>
        <v>0</v>
      </c>
      <c r="W514" s="12">
        <f t="shared" si="157"/>
        <v>0</v>
      </c>
      <c r="X514" s="12">
        <f t="shared" si="158"/>
        <v>8.0418710797108383E-4</v>
      </c>
      <c r="Y514" s="12">
        <f t="shared" si="159"/>
        <v>-7.7570548123044125E-4</v>
      </c>
      <c r="Z514" s="12">
        <f t="shared" si="160"/>
        <v>-3.7503600858193151E-3</v>
      </c>
    </row>
    <row r="515" spans="1:26" ht="13">
      <c r="A515" s="22" t="str">
        <f t="shared" si="162"/>
        <v>HUB</v>
      </c>
      <c r="B515" s="9">
        <v>2020</v>
      </c>
      <c r="C515" s="19">
        <v>72.25</v>
      </c>
      <c r="D515" s="19">
        <v>301.92</v>
      </c>
      <c r="E515" s="19">
        <v>759.05</v>
      </c>
      <c r="F515" s="19">
        <v>425.33</v>
      </c>
      <c r="G515" s="19">
        <v>220.42</v>
      </c>
      <c r="H515" s="10">
        <f t="shared" ref="H515:H578" si="166">C515/E515</f>
        <v>9.5184770436730126E-2</v>
      </c>
      <c r="I515" s="10">
        <f t="shared" ref="I515:I578" si="167">D515/E515</f>
        <v>0.39776035834266521</v>
      </c>
      <c r="J515" s="10">
        <f t="shared" ref="J515:J578" si="168">F515/G515</f>
        <v>1.9296343344524092</v>
      </c>
      <c r="K515" s="4">
        <f t="shared" si="147"/>
        <v>-2.4688159617499026</v>
      </c>
      <c r="L515" s="10">
        <f t="shared" si="155"/>
        <v>0.39776035834266521</v>
      </c>
      <c r="M515" s="19">
        <v>42</v>
      </c>
      <c r="N515" s="19">
        <v>-29.46</v>
      </c>
      <c r="O515" s="19">
        <v>-11.53</v>
      </c>
      <c r="P515" s="11">
        <v>4.3700000000000003E-2</v>
      </c>
      <c r="Q515" s="11">
        <v>5.8299999999999998E-2</v>
      </c>
      <c r="R515" s="12">
        <f t="shared" si="163"/>
        <v>5.5332323298860418E-2</v>
      </c>
      <c r="S515" s="12">
        <f t="shared" si="164"/>
        <v>-3.8811672485343528E-2</v>
      </c>
      <c r="T515" s="12">
        <f t="shared" si="165"/>
        <v>-1.5190040181806206E-2</v>
      </c>
      <c r="U515" s="12">
        <f t="shared" ref="U515:U764" si="169">R515*P515</f>
        <v>2.4180225281602006E-3</v>
      </c>
      <c r="V515" s="12">
        <f t="shared" si="156"/>
        <v>-1.6960700876095124E-3</v>
      </c>
      <c r="W515" s="12">
        <f t="shared" si="157"/>
        <v>-6.6380475594493126E-4</v>
      </c>
      <c r="X515" s="12">
        <f t="shared" si="158"/>
        <v>3.2258744483235624E-3</v>
      </c>
      <c r="Y515" s="12">
        <f t="shared" si="159"/>
        <v>-2.2627205058955275E-3</v>
      </c>
      <c r="Z515" s="12">
        <f t="shared" si="160"/>
        <v>-8.8557934259930174E-4</v>
      </c>
    </row>
    <row r="516" spans="1:26" ht="13">
      <c r="A516" s="22" t="str">
        <f t="shared" si="162"/>
        <v>HUB</v>
      </c>
      <c r="B516" s="9">
        <v>2021</v>
      </c>
      <c r="C516" s="19">
        <v>63.14</v>
      </c>
      <c r="D516" s="19">
        <v>309.67</v>
      </c>
      <c r="E516" s="19">
        <v>791.87</v>
      </c>
      <c r="F516" s="19">
        <v>430.37</v>
      </c>
      <c r="G516" s="19">
        <v>230.68</v>
      </c>
      <c r="H516" s="10">
        <f t="shared" si="166"/>
        <v>7.9735310088777198E-2</v>
      </c>
      <c r="I516" s="10">
        <f t="shared" si="167"/>
        <v>0.3910616641620468</v>
      </c>
      <c r="J516" s="10">
        <f t="shared" si="168"/>
        <v>1.8656580544477197</v>
      </c>
      <c r="K516" s="4">
        <f t="shared" si="147"/>
        <v>-2.4372200418936214</v>
      </c>
      <c r="L516" s="10">
        <f t="shared" si="155"/>
        <v>0.3910616641620468</v>
      </c>
      <c r="M516" s="19">
        <v>96.26</v>
      </c>
      <c r="N516" s="19">
        <v>0.04</v>
      </c>
      <c r="O516" s="19">
        <v>-50.01</v>
      </c>
      <c r="P516" s="11">
        <v>0.06</v>
      </c>
      <c r="Q516" s="11">
        <v>5.33E-2</v>
      </c>
      <c r="R516" s="12">
        <f t="shared" si="163"/>
        <v>0.12156035712932679</v>
      </c>
      <c r="S516" s="12">
        <f t="shared" si="164"/>
        <v>5.0513341836412545E-5</v>
      </c>
      <c r="T516" s="12">
        <f t="shared" si="165"/>
        <v>-6.315430563097478E-2</v>
      </c>
      <c r="U516" s="12">
        <f t="shared" si="169"/>
        <v>7.2936214277596074E-3</v>
      </c>
      <c r="V516" s="12">
        <f t="shared" si="156"/>
        <v>3.0308005101847525E-6</v>
      </c>
      <c r="W516" s="12">
        <f t="shared" si="157"/>
        <v>-3.7892583378584866E-3</v>
      </c>
      <c r="X516" s="12">
        <f t="shared" si="158"/>
        <v>6.4791670349931179E-3</v>
      </c>
      <c r="Y516" s="12">
        <f t="shared" si="159"/>
        <v>2.6923611198807888E-6</v>
      </c>
      <c r="Z516" s="12">
        <f t="shared" si="160"/>
        <v>-3.3661244901309556E-3</v>
      </c>
    </row>
    <row r="517" spans="1:26" ht="13">
      <c r="A517" s="21" t="s">
        <v>121</v>
      </c>
      <c r="B517" s="9">
        <v>2017</v>
      </c>
      <c r="C517" s="19">
        <v>171.14</v>
      </c>
      <c r="D517" s="19">
        <v>732.92</v>
      </c>
      <c r="E517" s="19">
        <v>1866.87</v>
      </c>
      <c r="F517" s="19">
        <v>552.47</v>
      </c>
      <c r="G517" s="19">
        <v>657.37</v>
      </c>
      <c r="H517" s="10">
        <f t="shared" si="166"/>
        <v>9.1672157140025815E-2</v>
      </c>
      <c r="I517" s="10">
        <f t="shared" si="167"/>
        <v>0.3925929496965509</v>
      </c>
      <c r="J517" s="10">
        <f t="shared" si="168"/>
        <v>0.84042472275887248</v>
      </c>
      <c r="K517" s="4">
        <f t="shared" si="147"/>
        <v>-2.4781065927508119</v>
      </c>
      <c r="L517" s="10">
        <f t="shared" si="155"/>
        <v>0.3925929496965509</v>
      </c>
      <c r="M517" s="19">
        <v>383.46</v>
      </c>
      <c r="N517" s="19">
        <v>-734.35</v>
      </c>
      <c r="O517" s="19">
        <v>619.36</v>
      </c>
      <c r="P517" s="11">
        <v>1.41E-2</v>
      </c>
      <c r="Q517" s="11">
        <v>1.55E-2</v>
      </c>
      <c r="R517" s="12">
        <f t="shared" si="163"/>
        <v>0.20540262578540552</v>
      </c>
      <c r="S517" s="12">
        <f t="shared" si="164"/>
        <v>-0.39335893768714481</v>
      </c>
      <c r="T517" s="12">
        <f t="shared" si="165"/>
        <v>0.33176386143652214</v>
      </c>
      <c r="U517" s="12">
        <f t="shared" si="169"/>
        <v>2.8961770235742179E-3</v>
      </c>
      <c r="V517" s="12">
        <f t="shared" si="156"/>
        <v>-5.546361021388742E-3</v>
      </c>
      <c r="W517" s="12">
        <f t="shared" si="157"/>
        <v>4.6778704462549624E-3</v>
      </c>
      <c r="X517" s="12">
        <f t="shared" si="158"/>
        <v>3.1837406996737855E-3</v>
      </c>
      <c r="Y517" s="12">
        <f t="shared" si="159"/>
        <v>-6.0970635341507443E-3</v>
      </c>
      <c r="Z517" s="12">
        <f t="shared" si="160"/>
        <v>5.1423398522660929E-3</v>
      </c>
    </row>
    <row r="518" spans="1:26" ht="13">
      <c r="A518" s="22" t="str">
        <f t="shared" ref="A518:A521" si="170">A517</f>
        <v>IBC</v>
      </c>
      <c r="B518" s="9">
        <v>2018</v>
      </c>
      <c r="C518" s="19">
        <v>86.29</v>
      </c>
      <c r="D518" s="19">
        <v>1023.73</v>
      </c>
      <c r="E518" s="19">
        <v>2259.33</v>
      </c>
      <c r="F518" s="19">
        <v>788.53</v>
      </c>
      <c r="G518" s="19">
        <v>748.96</v>
      </c>
      <c r="H518" s="10">
        <f t="shared" si="166"/>
        <v>3.8192738555235403E-2</v>
      </c>
      <c r="I518" s="10">
        <f t="shared" si="167"/>
        <v>0.4531122058309322</v>
      </c>
      <c r="J518" s="10">
        <f t="shared" si="168"/>
        <v>1.0528332621234777</v>
      </c>
      <c r="K518" s="4">
        <f t="shared" si="147"/>
        <v>-1.8933390833107393</v>
      </c>
      <c r="L518" s="10">
        <f t="shared" si="155"/>
        <v>0.4531122058309322</v>
      </c>
      <c r="M518" s="19">
        <v>61.38</v>
      </c>
      <c r="N518" s="19">
        <v>-151.47</v>
      </c>
      <c r="O518" s="19">
        <v>298.5</v>
      </c>
      <c r="P518" s="11">
        <v>1.6E-2</v>
      </c>
      <c r="Q518" s="11">
        <v>1.42E-3</v>
      </c>
      <c r="R518" s="12">
        <f t="shared" si="163"/>
        <v>2.7167346071623005E-2</v>
      </c>
      <c r="S518" s="12">
        <f t="shared" si="164"/>
        <v>-6.7041999176747094E-2</v>
      </c>
      <c r="T518" s="12">
        <f t="shared" si="165"/>
        <v>0.13211881398467687</v>
      </c>
      <c r="U518" s="12">
        <f t="shared" si="169"/>
        <v>4.3467753714596807E-4</v>
      </c>
      <c r="V518" s="12">
        <f t="shared" si="156"/>
        <v>-1.0726719868279534E-3</v>
      </c>
      <c r="W518" s="12">
        <f t="shared" si="157"/>
        <v>2.1139010237548298E-3</v>
      </c>
      <c r="X518" s="12">
        <f t="shared" si="158"/>
        <v>3.857763142170467E-5</v>
      </c>
      <c r="Y518" s="12">
        <f t="shared" si="159"/>
        <v>-9.519963883098088E-5</v>
      </c>
      <c r="Z518" s="12">
        <f t="shared" si="160"/>
        <v>1.8760871585824117E-4</v>
      </c>
    </row>
    <row r="519" spans="1:26" ht="13">
      <c r="A519" s="22" t="str">
        <f t="shared" si="170"/>
        <v>IBC</v>
      </c>
      <c r="B519" s="9">
        <v>2019</v>
      </c>
      <c r="C519" s="19">
        <v>69.89</v>
      </c>
      <c r="D519" s="19">
        <v>1974.07</v>
      </c>
      <c r="E519" s="19">
        <v>2909.64</v>
      </c>
      <c r="F519" s="19">
        <v>836.48</v>
      </c>
      <c r="G519" s="19">
        <v>1690.93</v>
      </c>
      <c r="H519" s="10">
        <f t="shared" si="166"/>
        <v>2.4020153695989883E-2</v>
      </c>
      <c r="I519" s="10">
        <f t="shared" si="167"/>
        <v>0.67845850345747238</v>
      </c>
      <c r="J519" s="10">
        <f t="shared" si="168"/>
        <v>0.4946863560289308</v>
      </c>
      <c r="K519" s="4">
        <f t="shared" si="147"/>
        <v>-0.54285596734847685</v>
      </c>
      <c r="L519" s="10">
        <f t="shared" si="155"/>
        <v>0.67845850345747238</v>
      </c>
      <c r="M519" s="19">
        <v>538.16</v>
      </c>
      <c r="N519" s="19">
        <v>-712.14</v>
      </c>
      <c r="O519" s="19">
        <v>225.08</v>
      </c>
      <c r="P519" s="11">
        <v>6.7599999999999993E-2</v>
      </c>
      <c r="Q519" s="11">
        <v>3.8800000000000001E-2</v>
      </c>
      <c r="R519" s="12">
        <f t="shared" si="163"/>
        <v>0.18495758925502812</v>
      </c>
      <c r="S519" s="12">
        <f t="shared" si="164"/>
        <v>-0.24475192807357612</v>
      </c>
      <c r="T519" s="12">
        <f t="shared" si="165"/>
        <v>7.7356648932513997E-2</v>
      </c>
      <c r="U519" s="12">
        <f t="shared" si="169"/>
        <v>1.25031330336399E-2</v>
      </c>
      <c r="V519" s="12">
        <f t="shared" si="156"/>
        <v>-1.6545230337773744E-2</v>
      </c>
      <c r="W519" s="12">
        <f t="shared" si="157"/>
        <v>5.229309467837946E-3</v>
      </c>
      <c r="X519" s="12">
        <f t="shared" si="158"/>
        <v>7.1763544630950912E-3</v>
      </c>
      <c r="Y519" s="12">
        <f t="shared" si="159"/>
        <v>-9.4963748092547536E-3</v>
      </c>
      <c r="Z519" s="12">
        <f t="shared" si="160"/>
        <v>3.0014379785815431E-3</v>
      </c>
    </row>
    <row r="520" spans="1:26" ht="13">
      <c r="A520" s="22" t="str">
        <f t="shared" si="170"/>
        <v>IBC</v>
      </c>
      <c r="B520" s="9">
        <v>2020</v>
      </c>
      <c r="C520" s="19">
        <v>74.540000000000006</v>
      </c>
      <c r="D520" s="19">
        <v>2228.33</v>
      </c>
      <c r="E520" s="19">
        <v>3279.82</v>
      </c>
      <c r="F520" s="19">
        <v>1372.65</v>
      </c>
      <c r="G520" s="19">
        <v>1713.86</v>
      </c>
      <c r="H520" s="10">
        <f t="shared" si="166"/>
        <v>2.2726856961662531E-2</v>
      </c>
      <c r="I520" s="10">
        <f t="shared" si="167"/>
        <v>0.67940618692489219</v>
      </c>
      <c r="J520" s="10">
        <f t="shared" si="168"/>
        <v>0.8009113929959274</v>
      </c>
      <c r="K520" s="4">
        <f t="shared" si="147"/>
        <v>-0.53285923642757971</v>
      </c>
      <c r="L520" s="10">
        <f t="shared" si="155"/>
        <v>0.67940618692489219</v>
      </c>
      <c r="M520" s="19">
        <v>-571.62</v>
      </c>
      <c r="N520" s="19">
        <v>-201.61</v>
      </c>
      <c r="O520" s="19">
        <v>446.4</v>
      </c>
      <c r="P520" s="11">
        <v>5.3E-3</v>
      </c>
      <c r="Q520" s="11">
        <v>2.5499999999999998E-2</v>
      </c>
      <c r="R520" s="12">
        <f t="shared" si="163"/>
        <v>-0.17428395460726503</v>
      </c>
      <c r="S520" s="12">
        <f t="shared" si="164"/>
        <v>-6.1469836759334352E-2</v>
      </c>
      <c r="T520" s="12">
        <f t="shared" si="165"/>
        <v>0.13610503015409381</v>
      </c>
      <c r="U520" s="12">
        <f t="shared" si="169"/>
        <v>-9.2370495941850473E-4</v>
      </c>
      <c r="V520" s="12">
        <f t="shared" si="156"/>
        <v>-3.2579013482447207E-4</v>
      </c>
      <c r="W520" s="12">
        <f t="shared" si="157"/>
        <v>7.2135665981669719E-4</v>
      </c>
      <c r="X520" s="12">
        <f t="shared" si="158"/>
        <v>-4.4442408424852581E-3</v>
      </c>
      <c r="Y520" s="12">
        <f t="shared" si="159"/>
        <v>-1.5674808373630259E-3</v>
      </c>
      <c r="Z520" s="12">
        <f t="shared" si="160"/>
        <v>3.4706782689293918E-3</v>
      </c>
    </row>
    <row r="521" spans="1:26" ht="13">
      <c r="A521" s="22" t="str">
        <f t="shared" si="170"/>
        <v>IBC</v>
      </c>
      <c r="B521" s="9">
        <v>2021</v>
      </c>
      <c r="C521" s="19">
        <v>95.66</v>
      </c>
      <c r="D521" s="19">
        <v>3075.22</v>
      </c>
      <c r="E521" s="19">
        <v>4627.72</v>
      </c>
      <c r="F521" s="19">
        <v>2430.66</v>
      </c>
      <c r="G521" s="19">
        <v>1663.96</v>
      </c>
      <c r="H521" s="10">
        <f t="shared" si="166"/>
        <v>2.0671086409722279E-2</v>
      </c>
      <c r="I521" s="10">
        <f t="shared" si="167"/>
        <v>0.66452162187859243</v>
      </c>
      <c r="J521" s="10">
        <f t="shared" si="168"/>
        <v>1.4607682876992234</v>
      </c>
      <c r="K521" s="4">
        <f t="shared" si="147"/>
        <v>-0.61108971728657024</v>
      </c>
      <c r="L521" s="10">
        <f t="shared" si="155"/>
        <v>0.66452162187859243</v>
      </c>
      <c r="M521" s="19">
        <v>282.02999999999997</v>
      </c>
      <c r="N521" s="19">
        <v>-739.31</v>
      </c>
      <c r="O521" s="19">
        <v>950.85</v>
      </c>
      <c r="P521" s="11">
        <v>2.5490000000000001E-3</v>
      </c>
      <c r="Q521" s="11">
        <v>5.3600000000000002E-5</v>
      </c>
      <c r="R521" s="12">
        <f t="shared" si="163"/>
        <v>6.0943618023562351E-2</v>
      </c>
      <c r="S521" s="12">
        <f t="shared" si="164"/>
        <v>-0.15975685650817248</v>
      </c>
      <c r="T521" s="12">
        <f t="shared" si="165"/>
        <v>0.20546835158566204</v>
      </c>
      <c r="U521" s="12">
        <f t="shared" si="169"/>
        <v>1.5534528234206044E-4</v>
      </c>
      <c r="V521" s="12">
        <f t="shared" si="156"/>
        <v>-4.0722022723933165E-4</v>
      </c>
      <c r="W521" s="12">
        <f t="shared" si="157"/>
        <v>5.237388281918526E-4</v>
      </c>
      <c r="X521" s="12">
        <f t="shared" si="158"/>
        <v>3.2665779260629421E-6</v>
      </c>
      <c r="Y521" s="12">
        <f t="shared" si="159"/>
        <v>-8.5629675088380454E-6</v>
      </c>
      <c r="Z521" s="12">
        <f t="shared" si="160"/>
        <v>1.1013103644991486E-5</v>
      </c>
    </row>
    <row r="522" spans="1:26" ht="13">
      <c r="A522" s="21" t="s">
        <v>122</v>
      </c>
      <c r="B522" s="9">
        <v>2017</v>
      </c>
      <c r="C522" s="19">
        <v>342.89</v>
      </c>
      <c r="D522" s="19">
        <v>3515.95</v>
      </c>
      <c r="E522" s="19">
        <v>5736.9</v>
      </c>
      <c r="F522" s="19">
        <v>3272.73</v>
      </c>
      <c r="G522" s="19">
        <v>2911.8</v>
      </c>
      <c r="H522" s="10">
        <f t="shared" si="166"/>
        <v>5.9769213338214021E-2</v>
      </c>
      <c r="I522" s="10">
        <f t="shared" si="167"/>
        <v>0.61286583346406598</v>
      </c>
      <c r="J522" s="10">
        <f t="shared" si="168"/>
        <v>1.1239542550999382</v>
      </c>
      <c r="K522" s="4">
        <f t="shared" si="147"/>
        <v>-1.080122026297186</v>
      </c>
      <c r="L522" s="10">
        <f t="shared" si="155"/>
        <v>0.61286583346406598</v>
      </c>
      <c r="M522" s="19">
        <v>329.29</v>
      </c>
      <c r="N522" s="19">
        <v>-261.44</v>
      </c>
      <c r="O522" s="19">
        <v>224.25</v>
      </c>
      <c r="P522" s="11">
        <v>2.01E-2</v>
      </c>
      <c r="Q522" s="11">
        <v>3.4799999999999998E-2</v>
      </c>
      <c r="R522" s="12">
        <f t="shared" si="163"/>
        <v>5.7398595060049858E-2</v>
      </c>
      <c r="S522" s="12">
        <f t="shared" si="164"/>
        <v>-4.5571650194355842E-2</v>
      </c>
      <c r="T522" s="12">
        <f t="shared" si="165"/>
        <v>3.9089055064581921E-2</v>
      </c>
      <c r="U522" s="12">
        <f t="shared" si="169"/>
        <v>1.1537117607070021E-3</v>
      </c>
      <c r="V522" s="12">
        <f t="shared" si="156"/>
        <v>-9.1599016890655247E-4</v>
      </c>
      <c r="W522" s="12">
        <f t="shared" si="157"/>
        <v>7.8569000679809661E-4</v>
      </c>
      <c r="X522" s="12">
        <f t="shared" si="158"/>
        <v>1.9974711080897349E-3</v>
      </c>
      <c r="Y522" s="12">
        <f t="shared" si="159"/>
        <v>-1.5858934267635831E-3</v>
      </c>
      <c r="Z522" s="12">
        <f t="shared" si="160"/>
        <v>1.3602991162474508E-3</v>
      </c>
    </row>
    <row r="523" spans="1:26" ht="13">
      <c r="A523" s="22" t="str">
        <f t="shared" ref="A523:A526" si="171">A522</f>
        <v>IDI</v>
      </c>
      <c r="B523" s="9">
        <v>2018</v>
      </c>
      <c r="C523" s="19">
        <v>643.80999999999995</v>
      </c>
      <c r="D523" s="19">
        <v>3953.24</v>
      </c>
      <c r="E523" s="19">
        <v>6617.65</v>
      </c>
      <c r="F523" s="19">
        <v>4096.43</v>
      </c>
      <c r="G523" s="19">
        <v>3416.61</v>
      </c>
      <c r="H523" s="10">
        <f t="shared" si="166"/>
        <v>9.7286801205866122E-2</v>
      </c>
      <c r="I523" s="10">
        <f t="shared" si="167"/>
        <v>0.59737822338745628</v>
      </c>
      <c r="J523" s="10">
        <f t="shared" si="168"/>
        <v>1.1989750073903664</v>
      </c>
      <c r="K523" s="4">
        <f t="shared" si="147"/>
        <v>-1.3375306321474578</v>
      </c>
      <c r="L523" s="10">
        <f t="shared" si="155"/>
        <v>0.59737822338745628</v>
      </c>
      <c r="M523" s="19">
        <v>93.24</v>
      </c>
      <c r="N523" s="19">
        <v>-57.6</v>
      </c>
      <c r="O523" s="19">
        <v>-138.1</v>
      </c>
      <c r="P523" s="11">
        <v>7.8200000000000006E-2</v>
      </c>
      <c r="Q523" s="11">
        <v>1.8E-3</v>
      </c>
      <c r="R523" s="12">
        <f t="shared" si="163"/>
        <v>1.4089593737958339E-2</v>
      </c>
      <c r="S523" s="12">
        <f t="shared" si="164"/>
        <v>-8.7039961315572758E-3</v>
      </c>
      <c r="T523" s="12">
        <f t="shared" si="165"/>
        <v>-2.0868435169584369E-2</v>
      </c>
      <c r="U523" s="12">
        <f t="shared" si="169"/>
        <v>1.1018062303083422E-3</v>
      </c>
      <c r="V523" s="12">
        <f t="shared" si="156"/>
        <v>-6.8065249748777907E-4</v>
      </c>
      <c r="W523" s="12">
        <f t="shared" si="157"/>
        <v>-1.6319116302614977E-3</v>
      </c>
      <c r="X523" s="12">
        <f t="shared" si="158"/>
        <v>2.536126872832501E-5</v>
      </c>
      <c r="Y523" s="12">
        <f t="shared" si="159"/>
        <v>-1.5667193036803096E-5</v>
      </c>
      <c r="Z523" s="12">
        <f t="shared" si="160"/>
        <v>-3.7563183305251863E-5</v>
      </c>
    </row>
    <row r="524" spans="1:26" ht="13">
      <c r="A524" s="22" t="str">
        <f t="shared" si="171"/>
        <v>IDI</v>
      </c>
      <c r="B524" s="9">
        <v>2019</v>
      </c>
      <c r="C524" s="19">
        <v>325.95999999999998</v>
      </c>
      <c r="D524" s="19">
        <v>4602.18</v>
      </c>
      <c r="E524" s="19">
        <v>7493.57</v>
      </c>
      <c r="F524" s="19">
        <v>4944.51</v>
      </c>
      <c r="G524" s="19">
        <v>4095.66</v>
      </c>
      <c r="H524" s="10">
        <f t="shared" si="166"/>
        <v>4.349862615549064E-2</v>
      </c>
      <c r="I524" s="10">
        <f t="shared" si="167"/>
        <v>0.6141505317225302</v>
      </c>
      <c r="J524" s="10">
        <f t="shared" si="168"/>
        <v>1.2072559733962294</v>
      </c>
      <c r="K524" s="4">
        <f t="shared" si="147"/>
        <v>-0.99991481077487088</v>
      </c>
      <c r="L524" s="10">
        <f t="shared" si="155"/>
        <v>0.6141505317225302</v>
      </c>
      <c r="M524" s="19">
        <v>-156.34</v>
      </c>
      <c r="N524" s="19">
        <v>-286.14</v>
      </c>
      <c r="O524" s="19">
        <v>665.22</v>
      </c>
      <c r="P524" s="11">
        <v>1.4E-2</v>
      </c>
      <c r="Q524" s="11">
        <v>1.81E-3</v>
      </c>
      <c r="R524" s="12">
        <f t="shared" si="163"/>
        <v>-2.0863220067337731E-2</v>
      </c>
      <c r="S524" s="12">
        <f t="shared" si="164"/>
        <v>-3.8184737047895732E-2</v>
      </c>
      <c r="T524" s="12">
        <f t="shared" si="165"/>
        <v>8.8772107286647098E-2</v>
      </c>
      <c r="U524" s="12">
        <f t="shared" si="169"/>
        <v>-2.9208508094272825E-4</v>
      </c>
      <c r="V524" s="12">
        <f t="shared" si="156"/>
        <v>-5.3458631867054024E-4</v>
      </c>
      <c r="W524" s="12">
        <f t="shared" si="157"/>
        <v>1.2428095020130595E-3</v>
      </c>
      <c r="X524" s="12">
        <f t="shared" si="158"/>
        <v>-3.7762428321881295E-5</v>
      </c>
      <c r="Y524" s="12">
        <f t="shared" si="159"/>
        <v>-6.9114374056691277E-5</v>
      </c>
      <c r="Z524" s="12">
        <f t="shared" si="160"/>
        <v>1.6067751418883124E-4</v>
      </c>
    </row>
    <row r="525" spans="1:26" ht="13">
      <c r="A525" s="22" t="str">
        <f t="shared" si="171"/>
        <v>IDI</v>
      </c>
      <c r="B525" s="9">
        <v>2020</v>
      </c>
      <c r="C525" s="19">
        <v>107.13</v>
      </c>
      <c r="D525" s="19">
        <v>4714.95</v>
      </c>
      <c r="E525" s="19">
        <v>7713.64</v>
      </c>
      <c r="F525" s="19">
        <v>5426.5</v>
      </c>
      <c r="G525" s="19">
        <v>4265.93</v>
      </c>
      <c r="H525" s="10">
        <f t="shared" si="166"/>
        <v>1.3888384731462707E-2</v>
      </c>
      <c r="I525" s="10">
        <f t="shared" si="167"/>
        <v>0.61124838597601128</v>
      </c>
      <c r="J525" s="10">
        <f t="shared" si="168"/>
        <v>1.2720555658437902</v>
      </c>
      <c r="K525" s="4">
        <f t="shared" si="147"/>
        <v>-0.88347015349169278</v>
      </c>
      <c r="L525" s="10">
        <f t="shared" si="155"/>
        <v>0.61124838597601128</v>
      </c>
      <c r="M525" s="19">
        <v>-31.46</v>
      </c>
      <c r="N525" s="19">
        <v>-300.49</v>
      </c>
      <c r="O525" s="19">
        <v>291.73</v>
      </c>
      <c r="P525" s="11">
        <v>5.4999999999999997E-3</v>
      </c>
      <c r="Q525" s="11">
        <v>1.81E-3</v>
      </c>
      <c r="R525" s="12">
        <f t="shared" si="163"/>
        <v>-4.0784895328275627E-3</v>
      </c>
      <c r="S525" s="12">
        <f t="shared" si="164"/>
        <v>-3.8955668141111073E-2</v>
      </c>
      <c r="T525" s="12">
        <f t="shared" si="165"/>
        <v>3.7820017527393036E-2</v>
      </c>
      <c r="U525" s="12">
        <f t="shared" si="169"/>
        <v>-2.2431692430551593E-5</v>
      </c>
      <c r="V525" s="12">
        <f t="shared" si="156"/>
        <v>-2.1425617477611089E-4</v>
      </c>
      <c r="W525" s="12">
        <f t="shared" si="157"/>
        <v>2.0801009640066169E-4</v>
      </c>
      <c r="X525" s="12">
        <f t="shared" si="158"/>
        <v>-7.3820660544178887E-6</v>
      </c>
      <c r="Y525" s="12">
        <f t="shared" si="159"/>
        <v>-7.0509759335411035E-5</v>
      </c>
      <c r="Z525" s="12">
        <f t="shared" si="160"/>
        <v>6.8454231724581396E-5</v>
      </c>
    </row>
    <row r="526" spans="1:26" ht="13">
      <c r="A526" s="22" t="str">
        <f t="shared" si="171"/>
        <v>IDI</v>
      </c>
      <c r="B526" s="9">
        <v>2021</v>
      </c>
      <c r="C526" s="19">
        <v>143.30000000000001</v>
      </c>
      <c r="D526" s="19">
        <v>4411.25</v>
      </c>
      <c r="E526" s="19">
        <v>7553.86</v>
      </c>
      <c r="F526" s="19">
        <v>5515.28</v>
      </c>
      <c r="G526" s="19">
        <v>4115.8900000000003</v>
      </c>
      <c r="H526" s="10">
        <f t="shared" si="166"/>
        <v>1.8970433659082908E-2</v>
      </c>
      <c r="I526" s="10">
        <f t="shared" si="167"/>
        <v>0.58397296216768646</v>
      </c>
      <c r="J526" s="10">
        <f t="shared" si="168"/>
        <v>1.3399969386936967</v>
      </c>
      <c r="K526" s="4">
        <f t="shared" si="147"/>
        <v>-1.0620810548648345</v>
      </c>
      <c r="L526" s="10">
        <f t="shared" si="155"/>
        <v>0.58397296216768646</v>
      </c>
      <c r="M526" s="19">
        <v>254.64</v>
      </c>
      <c r="N526" s="19">
        <v>-81.099999999999994</v>
      </c>
      <c r="O526" s="19">
        <v>-355.92</v>
      </c>
      <c r="P526" s="11">
        <v>4.5999999999999999E-3</v>
      </c>
      <c r="Q526" s="11">
        <v>4.5710000000000001E-2</v>
      </c>
      <c r="R526" s="12">
        <f t="shared" si="163"/>
        <v>3.3709917843327782E-2</v>
      </c>
      <c r="S526" s="12">
        <f t="shared" si="164"/>
        <v>-1.0736232866375602E-2</v>
      </c>
      <c r="T526" s="12">
        <f t="shared" si="165"/>
        <v>-4.7117632574604246E-2</v>
      </c>
      <c r="U526" s="12">
        <f t="shared" si="169"/>
        <v>1.5506562207930779E-4</v>
      </c>
      <c r="V526" s="12">
        <f t="shared" si="156"/>
        <v>-4.9386671185327766E-5</v>
      </c>
      <c r="W526" s="12">
        <f t="shared" si="157"/>
        <v>-2.1674110984317953E-4</v>
      </c>
      <c r="X526" s="12">
        <f t="shared" si="158"/>
        <v>1.5408803446185129E-3</v>
      </c>
      <c r="Y526" s="12">
        <f t="shared" si="159"/>
        <v>-4.9075320432202872E-4</v>
      </c>
      <c r="Z526" s="12">
        <f t="shared" si="160"/>
        <v>-2.1537469849851601E-3</v>
      </c>
    </row>
    <row r="527" spans="1:26" ht="13">
      <c r="A527" s="21" t="s">
        <v>123</v>
      </c>
      <c r="B527" s="9">
        <v>2017</v>
      </c>
      <c r="C527" s="19">
        <v>184.33</v>
      </c>
      <c r="D527" s="19">
        <v>6363.19</v>
      </c>
      <c r="E527" s="19">
        <v>8022.91</v>
      </c>
      <c r="F527" s="19">
        <v>6135</v>
      </c>
      <c r="G527" s="19">
        <v>4004.31</v>
      </c>
      <c r="H527" s="10">
        <f t="shared" si="166"/>
        <v>2.2975454043482977E-2</v>
      </c>
      <c r="I527" s="10">
        <f t="shared" si="167"/>
        <v>0.79312743131856145</v>
      </c>
      <c r="J527" s="10">
        <f t="shared" si="168"/>
        <v>1.532099163151704</v>
      </c>
      <c r="K527" s="4">
        <f t="shared" si="147"/>
        <v>0.1113084186675207</v>
      </c>
      <c r="L527" s="10">
        <f t="shared" si="155"/>
        <v>0.79312743131856145</v>
      </c>
      <c r="M527" s="19">
        <v>1475.89</v>
      </c>
      <c r="N527" s="19">
        <v>-11.24</v>
      </c>
      <c r="O527" s="19">
        <v>-1463.68</v>
      </c>
      <c r="P527" s="11">
        <v>4.3999999999999997E-2</v>
      </c>
      <c r="Q527" s="11">
        <v>3.0000000000000001E-6</v>
      </c>
      <c r="R527" s="12">
        <f t="shared" si="163"/>
        <v>0.18395943616468341</v>
      </c>
      <c r="S527" s="12">
        <f t="shared" si="164"/>
        <v>-1.4009879208416896E-3</v>
      </c>
      <c r="T527" s="12">
        <f t="shared" si="165"/>
        <v>-0.18243754448198971</v>
      </c>
      <c r="U527" s="12">
        <f t="shared" si="169"/>
        <v>8.0942151912460694E-3</v>
      </c>
      <c r="V527" s="12">
        <f t="shared" si="156"/>
        <v>-6.1643468517034338E-5</v>
      </c>
      <c r="W527" s="12">
        <f t="shared" si="157"/>
        <v>-8.0272519572075467E-3</v>
      </c>
      <c r="X527" s="12">
        <f t="shared" si="158"/>
        <v>5.5187830849405022E-7</v>
      </c>
      <c r="Y527" s="12">
        <f t="shared" si="159"/>
        <v>-4.2029637625250693E-9</v>
      </c>
      <c r="Z527" s="12">
        <f t="shared" si="160"/>
        <v>-5.4731263344596911E-7</v>
      </c>
    </row>
    <row r="528" spans="1:26" ht="13">
      <c r="A528" s="22" t="str">
        <f t="shared" ref="A528:A531" si="172">A527</f>
        <v>IJC</v>
      </c>
      <c r="B528" s="9">
        <v>2018</v>
      </c>
      <c r="C528" s="19">
        <v>232.99</v>
      </c>
      <c r="D528" s="19">
        <v>6401.48</v>
      </c>
      <c r="E528" s="19">
        <v>8138.2</v>
      </c>
      <c r="F528" s="19">
        <v>6277.39</v>
      </c>
      <c r="G528" s="19">
        <v>5453.09</v>
      </c>
      <c r="H528" s="10">
        <f t="shared" si="166"/>
        <v>2.8629180899953307E-2</v>
      </c>
      <c r="I528" s="10">
        <f t="shared" si="167"/>
        <v>0.78659654469047202</v>
      </c>
      <c r="J528" s="10">
        <f t="shared" si="168"/>
        <v>1.1511620017274611</v>
      </c>
      <c r="K528" s="4">
        <f t="shared" si="147"/>
        <v>5.0164342678991621E-2</v>
      </c>
      <c r="L528" s="10">
        <f t="shared" si="155"/>
        <v>0.78659654469047202</v>
      </c>
      <c r="M528" s="19">
        <v>469.55</v>
      </c>
      <c r="N528" s="19">
        <v>-34.86</v>
      </c>
      <c r="O528" s="19">
        <v>-301.52999999999997</v>
      </c>
      <c r="P528" s="11">
        <v>2.1000000000000001E-2</v>
      </c>
      <c r="Q528" s="11">
        <v>3.0000000000000001E-6</v>
      </c>
      <c r="R528" s="12">
        <f t="shared" si="163"/>
        <v>5.7697033742105136E-2</v>
      </c>
      <c r="S528" s="12">
        <f t="shared" si="164"/>
        <v>-4.2835024944090829E-3</v>
      </c>
      <c r="T528" s="12">
        <f t="shared" si="165"/>
        <v>-3.7051190680985967E-2</v>
      </c>
      <c r="U528" s="12">
        <f t="shared" si="169"/>
        <v>1.211637708584208E-3</v>
      </c>
      <c r="V528" s="12">
        <f t="shared" si="156"/>
        <v>-8.9953552382590743E-5</v>
      </c>
      <c r="W528" s="12">
        <f t="shared" si="157"/>
        <v>-7.7807500430070533E-4</v>
      </c>
      <c r="X528" s="12">
        <f t="shared" si="158"/>
        <v>1.7309110122631542E-7</v>
      </c>
      <c r="Y528" s="12">
        <f t="shared" si="159"/>
        <v>-1.2850507483227249E-8</v>
      </c>
      <c r="Z528" s="12">
        <f t="shared" si="160"/>
        <v>-1.111535720429579E-7</v>
      </c>
    </row>
    <row r="529" spans="1:26" ht="13">
      <c r="A529" s="22" t="str">
        <f t="shared" si="172"/>
        <v>IJC</v>
      </c>
      <c r="B529" s="9">
        <v>2019</v>
      </c>
      <c r="C529" s="19">
        <v>284.44</v>
      </c>
      <c r="D529" s="19">
        <v>5714.98</v>
      </c>
      <c r="E529" s="19">
        <v>7547.33</v>
      </c>
      <c r="F529" s="19">
        <v>5782</v>
      </c>
      <c r="G529" s="19">
        <v>5030.74</v>
      </c>
      <c r="H529" s="10">
        <f t="shared" si="166"/>
        <v>3.7687500082810743E-2</v>
      </c>
      <c r="I529" s="10">
        <f t="shared" si="167"/>
        <v>0.75721877803143622</v>
      </c>
      <c r="J529" s="10">
        <f t="shared" si="168"/>
        <v>1.1493338952122352</v>
      </c>
      <c r="K529" s="4">
        <f t="shared" si="147"/>
        <v>-0.1580440511743105</v>
      </c>
      <c r="L529" s="10">
        <f t="shared" si="155"/>
        <v>0.75721877803143622</v>
      </c>
      <c r="M529" s="19">
        <v>1078.45</v>
      </c>
      <c r="N529" s="19">
        <v>-50.06</v>
      </c>
      <c r="O529" s="19">
        <v>-1178.48</v>
      </c>
      <c r="P529" s="11">
        <v>1.4999999999999999E-2</v>
      </c>
      <c r="Q529" s="11">
        <v>3.0000000000000001E-6</v>
      </c>
      <c r="R529" s="12">
        <f t="shared" si="163"/>
        <v>0.14289159212595715</v>
      </c>
      <c r="S529" s="12">
        <f t="shared" si="164"/>
        <v>-6.6328092186243347E-3</v>
      </c>
      <c r="T529" s="12">
        <f t="shared" si="165"/>
        <v>-0.15614528581630854</v>
      </c>
      <c r="U529" s="12">
        <f t="shared" si="169"/>
        <v>2.1433738818893572E-3</v>
      </c>
      <c r="V529" s="12">
        <f t="shared" si="156"/>
        <v>-9.9492138279365011E-5</v>
      </c>
      <c r="W529" s="12">
        <f t="shared" si="157"/>
        <v>-2.342179287244628E-3</v>
      </c>
      <c r="X529" s="12">
        <f t="shared" si="158"/>
        <v>4.2867477637787146E-7</v>
      </c>
      <c r="Y529" s="12">
        <f t="shared" si="159"/>
        <v>-1.9898427655873004E-8</v>
      </c>
      <c r="Z529" s="12">
        <f t="shared" si="160"/>
        <v>-4.6843585744892565E-7</v>
      </c>
    </row>
    <row r="530" spans="1:26" ht="13">
      <c r="A530" s="22" t="str">
        <f t="shared" si="172"/>
        <v>IJC</v>
      </c>
      <c r="B530" s="9">
        <v>2020</v>
      </c>
      <c r="C530" s="19">
        <v>369.9</v>
      </c>
      <c r="D530" s="19">
        <v>4571.5200000000004</v>
      </c>
      <c r="E530" s="19">
        <v>6641.76</v>
      </c>
      <c r="F530" s="19">
        <v>4716.1499999999996</v>
      </c>
      <c r="G530" s="19">
        <v>3184.3</v>
      </c>
      <c r="H530" s="10">
        <f t="shared" si="166"/>
        <v>5.5693069306930687E-2</v>
      </c>
      <c r="I530" s="10">
        <f t="shared" si="167"/>
        <v>0.68829948688299492</v>
      </c>
      <c r="J530" s="10">
        <f t="shared" si="168"/>
        <v>1.4810633420217942</v>
      </c>
      <c r="K530" s="4">
        <f t="shared" si="147"/>
        <v>-0.63323599001620412</v>
      </c>
      <c r="L530" s="10">
        <f t="shared" si="155"/>
        <v>0.68829948688299492</v>
      </c>
      <c r="M530" s="19">
        <v>560.38</v>
      </c>
      <c r="N530" s="19">
        <v>-3.39</v>
      </c>
      <c r="O530" s="19">
        <v>-322.92</v>
      </c>
      <c r="P530" s="11">
        <v>1.2200000000000001E-2</v>
      </c>
      <c r="Q530" s="11">
        <v>2.3E-6</v>
      </c>
      <c r="R530" s="12">
        <f t="shared" si="163"/>
        <v>8.4372214593722142E-2</v>
      </c>
      <c r="S530" s="12">
        <f t="shared" si="164"/>
        <v>-5.1040688010406876E-4</v>
      </c>
      <c r="T530" s="12">
        <f t="shared" si="165"/>
        <v>-4.8619642986196428E-2</v>
      </c>
      <c r="U530" s="12">
        <f t="shared" si="169"/>
        <v>1.0293410180434101E-3</v>
      </c>
      <c r="V530" s="12">
        <f t="shared" si="156"/>
        <v>-6.2269639372696392E-6</v>
      </c>
      <c r="W530" s="12">
        <f t="shared" si="157"/>
        <v>-5.9315964443159641E-4</v>
      </c>
      <c r="X530" s="12">
        <f t="shared" si="158"/>
        <v>1.9405609356556093E-7</v>
      </c>
      <c r="Y530" s="12">
        <f t="shared" si="159"/>
        <v>-1.1739358242393581E-9</v>
      </c>
      <c r="Z530" s="12">
        <f t="shared" si="160"/>
        <v>-1.1182517886825178E-7</v>
      </c>
    </row>
    <row r="531" spans="1:26" ht="13">
      <c r="A531" s="22" t="str">
        <f t="shared" si="172"/>
        <v>IJC</v>
      </c>
      <c r="B531" s="9">
        <v>2021</v>
      </c>
      <c r="C531" s="19">
        <v>621.11</v>
      </c>
      <c r="D531" s="19">
        <v>3464.86</v>
      </c>
      <c r="E531" s="19">
        <v>6808.65</v>
      </c>
      <c r="F531" s="19">
        <v>4808.12</v>
      </c>
      <c r="G531" s="19">
        <v>1939.96</v>
      </c>
      <c r="H531" s="10">
        <f t="shared" si="166"/>
        <v>9.122366401562719E-2</v>
      </c>
      <c r="I531" s="10">
        <f t="shared" si="167"/>
        <v>0.5088908961394697</v>
      </c>
      <c r="J531" s="10">
        <f t="shared" si="168"/>
        <v>2.4784634734736799</v>
      </c>
      <c r="K531" s="4">
        <f t="shared" si="147"/>
        <v>-1.8197422339692397</v>
      </c>
      <c r="L531" s="10">
        <f t="shared" si="155"/>
        <v>0.5088908961394697</v>
      </c>
      <c r="M531" s="19">
        <v>-963.79</v>
      </c>
      <c r="N531" s="19">
        <v>-35.69</v>
      </c>
      <c r="O531" s="19">
        <v>855.42</v>
      </c>
      <c r="P531" s="11">
        <v>7.7000000000000002E-3</v>
      </c>
      <c r="Q531" s="11">
        <v>0</v>
      </c>
      <c r="R531" s="12">
        <f t="shared" si="163"/>
        <v>-0.14155375882149912</v>
      </c>
      <c r="S531" s="12">
        <f t="shared" si="164"/>
        <v>-5.2418614556483294E-3</v>
      </c>
      <c r="T531" s="12">
        <f t="shared" si="165"/>
        <v>0.1256372408627261</v>
      </c>
      <c r="U531" s="12">
        <f t="shared" si="169"/>
        <v>-1.0899639429255432E-3</v>
      </c>
      <c r="V531" s="12">
        <f t="shared" si="156"/>
        <v>-4.0362333208492141E-5</v>
      </c>
      <c r="W531" s="12">
        <f t="shared" si="157"/>
        <v>9.6740675464299097E-4</v>
      </c>
      <c r="X531" s="12">
        <f t="shared" si="158"/>
        <v>0</v>
      </c>
      <c r="Y531" s="12">
        <f t="shared" si="159"/>
        <v>0</v>
      </c>
      <c r="Z531" s="12">
        <f t="shared" si="160"/>
        <v>0</v>
      </c>
    </row>
    <row r="532" spans="1:26" ht="13">
      <c r="A532" s="21" t="s">
        <v>124</v>
      </c>
      <c r="B532" s="9">
        <v>2017</v>
      </c>
      <c r="C532" s="19">
        <v>81.72</v>
      </c>
      <c r="D532" s="19">
        <v>1943.7</v>
      </c>
      <c r="E532" s="19">
        <v>3522.38</v>
      </c>
      <c r="F532" s="19">
        <v>3080.64</v>
      </c>
      <c r="G532" s="19">
        <v>1277.31</v>
      </c>
      <c r="H532" s="10">
        <f t="shared" si="166"/>
        <v>2.320022257678047E-2</v>
      </c>
      <c r="I532" s="10">
        <f t="shared" si="167"/>
        <v>0.55181439821938572</v>
      </c>
      <c r="J532" s="10">
        <f t="shared" si="168"/>
        <v>2.4118185875002935</v>
      </c>
      <c r="K532" s="4">
        <f t="shared" si="147"/>
        <v>-1.2687062060950147</v>
      </c>
      <c r="L532" s="10">
        <f t="shared" si="155"/>
        <v>0.55181439821938572</v>
      </c>
      <c r="M532" s="19">
        <v>-33.46</v>
      </c>
      <c r="N532" s="19">
        <v>16.16</v>
      </c>
      <c r="O532" s="19">
        <v>11.71</v>
      </c>
      <c r="P532" s="11">
        <v>6.3399999999999998E-2</v>
      </c>
      <c r="Q532" s="11">
        <v>1.0500000000000001E-2</v>
      </c>
      <c r="R532" s="12">
        <f t="shared" si="163"/>
        <v>-9.499259023728274E-3</v>
      </c>
      <c r="S532" s="12">
        <f t="shared" si="164"/>
        <v>4.5878071076942296E-3</v>
      </c>
      <c r="T532" s="12">
        <f t="shared" si="165"/>
        <v>3.3244567593502124E-3</v>
      </c>
      <c r="U532" s="12">
        <f t="shared" si="169"/>
        <v>-6.0225302210437255E-4</v>
      </c>
      <c r="V532" s="12">
        <f t="shared" si="156"/>
        <v>2.9086697062781416E-4</v>
      </c>
      <c r="W532" s="12">
        <f t="shared" si="157"/>
        <v>2.1077055854280347E-4</v>
      </c>
      <c r="X532" s="12">
        <f t="shared" si="158"/>
        <v>-9.974221974914688E-5</v>
      </c>
      <c r="Y532" s="12">
        <f t="shared" si="159"/>
        <v>4.8171974630789415E-5</v>
      </c>
      <c r="Z532" s="12">
        <f t="shared" si="160"/>
        <v>3.490679597317723E-5</v>
      </c>
    </row>
    <row r="533" spans="1:26" ht="13">
      <c r="A533" s="22" t="str">
        <f t="shared" ref="A533:A536" si="173">A532</f>
        <v>ITC</v>
      </c>
      <c r="B533" s="9">
        <v>2018</v>
      </c>
      <c r="C533" s="19">
        <v>82.42</v>
      </c>
      <c r="D533" s="19">
        <v>1912.16</v>
      </c>
      <c r="E533" s="19">
        <v>3503.82</v>
      </c>
      <c r="F533" s="19">
        <v>3201.59</v>
      </c>
      <c r="G533" s="19">
        <v>998.53</v>
      </c>
      <c r="H533" s="10">
        <f t="shared" si="166"/>
        <v>2.3522897865757942E-2</v>
      </c>
      <c r="I533" s="10">
        <f t="shared" si="167"/>
        <v>0.54573579693020757</v>
      </c>
      <c r="J533" s="10">
        <f t="shared" si="168"/>
        <v>3.2063032658007273</v>
      </c>
      <c r="K533" s="4">
        <f t="shared" si="147"/>
        <v>-1.30798421095693</v>
      </c>
      <c r="L533" s="10">
        <f t="shared" si="155"/>
        <v>0.54573579693020757</v>
      </c>
      <c r="M533" s="19">
        <v>150.54</v>
      </c>
      <c r="N533" s="19">
        <v>97.29</v>
      </c>
      <c r="O533" s="19">
        <v>-215.17</v>
      </c>
      <c r="P533" s="11">
        <v>6.3200000000000006E-2</v>
      </c>
      <c r="Q533" s="11">
        <v>1.0500000000000001E-2</v>
      </c>
      <c r="R533" s="12">
        <f t="shared" si="163"/>
        <v>4.2964535849444319E-2</v>
      </c>
      <c r="S533" s="12">
        <f t="shared" si="164"/>
        <v>2.7766837337534461E-2</v>
      </c>
      <c r="T533" s="12">
        <f t="shared" si="165"/>
        <v>-6.141011809967406E-2</v>
      </c>
      <c r="U533" s="12">
        <f t="shared" si="169"/>
        <v>2.7153586656848811E-3</v>
      </c>
      <c r="V533" s="12">
        <f t="shared" si="156"/>
        <v>1.754864119732178E-3</v>
      </c>
      <c r="W533" s="12">
        <f t="shared" si="157"/>
        <v>-3.8811194638994008E-3</v>
      </c>
      <c r="X533" s="12">
        <f t="shared" si="158"/>
        <v>4.5112762641916535E-4</v>
      </c>
      <c r="Y533" s="12">
        <f t="shared" si="159"/>
        <v>2.9155179204411186E-4</v>
      </c>
      <c r="Z533" s="12">
        <f t="shared" si="160"/>
        <v>-6.4480624004657771E-4</v>
      </c>
    </row>
    <row r="534" spans="1:26" ht="13">
      <c r="A534" s="22" t="str">
        <f t="shared" si="173"/>
        <v>ITC</v>
      </c>
      <c r="B534" s="9">
        <v>2019</v>
      </c>
      <c r="C534" s="19">
        <v>113.55</v>
      </c>
      <c r="D534" s="19">
        <v>2315.6799999999998</v>
      </c>
      <c r="E534" s="19">
        <v>4126.3599999999997</v>
      </c>
      <c r="F534" s="19">
        <v>2439.19</v>
      </c>
      <c r="G534" s="19">
        <v>1960.04</v>
      </c>
      <c r="H534" s="10">
        <f t="shared" si="166"/>
        <v>2.7518200060101399E-2</v>
      </c>
      <c r="I534" s="10">
        <f t="shared" si="167"/>
        <v>0.561191946412819</v>
      </c>
      <c r="J534" s="10">
        <f t="shared" si="168"/>
        <v>1.244459296749046</v>
      </c>
      <c r="K534" s="4">
        <f t="shared" si="147"/>
        <v>-1.230015642904384</v>
      </c>
      <c r="L534" s="10">
        <f t="shared" si="155"/>
        <v>0.561191946412819</v>
      </c>
      <c r="M534" s="19">
        <v>21.31</v>
      </c>
      <c r="N534" s="19">
        <v>-24.22</v>
      </c>
      <c r="O534" s="19">
        <v>-24.37</v>
      </c>
      <c r="P534" s="11">
        <v>4.7999999999999996E-3</v>
      </c>
      <c r="Q534" s="11">
        <v>1.0500000000000001E-2</v>
      </c>
      <c r="R534" s="12">
        <f t="shared" si="163"/>
        <v>5.164357932899699E-3</v>
      </c>
      <c r="S534" s="12">
        <f t="shared" si="164"/>
        <v>-5.8695799687860485E-3</v>
      </c>
      <c r="T534" s="12">
        <f t="shared" si="165"/>
        <v>-5.9059316201203974E-3</v>
      </c>
      <c r="U534" s="12">
        <f t="shared" si="169"/>
        <v>2.4788918077918552E-5</v>
      </c>
      <c r="V534" s="12">
        <f t="shared" si="156"/>
        <v>-2.8173983850173029E-5</v>
      </c>
      <c r="W534" s="12">
        <f t="shared" si="157"/>
        <v>-2.8348471776577904E-5</v>
      </c>
      <c r="X534" s="12">
        <f t="shared" si="158"/>
        <v>5.4225758295446844E-5</v>
      </c>
      <c r="Y534" s="12">
        <f t="shared" si="159"/>
        <v>-6.1630589672253508E-5</v>
      </c>
      <c r="Z534" s="12">
        <f t="shared" si="160"/>
        <v>-6.2012282011264183E-5</v>
      </c>
    </row>
    <row r="535" spans="1:26" ht="13">
      <c r="A535" s="22" t="str">
        <f t="shared" si="173"/>
        <v>ITC</v>
      </c>
      <c r="B535" s="9">
        <v>2020</v>
      </c>
      <c r="C535" s="19">
        <v>136.16999999999999</v>
      </c>
      <c r="D535" s="19">
        <v>2468.81</v>
      </c>
      <c r="E535" s="19">
        <v>4412.1899999999996</v>
      </c>
      <c r="F535" s="19">
        <v>2383.4299999999998</v>
      </c>
      <c r="G535" s="19">
        <v>1999.01</v>
      </c>
      <c r="H535" s="10">
        <f t="shared" si="166"/>
        <v>3.0862224881521422E-2</v>
      </c>
      <c r="I535" s="10">
        <f t="shared" si="167"/>
        <v>0.55954299338877067</v>
      </c>
      <c r="J535" s="10">
        <f t="shared" si="168"/>
        <v>1.1923051910695794</v>
      </c>
      <c r="K535" s="4">
        <f t="shared" si="147"/>
        <v>-1.2542541704151315</v>
      </c>
      <c r="L535" s="10">
        <f t="shared" si="155"/>
        <v>0.55954299338877067</v>
      </c>
      <c r="M535" s="19">
        <v>89.53</v>
      </c>
      <c r="N535" s="19">
        <v>-65.2</v>
      </c>
      <c r="O535" s="19">
        <v>-32.229999999999997</v>
      </c>
      <c r="P535" s="11">
        <v>4.5999999999999999E-3</v>
      </c>
      <c r="Q535" s="11">
        <v>1.0500000000000001E-2</v>
      </c>
      <c r="R535" s="12">
        <f t="shared" si="163"/>
        <v>2.0291510565048198E-2</v>
      </c>
      <c r="S535" s="12">
        <f t="shared" si="164"/>
        <v>-1.4777242140524323E-2</v>
      </c>
      <c r="T535" s="12">
        <f t="shared" si="165"/>
        <v>-7.3047624875628653E-3</v>
      </c>
      <c r="U535" s="12">
        <f t="shared" si="169"/>
        <v>9.3340948599221713E-5</v>
      </c>
      <c r="V535" s="12">
        <f t="shared" si="156"/>
        <v>-6.7975313846411884E-5</v>
      </c>
      <c r="W535" s="12">
        <f t="shared" si="157"/>
        <v>-3.3601907442789177E-5</v>
      </c>
      <c r="X535" s="12">
        <f t="shared" si="158"/>
        <v>2.1306086093300609E-4</v>
      </c>
      <c r="Y535" s="12">
        <f t="shared" si="159"/>
        <v>-1.5516104247550539E-4</v>
      </c>
      <c r="Z535" s="12">
        <f t="shared" si="160"/>
        <v>-7.6700006119410094E-5</v>
      </c>
    </row>
    <row r="536" spans="1:26" ht="13">
      <c r="A536" s="22" t="str">
        <f t="shared" si="173"/>
        <v>ITC</v>
      </c>
      <c r="B536" s="9">
        <v>2021</v>
      </c>
      <c r="C536" s="19">
        <v>138.53</v>
      </c>
      <c r="D536" s="19">
        <v>2188.29</v>
      </c>
      <c r="E536" s="19">
        <v>4259.7700000000004</v>
      </c>
      <c r="F536" s="19">
        <v>2266.84</v>
      </c>
      <c r="G536" s="19">
        <v>1837.98</v>
      </c>
      <c r="H536" s="10">
        <f t="shared" si="166"/>
        <v>3.2520535146263761E-2</v>
      </c>
      <c r="I536" s="10">
        <f t="shared" si="167"/>
        <v>0.51371083415301755</v>
      </c>
      <c r="J536" s="10">
        <f t="shared" si="168"/>
        <v>1.2333322451822111</v>
      </c>
      <c r="K536" s="4">
        <f t="shared" si="147"/>
        <v>-1.5231239824667155</v>
      </c>
      <c r="L536" s="10">
        <f t="shared" si="155"/>
        <v>0.51371083415301755</v>
      </c>
      <c r="M536" s="19">
        <v>174.96</v>
      </c>
      <c r="N536" s="19">
        <v>-53.08</v>
      </c>
      <c r="O536" s="19">
        <v>-99.51</v>
      </c>
      <c r="P536" s="11">
        <v>3.5999999999999999E-3</v>
      </c>
      <c r="Q536" s="11">
        <v>1.01E-2</v>
      </c>
      <c r="R536" s="12">
        <f t="shared" si="163"/>
        <v>4.107264007211657E-2</v>
      </c>
      <c r="S536" s="12">
        <f t="shared" si="164"/>
        <v>-1.246076666111081E-2</v>
      </c>
      <c r="T536" s="12">
        <f t="shared" si="165"/>
        <v>-2.3360416172704158E-2</v>
      </c>
      <c r="U536" s="12">
        <f t="shared" si="169"/>
        <v>1.4786150425961966E-4</v>
      </c>
      <c r="V536" s="12">
        <f t="shared" si="156"/>
        <v>-4.4858759979998918E-5</v>
      </c>
      <c r="W536" s="12">
        <f t="shared" si="157"/>
        <v>-8.4097498221734964E-5</v>
      </c>
      <c r="X536" s="12">
        <f t="shared" si="158"/>
        <v>4.1483366472837735E-4</v>
      </c>
      <c r="Y536" s="12">
        <f t="shared" si="159"/>
        <v>-1.2585374327721917E-4</v>
      </c>
      <c r="Z536" s="12">
        <f t="shared" si="160"/>
        <v>-2.3594020334431198E-4</v>
      </c>
    </row>
    <row r="537" spans="1:26" ht="13">
      <c r="A537" s="21" t="s">
        <v>125</v>
      </c>
      <c r="B537" s="9">
        <v>2017</v>
      </c>
      <c r="C537" s="19">
        <v>618.78</v>
      </c>
      <c r="D537" s="19">
        <v>6741.66</v>
      </c>
      <c r="E537" s="19">
        <v>15779.77</v>
      </c>
      <c r="F537" s="19">
        <v>13730.01</v>
      </c>
      <c r="G537" s="19">
        <v>3325.88</v>
      </c>
      <c r="H537" s="10">
        <f t="shared" si="166"/>
        <v>3.9213499309559009E-2</v>
      </c>
      <c r="I537" s="10">
        <f t="shared" si="167"/>
        <v>0.4272343639989683</v>
      </c>
      <c r="J537" s="10">
        <f t="shared" si="168"/>
        <v>4.1282337306216697</v>
      </c>
      <c r="K537" s="4">
        <f t="shared" si="147"/>
        <v>-2.0577378070213825</v>
      </c>
      <c r="L537" s="10">
        <f t="shared" si="155"/>
        <v>0.4272343639989683</v>
      </c>
      <c r="M537" s="19">
        <v>60.72</v>
      </c>
      <c r="N537" s="19">
        <v>-623.16999999999996</v>
      </c>
      <c r="O537" s="19">
        <v>771.93</v>
      </c>
      <c r="P537" s="11">
        <v>0.2535</v>
      </c>
      <c r="Q537" s="11">
        <v>6.7000000000000002E-4</v>
      </c>
      <c r="R537" s="12">
        <f t="shared" si="163"/>
        <v>3.8479648309195885E-3</v>
      </c>
      <c r="S537" s="12">
        <f t="shared" si="164"/>
        <v>-3.9491703617986824E-2</v>
      </c>
      <c r="T537" s="12">
        <f t="shared" si="165"/>
        <v>4.8918963964620518E-2</v>
      </c>
      <c r="U537" s="12">
        <f t="shared" si="169"/>
        <v>9.7545908463811566E-4</v>
      </c>
      <c r="V537" s="12">
        <f t="shared" si="156"/>
        <v>-1.001114686715966E-2</v>
      </c>
      <c r="W537" s="12">
        <f t="shared" si="157"/>
        <v>1.2400957365031301E-2</v>
      </c>
      <c r="X537" s="12">
        <f t="shared" si="158"/>
        <v>2.5781364367161244E-6</v>
      </c>
      <c r="Y537" s="12">
        <f t="shared" si="159"/>
        <v>-2.6459441424051173E-5</v>
      </c>
      <c r="Z537" s="12">
        <f t="shared" si="160"/>
        <v>3.2775705856295746E-5</v>
      </c>
    </row>
    <row r="538" spans="1:26" ht="13">
      <c r="A538" s="22" t="str">
        <f t="shared" ref="A538:A541" si="174">A537</f>
        <v>KBC</v>
      </c>
      <c r="B538" s="9">
        <v>2018</v>
      </c>
      <c r="C538" s="19">
        <v>808.91</v>
      </c>
      <c r="D538" s="19">
        <v>7072.37</v>
      </c>
      <c r="E538" s="19">
        <v>16909.73</v>
      </c>
      <c r="F538" s="19">
        <v>14862.29</v>
      </c>
      <c r="G538" s="19">
        <v>3932.88</v>
      </c>
      <c r="H538" s="10">
        <f t="shared" si="166"/>
        <v>4.7836955409696076E-2</v>
      </c>
      <c r="I538" s="10">
        <f t="shared" si="167"/>
        <v>0.41824263308757742</v>
      </c>
      <c r="J538" s="10">
        <f t="shared" si="168"/>
        <v>3.7789838489859848</v>
      </c>
      <c r="K538" s="4">
        <f t="shared" si="147"/>
        <v>-2.1463992261403848</v>
      </c>
      <c r="L538" s="10">
        <f t="shared" si="155"/>
        <v>0.41824263308757742</v>
      </c>
      <c r="M538" s="19">
        <v>129.66</v>
      </c>
      <c r="N538" s="19">
        <v>-154.81</v>
      </c>
      <c r="O538" s="19">
        <v>-255.34</v>
      </c>
      <c r="P538" s="11">
        <v>0.19739999999999999</v>
      </c>
      <c r="Q538" s="11">
        <v>6.7000000000000002E-4</v>
      </c>
      <c r="R538" s="12">
        <f t="shared" si="163"/>
        <v>7.6677747072247757E-3</v>
      </c>
      <c r="S538" s="12">
        <f t="shared" si="164"/>
        <v>-9.155084084725186E-3</v>
      </c>
      <c r="T538" s="12">
        <f t="shared" si="165"/>
        <v>-1.5100181966240739E-2</v>
      </c>
      <c r="U538" s="12">
        <f t="shared" si="169"/>
        <v>1.5136187272061707E-3</v>
      </c>
      <c r="V538" s="12">
        <f t="shared" si="156"/>
        <v>-1.8072135983247517E-3</v>
      </c>
      <c r="W538" s="12">
        <f t="shared" si="157"/>
        <v>-2.9807759201359216E-3</v>
      </c>
      <c r="X538" s="12">
        <f t="shared" si="158"/>
        <v>5.1374090538405996E-6</v>
      </c>
      <c r="Y538" s="12">
        <f t="shared" si="159"/>
        <v>-6.1339063367658744E-6</v>
      </c>
      <c r="Z538" s="12">
        <f t="shared" si="160"/>
        <v>-1.0117121917381296E-5</v>
      </c>
    </row>
    <row r="539" spans="1:26" ht="13">
      <c r="A539" s="22" t="str">
        <f t="shared" si="174"/>
        <v>KBC</v>
      </c>
      <c r="B539" s="9">
        <v>2019</v>
      </c>
      <c r="C539" s="19">
        <v>1040.76</v>
      </c>
      <c r="D539" s="19">
        <v>6051.86</v>
      </c>
      <c r="E539" s="19">
        <v>16432.990000000002</v>
      </c>
      <c r="F539" s="19">
        <v>13912.17</v>
      </c>
      <c r="G539" s="19">
        <v>4067.46</v>
      </c>
      <c r="H539" s="10">
        <f t="shared" si="166"/>
        <v>6.3333574717686789E-2</v>
      </c>
      <c r="I539" s="10">
        <f t="shared" si="167"/>
        <v>0.36827503698353126</v>
      </c>
      <c r="J539" s="10">
        <f t="shared" si="168"/>
        <v>3.4203581596377099</v>
      </c>
      <c r="K539" s="4">
        <f t="shared" ref="K539:K602" si="175">-4.3 -4.5*(C539/E539)+5.7*(D539/E539)-0.004*(F539/G539)</f>
        <v>-2.4995148080620133</v>
      </c>
      <c r="L539" s="10">
        <f t="shared" si="155"/>
        <v>0.36827503698353126</v>
      </c>
      <c r="M539" s="19">
        <v>1539.15</v>
      </c>
      <c r="N539" s="19">
        <v>-74.66</v>
      </c>
      <c r="O539" s="19">
        <v>-1036.56</v>
      </c>
      <c r="P539" s="11">
        <v>0.24579999999999999</v>
      </c>
      <c r="Q539" s="11">
        <v>6.7000000000000002E-4</v>
      </c>
      <c r="R539" s="12">
        <f t="shared" si="163"/>
        <v>9.3662200244751553E-2</v>
      </c>
      <c r="S539" s="12">
        <f t="shared" si="164"/>
        <v>-4.5432997890219604E-3</v>
      </c>
      <c r="T539" s="12">
        <f t="shared" si="165"/>
        <v>-6.3077991284604923E-2</v>
      </c>
      <c r="U539" s="12">
        <f t="shared" si="169"/>
        <v>2.3022168820159932E-2</v>
      </c>
      <c r="V539" s="12">
        <f t="shared" si="156"/>
        <v>-1.1167430881415979E-3</v>
      </c>
      <c r="W539" s="12">
        <f t="shared" si="157"/>
        <v>-1.550457025775589E-2</v>
      </c>
      <c r="X539" s="12">
        <f t="shared" si="158"/>
        <v>6.2753674163983536E-5</v>
      </c>
      <c r="Y539" s="12">
        <f t="shared" si="159"/>
        <v>-3.0440108586447134E-6</v>
      </c>
      <c r="Z539" s="12">
        <f t="shared" si="160"/>
        <v>-4.2262254160685299E-5</v>
      </c>
    </row>
    <row r="540" spans="1:26" ht="13">
      <c r="A540" s="22" t="str">
        <f t="shared" si="174"/>
        <v>KBC</v>
      </c>
      <c r="B540" s="9">
        <v>2020</v>
      </c>
      <c r="C540" s="19">
        <v>319.81</v>
      </c>
      <c r="D540" s="19">
        <v>13132.88</v>
      </c>
      <c r="E540" s="19">
        <v>23785.88</v>
      </c>
      <c r="F540" s="19">
        <v>21403.279999999999</v>
      </c>
      <c r="G540" s="19">
        <v>6962.2</v>
      </c>
      <c r="H540" s="10">
        <f t="shared" si="166"/>
        <v>1.3445371792004331E-2</v>
      </c>
      <c r="I540" s="10">
        <f t="shared" si="167"/>
        <v>0.55212924642687167</v>
      </c>
      <c r="J540" s="10">
        <f t="shared" si="168"/>
        <v>3.0742121743127173</v>
      </c>
      <c r="K540" s="4">
        <f t="shared" si="175"/>
        <v>-1.2256643171281021</v>
      </c>
      <c r="L540" s="10">
        <f t="shared" si="155"/>
        <v>0.55212924642687167</v>
      </c>
      <c r="M540" s="19">
        <v>-2913.2</v>
      </c>
      <c r="N540" s="19">
        <v>-479.82</v>
      </c>
      <c r="O540" s="19">
        <v>3790.78</v>
      </c>
      <c r="P540" s="11">
        <v>0.20100000000000001</v>
      </c>
      <c r="Q540" s="11">
        <v>6.7000000000000002E-4</v>
      </c>
      <c r="R540" s="12">
        <f t="shared" si="163"/>
        <v>-0.12247602359046626</v>
      </c>
      <c r="S540" s="12">
        <f t="shared" si="164"/>
        <v>-2.0172472071666045E-2</v>
      </c>
      <c r="T540" s="12">
        <f t="shared" si="165"/>
        <v>0.15937102179948776</v>
      </c>
      <c r="U540" s="12">
        <f t="shared" si="169"/>
        <v>-2.4617680741683721E-2</v>
      </c>
      <c r="V540" s="12">
        <f t="shared" si="156"/>
        <v>-4.054666886404875E-3</v>
      </c>
      <c r="W540" s="12">
        <f t="shared" si="157"/>
        <v>3.2033575381697044E-2</v>
      </c>
      <c r="X540" s="12">
        <f t="shared" si="158"/>
        <v>-8.2058935805612396E-5</v>
      </c>
      <c r="Y540" s="12">
        <f t="shared" si="159"/>
        <v>-1.351555628801625E-5</v>
      </c>
      <c r="Z540" s="12">
        <f t="shared" si="160"/>
        <v>1.067785846056568E-4</v>
      </c>
    </row>
    <row r="541" spans="1:26" ht="13">
      <c r="A541" s="22" t="str">
        <f t="shared" si="174"/>
        <v>KBC</v>
      </c>
      <c r="B541" s="9">
        <v>2021</v>
      </c>
      <c r="C541" s="19">
        <v>953.83</v>
      </c>
      <c r="D541" s="19">
        <v>14432.62</v>
      </c>
      <c r="E541" s="19">
        <v>30603.98</v>
      </c>
      <c r="F541" s="19">
        <v>25684.22</v>
      </c>
      <c r="G541" s="19">
        <v>6511.12</v>
      </c>
      <c r="H541" s="10">
        <f t="shared" si="166"/>
        <v>3.1166861303660507E-2</v>
      </c>
      <c r="I541" s="10">
        <f t="shared" si="167"/>
        <v>0.47159291046458668</v>
      </c>
      <c r="J541" s="10">
        <f t="shared" si="168"/>
        <v>3.9446700414060869</v>
      </c>
      <c r="K541" s="4">
        <f t="shared" si="175"/>
        <v>-1.7679499663839526</v>
      </c>
      <c r="L541" s="10">
        <f t="shared" si="155"/>
        <v>0.47159291046458668</v>
      </c>
      <c r="M541" s="19">
        <v>-1232.27</v>
      </c>
      <c r="N541" s="19">
        <v>-3151.16</v>
      </c>
      <c r="O541" s="19">
        <v>5896.16</v>
      </c>
      <c r="P541" s="11">
        <v>0.15970000000000001</v>
      </c>
      <c r="Q541" s="11">
        <v>5.9000000000000003E-4</v>
      </c>
      <c r="R541" s="12">
        <f t="shared" si="163"/>
        <v>-4.0265024353041662E-2</v>
      </c>
      <c r="S541" s="12">
        <f t="shared" si="164"/>
        <v>-0.10296569269748575</v>
      </c>
      <c r="T541" s="12">
        <f t="shared" si="165"/>
        <v>0.19265990893994833</v>
      </c>
      <c r="U541" s="12">
        <f t="shared" si="169"/>
        <v>-6.4303243891807539E-3</v>
      </c>
      <c r="V541" s="12">
        <f t="shared" si="156"/>
        <v>-1.6443621123788475E-2</v>
      </c>
      <c r="W541" s="12">
        <f t="shared" si="157"/>
        <v>3.076778745770975E-2</v>
      </c>
      <c r="X541" s="12">
        <f t="shared" si="158"/>
        <v>-2.3756364368294581E-5</v>
      </c>
      <c r="Y541" s="12">
        <f t="shared" si="159"/>
        <v>-6.0749758691516591E-5</v>
      </c>
      <c r="Z541" s="12">
        <f t="shared" si="160"/>
        <v>1.1366934627456952E-4</v>
      </c>
    </row>
    <row r="542" spans="1:26" ht="13">
      <c r="A542" s="21" t="s">
        <v>126</v>
      </c>
      <c r="B542" s="9">
        <v>2017</v>
      </c>
      <c r="C542" s="19">
        <v>558.89</v>
      </c>
      <c r="D542" s="19">
        <v>3525.73</v>
      </c>
      <c r="E542" s="19">
        <v>9716.6200000000008</v>
      </c>
      <c r="F542" s="19">
        <v>9110.24</v>
      </c>
      <c r="G542" s="19">
        <v>1817.41</v>
      </c>
      <c r="H542" s="10">
        <f t="shared" si="166"/>
        <v>5.7518972646866909E-2</v>
      </c>
      <c r="I542" s="10">
        <f t="shared" si="167"/>
        <v>0.36285560205091894</v>
      </c>
      <c r="J542" s="10">
        <f t="shared" si="168"/>
        <v>5.0127599165845895</v>
      </c>
      <c r="K542" s="4">
        <f t="shared" si="175"/>
        <v>-2.5106094848870013</v>
      </c>
      <c r="L542" s="10">
        <f t="shared" si="155"/>
        <v>0.36285560205091894</v>
      </c>
      <c r="M542" s="19">
        <v>596.86</v>
      </c>
      <c r="N542" s="19">
        <v>-81.87</v>
      </c>
      <c r="O542" s="19">
        <v>1017.09</v>
      </c>
      <c r="P542" s="11">
        <v>0.48170000000000002</v>
      </c>
      <c r="Q542" s="11">
        <v>1.0030000000000001E-2</v>
      </c>
      <c r="R542" s="12">
        <f t="shared" si="163"/>
        <v>6.1426710111129178E-2</v>
      </c>
      <c r="S542" s="12">
        <f t="shared" si="164"/>
        <v>-8.4257694548104181E-3</v>
      </c>
      <c r="T542" s="12">
        <f t="shared" si="165"/>
        <v>0.10467528832042418</v>
      </c>
      <c r="U542" s="12">
        <f t="shared" si="169"/>
        <v>2.9589246260530926E-2</v>
      </c>
      <c r="V542" s="12">
        <f t="shared" si="156"/>
        <v>-4.0586931463821785E-3</v>
      </c>
      <c r="W542" s="12">
        <f t="shared" si="157"/>
        <v>5.0422086383948329E-2</v>
      </c>
      <c r="X542" s="12">
        <f t="shared" si="158"/>
        <v>6.1610990241462566E-4</v>
      </c>
      <c r="Y542" s="12">
        <f t="shared" si="159"/>
        <v>-8.4510467631748498E-5</v>
      </c>
      <c r="Z542" s="12">
        <f t="shared" si="160"/>
        <v>1.0498931418538545E-3</v>
      </c>
    </row>
    <row r="543" spans="1:26" ht="13">
      <c r="A543" s="22" t="str">
        <f t="shared" ref="A543:A546" si="176">A542</f>
        <v>KDH</v>
      </c>
      <c r="B543" s="9">
        <v>2018</v>
      </c>
      <c r="C543" s="19">
        <v>809.59</v>
      </c>
      <c r="D543" s="19">
        <v>3328.4</v>
      </c>
      <c r="E543" s="19">
        <v>10227.89</v>
      </c>
      <c r="F543" s="19">
        <v>9570.06</v>
      </c>
      <c r="G543" s="19">
        <v>2775.1</v>
      </c>
      <c r="H543" s="10">
        <f t="shared" si="166"/>
        <v>7.9155133659044058E-2</v>
      </c>
      <c r="I543" s="10">
        <f t="shared" si="167"/>
        <v>0.32542391441441004</v>
      </c>
      <c r="J543" s="10">
        <f t="shared" si="168"/>
        <v>3.4485459983424018</v>
      </c>
      <c r="K543" s="4">
        <f t="shared" si="175"/>
        <v>-2.8150759732969304</v>
      </c>
      <c r="L543" s="10">
        <f t="shared" si="155"/>
        <v>0.32542391441441004</v>
      </c>
      <c r="M543" s="19">
        <v>-718.95</v>
      </c>
      <c r="N543" s="19">
        <v>519.5</v>
      </c>
      <c r="O543" s="19">
        <v>-556.41</v>
      </c>
      <c r="P543" s="11">
        <v>0.46560000000000001</v>
      </c>
      <c r="Q543" s="11">
        <v>1.3606999999999999E-2</v>
      </c>
      <c r="R543" s="12">
        <f t="shared" si="163"/>
        <v>-7.0293090754789123E-2</v>
      </c>
      <c r="S543" s="12">
        <f t="shared" si="164"/>
        <v>5.0792489946606782E-2</v>
      </c>
      <c r="T543" s="12">
        <f t="shared" si="165"/>
        <v>-5.4401249915671759E-2</v>
      </c>
      <c r="U543" s="12">
        <f t="shared" si="169"/>
        <v>-3.272846305542982E-2</v>
      </c>
      <c r="V543" s="12">
        <f t="shared" si="156"/>
        <v>2.3648983319140119E-2</v>
      </c>
      <c r="W543" s="12">
        <f t="shared" si="157"/>
        <v>-2.532922196073677E-2</v>
      </c>
      <c r="X543" s="12">
        <f t="shared" si="158"/>
        <v>-9.5647808590041555E-4</v>
      </c>
      <c r="Y543" s="12">
        <f t="shared" si="159"/>
        <v>6.9113341070347841E-4</v>
      </c>
      <c r="Z543" s="12">
        <f t="shared" si="160"/>
        <v>-7.4023780760254564E-4</v>
      </c>
    </row>
    <row r="544" spans="1:26" ht="13">
      <c r="A544" s="22" t="str">
        <f t="shared" si="176"/>
        <v>KDH</v>
      </c>
      <c r="B544" s="9">
        <v>2019</v>
      </c>
      <c r="C544" s="19">
        <v>916.88</v>
      </c>
      <c r="D544" s="19">
        <v>5572.96</v>
      </c>
      <c r="E544" s="19">
        <v>13237.33</v>
      </c>
      <c r="F544" s="19">
        <v>12327</v>
      </c>
      <c r="G544" s="19">
        <v>4571.6499999999996</v>
      </c>
      <c r="H544" s="10">
        <f t="shared" si="166"/>
        <v>6.9264723324114458E-2</v>
      </c>
      <c r="I544" s="10">
        <f t="shared" si="167"/>
        <v>0.42100332922122513</v>
      </c>
      <c r="J544" s="10">
        <f t="shared" si="168"/>
        <v>2.6964006430938503</v>
      </c>
      <c r="K544" s="4">
        <f t="shared" si="175"/>
        <v>-2.2227578809699073</v>
      </c>
      <c r="L544" s="10">
        <f t="shared" si="155"/>
        <v>0.42100332922122513</v>
      </c>
      <c r="M544" s="19">
        <v>-163.53</v>
      </c>
      <c r="N544" s="19">
        <v>-200.81</v>
      </c>
      <c r="O544" s="19">
        <v>-296.37</v>
      </c>
      <c r="P544" s="11">
        <v>0.44529999999999997</v>
      </c>
      <c r="Q544" s="11">
        <v>1.2807000000000001E-2</v>
      </c>
      <c r="R544" s="12">
        <f t="shared" si="163"/>
        <v>-1.2353699726455411E-2</v>
      </c>
      <c r="S544" s="12">
        <f t="shared" si="164"/>
        <v>-1.5169977631440781E-2</v>
      </c>
      <c r="T544" s="12">
        <f t="shared" si="165"/>
        <v>-2.2388956081022381E-2</v>
      </c>
      <c r="U544" s="12">
        <f t="shared" si="169"/>
        <v>-5.5011024881905938E-3</v>
      </c>
      <c r="V544" s="12">
        <f t="shared" si="156"/>
        <v>-6.7551910392805795E-3</v>
      </c>
      <c r="W544" s="12">
        <f t="shared" si="157"/>
        <v>-9.9698021428792655E-3</v>
      </c>
      <c r="X544" s="12">
        <f t="shared" si="158"/>
        <v>-1.5821383239671445E-4</v>
      </c>
      <c r="Y544" s="12">
        <f t="shared" si="159"/>
        <v>-1.942819035258621E-4</v>
      </c>
      <c r="Z544" s="12">
        <f t="shared" si="160"/>
        <v>-2.8673536052965364E-4</v>
      </c>
    </row>
    <row r="545" spans="1:26" ht="13">
      <c r="A545" s="22" t="str">
        <f t="shared" si="176"/>
        <v>KDH</v>
      </c>
      <c r="B545" s="9">
        <v>2020</v>
      </c>
      <c r="C545" s="19">
        <v>1154.47</v>
      </c>
      <c r="D545" s="19">
        <v>5776.37</v>
      </c>
      <c r="E545" s="19">
        <v>13934.47</v>
      </c>
      <c r="F545" s="19">
        <v>13021.59</v>
      </c>
      <c r="G545" s="19">
        <v>4207.93</v>
      </c>
      <c r="H545" s="10">
        <f t="shared" si="166"/>
        <v>8.2849939753718668E-2</v>
      </c>
      <c r="I545" s="10">
        <f t="shared" si="167"/>
        <v>0.41453819198003228</v>
      </c>
      <c r="J545" s="10">
        <f t="shared" si="168"/>
        <v>3.0945357931334407</v>
      </c>
      <c r="K545" s="4">
        <f t="shared" si="175"/>
        <v>-2.3223351777780836</v>
      </c>
      <c r="L545" s="10">
        <f t="shared" si="155"/>
        <v>0.41453819198003228</v>
      </c>
      <c r="M545" s="19">
        <v>162.61000000000001</v>
      </c>
      <c r="N545" s="19">
        <v>11.82</v>
      </c>
      <c r="O545" s="19">
        <v>486.33</v>
      </c>
      <c r="P545" s="11">
        <v>0.38140000000000002</v>
      </c>
      <c r="Q545" s="11">
        <v>5.4159999999999998E-3</v>
      </c>
      <c r="R545" s="12">
        <f t="shared" si="163"/>
        <v>1.1669622167186842E-2</v>
      </c>
      <c r="S545" s="12">
        <f t="shared" si="164"/>
        <v>8.4825615900712412E-4</v>
      </c>
      <c r="T545" s="12">
        <f t="shared" si="165"/>
        <v>3.4901219780874335E-2</v>
      </c>
      <c r="U545" s="12">
        <f t="shared" si="169"/>
        <v>4.4507938945650615E-3</v>
      </c>
      <c r="V545" s="12">
        <f t="shared" si="156"/>
        <v>3.2352489904531714E-4</v>
      </c>
      <c r="W545" s="12">
        <f t="shared" si="157"/>
        <v>1.3311325224425472E-2</v>
      </c>
      <c r="X545" s="12">
        <f t="shared" si="158"/>
        <v>6.3202673657483931E-5</v>
      </c>
      <c r="Y545" s="12">
        <f t="shared" si="159"/>
        <v>4.5941553571825845E-6</v>
      </c>
      <c r="Z545" s="12">
        <f t="shared" si="160"/>
        <v>1.8902500633321539E-4</v>
      </c>
    </row>
    <row r="546" spans="1:26" ht="13">
      <c r="A546" s="22" t="str">
        <f t="shared" si="176"/>
        <v>KDH</v>
      </c>
      <c r="B546" s="9">
        <v>2021</v>
      </c>
      <c r="C546" s="19">
        <v>1204.55</v>
      </c>
      <c r="D546" s="19">
        <v>4151.49</v>
      </c>
      <c r="E546" s="19">
        <v>14372.7</v>
      </c>
      <c r="F546" s="19">
        <v>13420.99</v>
      </c>
      <c r="G546" s="19">
        <v>2253.7800000000002</v>
      </c>
      <c r="H546" s="10">
        <f t="shared" si="166"/>
        <v>8.3808191919402752E-2</v>
      </c>
      <c r="I546" s="10">
        <f t="shared" si="167"/>
        <v>0.288845519630967</v>
      </c>
      <c r="J546" s="10">
        <f t="shared" si="168"/>
        <v>5.9548802456317826</v>
      </c>
      <c r="K546" s="4">
        <f t="shared" si="175"/>
        <v>-3.0545369227233268</v>
      </c>
      <c r="L546" s="10">
        <f t="shared" si="155"/>
        <v>0.288845519630967</v>
      </c>
      <c r="M546" s="19">
        <v>-2009.74</v>
      </c>
      <c r="N546" s="19">
        <v>-106.47</v>
      </c>
      <c r="O546" s="19">
        <v>1645.84</v>
      </c>
      <c r="P546" s="11">
        <v>0.32100000000000001</v>
      </c>
      <c r="Q546" s="11">
        <v>1.073E-2</v>
      </c>
      <c r="R546" s="12">
        <f t="shared" si="163"/>
        <v>-0.13983037285965755</v>
      </c>
      <c r="S546" s="12">
        <f t="shared" si="164"/>
        <v>-7.407793942683003E-3</v>
      </c>
      <c r="T546" s="12">
        <f t="shared" si="165"/>
        <v>0.11451153923758235</v>
      </c>
      <c r="U546" s="12">
        <f t="shared" si="169"/>
        <v>-4.4885549687950076E-2</v>
      </c>
      <c r="V546" s="12">
        <f t="shared" si="156"/>
        <v>-2.3779018556012439E-3</v>
      </c>
      <c r="W546" s="12">
        <f t="shared" si="157"/>
        <v>3.6758204095263938E-2</v>
      </c>
      <c r="X546" s="12">
        <f t="shared" si="158"/>
        <v>-1.5003799007841255E-3</v>
      </c>
      <c r="Y546" s="12">
        <f t="shared" si="159"/>
        <v>-7.9485629004988627E-5</v>
      </c>
      <c r="Z546" s="12">
        <f t="shared" si="160"/>
        <v>1.2287088160192587E-3</v>
      </c>
    </row>
    <row r="547" spans="1:26" ht="13">
      <c r="A547" s="21" t="s">
        <v>127</v>
      </c>
      <c r="B547" s="9">
        <v>2017</v>
      </c>
      <c r="C547" s="19">
        <v>44.35</v>
      </c>
      <c r="D547" s="19">
        <v>1159.21</v>
      </c>
      <c r="E547" s="19">
        <v>1760.02</v>
      </c>
      <c r="F547" s="19">
        <v>448.27</v>
      </c>
      <c r="G547" s="19">
        <v>665.92</v>
      </c>
      <c r="H547" s="10">
        <f t="shared" si="166"/>
        <v>2.5198577288894446E-2</v>
      </c>
      <c r="I547" s="10">
        <f t="shared" si="167"/>
        <v>0.65863456097089812</v>
      </c>
      <c r="J547" s="10">
        <f t="shared" si="168"/>
        <v>0.67315893801057181</v>
      </c>
      <c r="K547" s="4">
        <f t="shared" si="175"/>
        <v>-0.66186923601794767</v>
      </c>
      <c r="L547" s="10">
        <f t="shared" si="155"/>
        <v>0.65863456097089812</v>
      </c>
      <c r="M547" s="19">
        <v>213.27</v>
      </c>
      <c r="N547" s="19">
        <v>-200.78</v>
      </c>
      <c r="O547" s="19">
        <v>-3.05</v>
      </c>
      <c r="P547" s="11">
        <v>0.18160000000000001</v>
      </c>
      <c r="Q547" s="11">
        <v>1.0019999999999999E-2</v>
      </c>
      <c r="R547" s="12">
        <f t="shared" si="163"/>
        <v>0.12117475937773435</v>
      </c>
      <c r="S547" s="12">
        <f t="shared" si="164"/>
        <v>-0.11407824911080557</v>
      </c>
      <c r="T547" s="12">
        <f t="shared" si="165"/>
        <v>-1.7329348530130339E-3</v>
      </c>
      <c r="U547" s="12">
        <f t="shared" si="169"/>
        <v>2.2005336302996559E-2</v>
      </c>
      <c r="V547" s="12">
        <f t="shared" si="156"/>
        <v>-2.0716610038522293E-2</v>
      </c>
      <c r="W547" s="12">
        <f t="shared" si="157"/>
        <v>-3.1470096930716698E-4</v>
      </c>
      <c r="X547" s="12">
        <f t="shared" si="158"/>
        <v>1.2141710889648982E-3</v>
      </c>
      <c r="Y547" s="12">
        <f t="shared" si="159"/>
        <v>-1.1430640560902716E-3</v>
      </c>
      <c r="Z547" s="12">
        <f t="shared" si="160"/>
        <v>-1.7364007227190599E-5</v>
      </c>
    </row>
    <row r="548" spans="1:26" ht="13">
      <c r="A548" s="22" t="str">
        <f t="shared" ref="A548:A551" si="177">A547</f>
        <v>KHP</v>
      </c>
      <c r="B548" s="9">
        <v>2018</v>
      </c>
      <c r="C548" s="19">
        <v>53.87</v>
      </c>
      <c r="D548" s="19">
        <v>1274.03</v>
      </c>
      <c r="E548" s="19">
        <v>1903.79</v>
      </c>
      <c r="F548" s="19">
        <v>604.15</v>
      </c>
      <c r="G548" s="19">
        <v>648.67999999999995</v>
      </c>
      <c r="H548" s="10">
        <f t="shared" si="166"/>
        <v>2.8296188129993328E-2</v>
      </c>
      <c r="I548" s="10">
        <f t="shared" si="167"/>
        <v>0.66920721298042329</v>
      </c>
      <c r="J548" s="10">
        <f t="shared" si="168"/>
        <v>0.93135290127643833</v>
      </c>
      <c r="K548" s="4">
        <f t="shared" si="175"/>
        <v>-0.61657714420166299</v>
      </c>
      <c r="L548" s="10">
        <f t="shared" si="155"/>
        <v>0.66920721298042329</v>
      </c>
      <c r="M548" s="19">
        <v>235.64</v>
      </c>
      <c r="N548" s="19">
        <v>-146.25</v>
      </c>
      <c r="O548" s="19">
        <v>-23.97</v>
      </c>
      <c r="P548" s="11">
        <v>0.21729999999999999</v>
      </c>
      <c r="Q548" s="11">
        <v>4.7800000000000004E-3</v>
      </c>
      <c r="R548" s="12">
        <f t="shared" si="163"/>
        <v>0.12377415576297805</v>
      </c>
      <c r="S548" s="12">
        <f t="shared" si="164"/>
        <v>-7.682044763340494E-2</v>
      </c>
      <c r="T548" s="12">
        <f t="shared" si="165"/>
        <v>-1.2590674391608318E-2</v>
      </c>
      <c r="U548" s="12">
        <f t="shared" si="169"/>
        <v>2.689612404729513E-2</v>
      </c>
      <c r="V548" s="12">
        <f t="shared" si="156"/>
        <v>-1.6693083270738894E-2</v>
      </c>
      <c r="W548" s="12">
        <f t="shared" si="157"/>
        <v>-2.7359535452964874E-3</v>
      </c>
      <c r="X548" s="12">
        <f t="shared" si="158"/>
        <v>5.9164046454703511E-4</v>
      </c>
      <c r="Y548" s="12">
        <f t="shared" si="159"/>
        <v>-3.6720173968767564E-4</v>
      </c>
      <c r="Z548" s="12">
        <f t="shared" si="160"/>
        <v>-6.0183423591887765E-5</v>
      </c>
    </row>
    <row r="549" spans="1:26" ht="13">
      <c r="A549" s="22" t="str">
        <f t="shared" si="177"/>
        <v>KHP</v>
      </c>
      <c r="B549" s="9">
        <v>2019</v>
      </c>
      <c r="C549" s="19">
        <v>51.08</v>
      </c>
      <c r="D549" s="19">
        <v>1346.47</v>
      </c>
      <c r="E549" s="19">
        <v>1989.32</v>
      </c>
      <c r="F549" s="19">
        <v>557.13</v>
      </c>
      <c r="G549" s="19">
        <v>558.98</v>
      </c>
      <c r="H549" s="10">
        <f t="shared" si="166"/>
        <v>2.5677115798363261E-2</v>
      </c>
      <c r="I549" s="10">
        <f t="shared" si="167"/>
        <v>0.67684937566605674</v>
      </c>
      <c r="J549" s="10">
        <f t="shared" si="168"/>
        <v>0.99669040037210632</v>
      </c>
      <c r="K549" s="4">
        <f t="shared" si="175"/>
        <v>-0.56149234139759951</v>
      </c>
      <c r="L549" s="10">
        <f t="shared" si="155"/>
        <v>0.67684937566605674</v>
      </c>
      <c r="M549" s="19">
        <v>42.32</v>
      </c>
      <c r="N549" s="19">
        <v>-273.91000000000003</v>
      </c>
      <c r="O549" s="19">
        <v>197.03</v>
      </c>
      <c r="P549" s="11">
        <v>0.21729999999999999</v>
      </c>
      <c r="Q549" s="11">
        <v>4.7800000000000004E-3</v>
      </c>
      <c r="R549" s="12">
        <f t="shared" si="163"/>
        <v>2.1273601029497519E-2</v>
      </c>
      <c r="S549" s="12">
        <f t="shared" si="164"/>
        <v>-0.13769026602054976</v>
      </c>
      <c r="T549" s="12">
        <f t="shared" si="165"/>
        <v>9.9043894396075041E-2</v>
      </c>
      <c r="U549" s="12">
        <f t="shared" si="169"/>
        <v>4.6227535037098103E-3</v>
      </c>
      <c r="V549" s="12">
        <f t="shared" si="156"/>
        <v>-2.9920094806265462E-2</v>
      </c>
      <c r="W549" s="12">
        <f t="shared" si="157"/>
        <v>2.1522238252267106E-2</v>
      </c>
      <c r="X549" s="12">
        <f t="shared" si="158"/>
        <v>1.0168781292099815E-4</v>
      </c>
      <c r="Y549" s="12">
        <f t="shared" si="159"/>
        <v>-6.5815947157822792E-4</v>
      </c>
      <c r="Z549" s="12">
        <f t="shared" si="160"/>
        <v>4.7342981521323875E-4</v>
      </c>
    </row>
    <row r="550" spans="1:26" ht="13">
      <c r="A550" s="22" t="str">
        <f t="shared" si="177"/>
        <v>KHP</v>
      </c>
      <c r="B550" s="9">
        <v>2020</v>
      </c>
      <c r="C550" s="19">
        <v>45.14</v>
      </c>
      <c r="D550" s="19">
        <v>1365.87</v>
      </c>
      <c r="E550" s="19">
        <v>2028.63</v>
      </c>
      <c r="F550" s="19">
        <v>690.18</v>
      </c>
      <c r="G550" s="19">
        <v>588.73</v>
      </c>
      <c r="H550" s="10">
        <f t="shared" si="166"/>
        <v>2.225147020402932E-2</v>
      </c>
      <c r="I550" s="10">
        <f t="shared" si="167"/>
        <v>0.67329675692462387</v>
      </c>
      <c r="J550" s="10">
        <f t="shared" si="168"/>
        <v>1.1723200788137176</v>
      </c>
      <c r="K550" s="4">
        <f t="shared" si="175"/>
        <v>-0.56702938176303019</v>
      </c>
      <c r="L550" s="10">
        <f t="shared" si="155"/>
        <v>0.67329675692462387</v>
      </c>
      <c r="M550" s="19">
        <v>245.42</v>
      </c>
      <c r="N550" s="19">
        <v>-44.68</v>
      </c>
      <c r="O550" s="19">
        <v>-79.819999999999993</v>
      </c>
      <c r="P550" s="11">
        <v>0.11650000000000001</v>
      </c>
      <c r="Q550" s="11">
        <v>4.7000000000000002E-3</v>
      </c>
      <c r="R550" s="12">
        <f t="shared" si="163"/>
        <v>0.12097819710839333</v>
      </c>
      <c r="S550" s="12">
        <f t="shared" si="164"/>
        <v>-2.2024716187772041E-2</v>
      </c>
      <c r="T550" s="12">
        <f t="shared" si="165"/>
        <v>-3.9346751255773596E-2</v>
      </c>
      <c r="U550" s="12">
        <f t="shared" si="169"/>
        <v>1.4093959963127824E-2</v>
      </c>
      <c r="V550" s="12">
        <f t="shared" si="156"/>
        <v>-2.565879435875443E-3</v>
      </c>
      <c r="W550" s="12">
        <f t="shared" si="157"/>
        <v>-4.5838965212976245E-3</v>
      </c>
      <c r="X550" s="12">
        <f t="shared" si="158"/>
        <v>5.685975264094487E-4</v>
      </c>
      <c r="Y550" s="12">
        <f t="shared" si="159"/>
        <v>-1.0351616608252859E-4</v>
      </c>
      <c r="Z550" s="12">
        <f t="shared" si="160"/>
        <v>-1.849297309021359E-4</v>
      </c>
    </row>
    <row r="551" spans="1:26" ht="13">
      <c r="A551" s="22" t="str">
        <f t="shared" si="177"/>
        <v>KHP</v>
      </c>
      <c r="B551" s="9">
        <v>2021</v>
      </c>
      <c r="C551" s="19">
        <v>48.03</v>
      </c>
      <c r="D551" s="19">
        <v>1464.95</v>
      </c>
      <c r="E551" s="19">
        <v>2145.5300000000002</v>
      </c>
      <c r="F551" s="19">
        <v>786.73</v>
      </c>
      <c r="G551" s="19">
        <v>647.32000000000005</v>
      </c>
      <c r="H551" s="10">
        <f t="shared" si="166"/>
        <v>2.2386077099830811E-2</v>
      </c>
      <c r="I551" s="10">
        <f t="shared" si="167"/>
        <v>0.68279166453044227</v>
      </c>
      <c r="J551" s="10">
        <f t="shared" si="168"/>
        <v>1.2153648890811344</v>
      </c>
      <c r="K551" s="4">
        <f t="shared" si="175"/>
        <v>-0.51368631868204195</v>
      </c>
      <c r="L551" s="10">
        <f t="shared" si="155"/>
        <v>0.68279166453044227</v>
      </c>
      <c r="M551" s="19">
        <v>154.22999999999999</v>
      </c>
      <c r="N551" s="19">
        <v>-478.45</v>
      </c>
      <c r="O551" s="19">
        <v>210.06</v>
      </c>
      <c r="P551" s="11">
        <v>2.3599999999999999E-2</v>
      </c>
      <c r="Q551" s="11">
        <v>8.0000000000000004E-4</v>
      </c>
      <c r="R551" s="12">
        <f t="shared" si="163"/>
        <v>7.1884336271224342E-2</v>
      </c>
      <c r="S551" s="12">
        <f t="shared" si="164"/>
        <v>-0.22299851318788361</v>
      </c>
      <c r="T551" s="12">
        <f t="shared" si="165"/>
        <v>9.790587873392588E-2</v>
      </c>
      <c r="U551" s="12">
        <f t="shared" si="169"/>
        <v>1.6964703360008945E-3</v>
      </c>
      <c r="V551" s="12">
        <f t="shared" si="156"/>
        <v>-5.2627649112340531E-3</v>
      </c>
      <c r="W551" s="12">
        <f t="shared" si="157"/>
        <v>2.3105787381206507E-3</v>
      </c>
      <c r="X551" s="12">
        <f t="shared" si="158"/>
        <v>5.7507469016979473E-5</v>
      </c>
      <c r="Y551" s="12">
        <f t="shared" si="159"/>
        <v>-1.7839881055030688E-4</v>
      </c>
      <c r="Z551" s="12">
        <f t="shared" si="160"/>
        <v>7.8324702987140712E-5</v>
      </c>
    </row>
    <row r="552" spans="1:26" ht="13">
      <c r="A552" s="21" t="s">
        <v>128</v>
      </c>
      <c r="B552" s="9">
        <v>2017</v>
      </c>
      <c r="C552" s="19">
        <v>7.98</v>
      </c>
      <c r="D552" s="19">
        <v>210.11</v>
      </c>
      <c r="E552" s="19">
        <v>804.38</v>
      </c>
      <c r="F552" s="19">
        <v>406.09</v>
      </c>
      <c r="G552" s="19">
        <v>199.03</v>
      </c>
      <c r="H552" s="10">
        <f t="shared" si="166"/>
        <v>9.9206842537109333E-3</v>
      </c>
      <c r="I552" s="10">
        <f t="shared" si="167"/>
        <v>0.26120738954225614</v>
      </c>
      <c r="J552" s="10">
        <f t="shared" si="168"/>
        <v>2.0403456765311763</v>
      </c>
      <c r="K552" s="4">
        <f t="shared" si="175"/>
        <v>-2.8639223414569637</v>
      </c>
      <c r="L552" s="10">
        <f t="shared" si="155"/>
        <v>0.26120738954225614</v>
      </c>
      <c r="M552" s="19">
        <v>-19.38</v>
      </c>
      <c r="N552" s="19">
        <v>-68.09</v>
      </c>
      <c r="O552" s="19">
        <v>94.74</v>
      </c>
      <c r="P552" s="11">
        <v>0.49459999999999998</v>
      </c>
      <c r="Q552" s="11">
        <v>9.8500000000000004E-2</v>
      </c>
      <c r="R552" s="12">
        <f t="shared" si="163"/>
        <v>-2.4093090330440835E-2</v>
      </c>
      <c r="S552" s="12">
        <f t="shared" si="164"/>
        <v>-8.4649046470573613E-2</v>
      </c>
      <c r="T552" s="12">
        <f t="shared" si="165"/>
        <v>0.11778015365871851</v>
      </c>
      <c r="U552" s="12">
        <f t="shared" si="169"/>
        <v>-1.1916442477436036E-2</v>
      </c>
      <c r="V552" s="12">
        <f t="shared" si="156"/>
        <v>-4.1867418384345705E-2</v>
      </c>
      <c r="W552" s="12">
        <f t="shared" si="157"/>
        <v>5.8254063999602174E-2</v>
      </c>
      <c r="X552" s="12">
        <f t="shared" si="158"/>
        <v>-2.3731693975484222E-3</v>
      </c>
      <c r="Y552" s="12">
        <f t="shared" si="159"/>
        <v>-8.3379310773515018E-3</v>
      </c>
      <c r="Z552" s="12">
        <f t="shared" si="160"/>
        <v>1.1601345135383774E-2</v>
      </c>
    </row>
    <row r="553" spans="1:26" ht="13">
      <c r="A553" s="22" t="str">
        <f t="shared" ref="A553:A556" si="178">A552</f>
        <v>KMR</v>
      </c>
      <c r="B553" s="9">
        <v>2018</v>
      </c>
      <c r="C553" s="19">
        <v>3.76</v>
      </c>
      <c r="D553" s="19">
        <v>316.26</v>
      </c>
      <c r="E553" s="19">
        <v>913.12</v>
      </c>
      <c r="F553" s="19">
        <v>524.38</v>
      </c>
      <c r="G553" s="19">
        <v>310.82</v>
      </c>
      <c r="H553" s="10">
        <f t="shared" si="166"/>
        <v>4.1177501314175573E-3</v>
      </c>
      <c r="I553" s="10">
        <f t="shared" si="167"/>
        <v>0.34635097248992464</v>
      </c>
      <c r="J553" s="10">
        <f t="shared" si="168"/>
        <v>1.6870857731162732</v>
      </c>
      <c r="K553" s="4">
        <f t="shared" si="175"/>
        <v>-2.3510776754912732</v>
      </c>
      <c r="L553" s="10">
        <f t="shared" si="155"/>
        <v>0.34635097248992464</v>
      </c>
      <c r="M553" s="19">
        <v>-59.68</v>
      </c>
      <c r="N553" s="19">
        <v>-42.39</v>
      </c>
      <c r="O553" s="19">
        <v>88.28</v>
      </c>
      <c r="P553" s="11">
        <v>0.49459999999999998</v>
      </c>
      <c r="Q553" s="11">
        <v>9.8500000000000004E-2</v>
      </c>
      <c r="R553" s="12">
        <f t="shared" si="163"/>
        <v>-6.5358331873138248E-2</v>
      </c>
      <c r="S553" s="12">
        <f t="shared" si="164"/>
        <v>-4.6423252146486772E-2</v>
      </c>
      <c r="T553" s="12">
        <f t="shared" si="165"/>
        <v>9.6679516383388828E-2</v>
      </c>
      <c r="U553" s="12">
        <f t="shared" si="169"/>
        <v>-3.2326230944454179E-2</v>
      </c>
      <c r="V553" s="12">
        <f t="shared" si="156"/>
        <v>-2.2960940511652358E-2</v>
      </c>
      <c r="W553" s="12">
        <f t="shared" si="157"/>
        <v>4.7817688803224109E-2</v>
      </c>
      <c r="X553" s="12">
        <f t="shared" si="158"/>
        <v>-6.4377956895041175E-3</v>
      </c>
      <c r="Y553" s="12">
        <f t="shared" si="159"/>
        <v>-4.5726903364289471E-3</v>
      </c>
      <c r="Z553" s="12">
        <f t="shared" si="160"/>
        <v>9.5229323637637999E-3</v>
      </c>
    </row>
    <row r="554" spans="1:26" ht="13">
      <c r="A554" s="22" t="str">
        <f t="shared" si="178"/>
        <v>KMR</v>
      </c>
      <c r="B554" s="9">
        <v>2019</v>
      </c>
      <c r="C554" s="19">
        <v>4.24</v>
      </c>
      <c r="D554" s="19">
        <v>394.76</v>
      </c>
      <c r="E554" s="19">
        <v>995.19</v>
      </c>
      <c r="F554" s="19">
        <v>626.76</v>
      </c>
      <c r="G554" s="19">
        <v>385</v>
      </c>
      <c r="H554" s="10">
        <f t="shared" si="166"/>
        <v>4.2604929711914305E-3</v>
      </c>
      <c r="I554" s="10">
        <f t="shared" si="167"/>
        <v>0.39666797294988893</v>
      </c>
      <c r="J554" s="10">
        <f t="shared" si="168"/>
        <v>1.627948051948052</v>
      </c>
      <c r="K554" s="4">
        <f t="shared" si="175"/>
        <v>-2.0646765647637864</v>
      </c>
      <c r="L554" s="10">
        <f t="shared" si="155"/>
        <v>0.39666797294988893</v>
      </c>
      <c r="M554" s="19">
        <v>21.08</v>
      </c>
      <c r="N554" s="19">
        <v>-46.47</v>
      </c>
      <c r="O554" s="19">
        <v>23.13</v>
      </c>
      <c r="P554" s="11">
        <v>0.62749999999999995</v>
      </c>
      <c r="Q554" s="11">
        <v>0.24779999999999999</v>
      </c>
      <c r="R554" s="12">
        <f t="shared" si="163"/>
        <v>2.1181884866206452E-2</v>
      </c>
      <c r="S554" s="12">
        <f t="shared" si="164"/>
        <v>-4.6694601030958911E-2</v>
      </c>
      <c r="T554" s="12">
        <f t="shared" si="165"/>
        <v>2.324179302444759E-2</v>
      </c>
      <c r="U554" s="12">
        <f t="shared" si="169"/>
        <v>1.3291632753544547E-2</v>
      </c>
      <c r="V554" s="12">
        <f t="shared" si="156"/>
        <v>-2.9300862146926714E-2</v>
      </c>
      <c r="W554" s="12">
        <f t="shared" si="157"/>
        <v>1.4584225122840862E-2</v>
      </c>
      <c r="X554" s="12">
        <f t="shared" si="158"/>
        <v>5.2488710698459584E-3</v>
      </c>
      <c r="Y554" s="12">
        <f t="shared" si="159"/>
        <v>-1.1570922135471617E-2</v>
      </c>
      <c r="Z554" s="12">
        <f t="shared" si="160"/>
        <v>5.7593163114581123E-3</v>
      </c>
    </row>
    <row r="555" spans="1:26" ht="13">
      <c r="A555" s="22" t="str">
        <f t="shared" si="178"/>
        <v>KMR</v>
      </c>
      <c r="B555" s="9">
        <v>2020</v>
      </c>
      <c r="C555" s="19">
        <v>0.18</v>
      </c>
      <c r="D555" s="19">
        <v>505.37</v>
      </c>
      <c r="E555" s="19">
        <v>1105.29</v>
      </c>
      <c r="F555" s="19">
        <v>775.13</v>
      </c>
      <c r="G555" s="19">
        <v>497.07</v>
      </c>
      <c r="H555" s="10">
        <f t="shared" si="166"/>
        <v>1.6285318785115219E-4</v>
      </c>
      <c r="I555" s="10">
        <f t="shared" si="167"/>
        <v>0.45722841969075989</v>
      </c>
      <c r="J555" s="10">
        <f t="shared" si="168"/>
        <v>1.5593980727060575</v>
      </c>
      <c r="K555" s="4">
        <f t="shared" si="175"/>
        <v>-1.7007684393988229</v>
      </c>
      <c r="L555" s="10">
        <f t="shared" si="155"/>
        <v>0.45722841969075989</v>
      </c>
      <c r="M555" s="19">
        <v>50.57</v>
      </c>
      <c r="N555" s="19">
        <v>-24.23</v>
      </c>
      <c r="O555" s="19">
        <v>-3.05</v>
      </c>
      <c r="P555" s="11">
        <v>0.62709999999999999</v>
      </c>
      <c r="Q555" s="11">
        <v>7.9000000000000008E-3</v>
      </c>
      <c r="R555" s="12">
        <f t="shared" si="163"/>
        <v>4.57526983868487E-2</v>
      </c>
      <c r="S555" s="12">
        <f t="shared" si="164"/>
        <v>-2.1921848564630097E-2</v>
      </c>
      <c r="T555" s="12">
        <f t="shared" si="165"/>
        <v>-2.7594567941445231E-3</v>
      </c>
      <c r="U555" s="12">
        <f t="shared" si="169"/>
        <v>2.8691517158392819E-2</v>
      </c>
      <c r="V555" s="12">
        <f t="shared" si="156"/>
        <v>-1.3747191234879533E-2</v>
      </c>
      <c r="W555" s="12">
        <f t="shared" si="157"/>
        <v>-1.7304553556080303E-3</v>
      </c>
      <c r="X555" s="12">
        <f t="shared" si="158"/>
        <v>3.6144631725610476E-4</v>
      </c>
      <c r="Y555" s="12">
        <f t="shared" si="159"/>
        <v>-1.7318260366057779E-4</v>
      </c>
      <c r="Z555" s="12">
        <f t="shared" si="160"/>
        <v>-2.1799708673741735E-5</v>
      </c>
    </row>
    <row r="556" spans="1:26" ht="13">
      <c r="A556" s="22" t="str">
        <f t="shared" si="178"/>
        <v>KMR</v>
      </c>
      <c r="B556" s="9">
        <v>2021</v>
      </c>
      <c r="C556" s="19">
        <v>18.07</v>
      </c>
      <c r="D556" s="19">
        <v>457.04</v>
      </c>
      <c r="E556" s="19">
        <v>1074.98</v>
      </c>
      <c r="F556" s="19">
        <v>788.81</v>
      </c>
      <c r="G556" s="19">
        <v>450.15</v>
      </c>
      <c r="H556" s="10">
        <f t="shared" si="166"/>
        <v>1.6809615062605816E-2</v>
      </c>
      <c r="I556" s="10">
        <f t="shared" si="167"/>
        <v>0.42516139835159728</v>
      </c>
      <c r="J556" s="10">
        <f t="shared" si="168"/>
        <v>1.7523270021104076</v>
      </c>
      <c r="K556" s="4">
        <f t="shared" si="175"/>
        <v>-1.9592326051860629</v>
      </c>
      <c r="L556" s="10">
        <f t="shared" si="155"/>
        <v>0.42516139835159728</v>
      </c>
      <c r="M556" s="19">
        <v>8</v>
      </c>
      <c r="N556" s="19">
        <v>-7.42</v>
      </c>
      <c r="O556" s="19">
        <v>-17.84</v>
      </c>
      <c r="P556" s="11">
        <v>0.62709999999999999</v>
      </c>
      <c r="Q556" s="11">
        <v>6.1000000000000004E-3</v>
      </c>
      <c r="R556" s="12">
        <f t="shared" si="163"/>
        <v>7.4419989209101563E-3</v>
      </c>
      <c r="S556" s="12">
        <f t="shared" si="164"/>
        <v>-6.9024539991441695E-3</v>
      </c>
      <c r="T556" s="12">
        <f t="shared" si="165"/>
        <v>-1.6595657593629649E-2</v>
      </c>
      <c r="U556" s="12">
        <f t="shared" si="169"/>
        <v>4.6668775233027586E-3</v>
      </c>
      <c r="V556" s="12">
        <f t="shared" si="156"/>
        <v>-4.3285289028633083E-3</v>
      </c>
      <c r="W556" s="12">
        <f t="shared" si="157"/>
        <v>-1.0407136876965152E-2</v>
      </c>
      <c r="X556" s="12">
        <f t="shared" si="158"/>
        <v>4.5396193417551957E-5</v>
      </c>
      <c r="Y556" s="12">
        <f t="shared" si="159"/>
        <v>-4.2104969394779437E-5</v>
      </c>
      <c r="Z556" s="12">
        <f t="shared" si="160"/>
        <v>-1.0123351132114086E-4</v>
      </c>
    </row>
    <row r="557" spans="1:26" ht="13">
      <c r="A557" s="21" t="s">
        <v>129</v>
      </c>
      <c r="B557" s="9">
        <v>2017</v>
      </c>
      <c r="C557" s="19">
        <v>16.36</v>
      </c>
      <c r="D557" s="19">
        <v>13.48</v>
      </c>
      <c r="E557" s="19">
        <v>213.15</v>
      </c>
      <c r="F557" s="19">
        <v>145.63999999999999</v>
      </c>
      <c r="G557" s="19">
        <v>13.48</v>
      </c>
      <c r="H557" s="10">
        <f t="shared" si="166"/>
        <v>7.6753460004691521E-2</v>
      </c>
      <c r="I557" s="10">
        <f t="shared" si="167"/>
        <v>6.3241848463523334E-2</v>
      </c>
      <c r="J557" s="10">
        <f t="shared" si="168"/>
        <v>10.804154302670621</v>
      </c>
      <c r="K557" s="4">
        <f t="shared" si="175"/>
        <v>-4.3281286509897114</v>
      </c>
      <c r="L557" s="10">
        <f t="shared" si="155"/>
        <v>6.3241848463523334E-2</v>
      </c>
      <c r="M557" s="19">
        <v>26.75</v>
      </c>
      <c r="N557" s="19">
        <v>110.7</v>
      </c>
      <c r="O557" s="19">
        <v>-5.19</v>
      </c>
      <c r="P557" s="11">
        <v>2.9999999999999997E-4</v>
      </c>
      <c r="Q557" s="11">
        <v>0.1166</v>
      </c>
      <c r="R557" s="12">
        <f t="shared" si="163"/>
        <v>0.12549847525216984</v>
      </c>
      <c r="S557" s="12">
        <f t="shared" si="164"/>
        <v>0.51935256861365231</v>
      </c>
      <c r="T557" s="12">
        <f t="shared" si="165"/>
        <v>-2.4349049964813511E-2</v>
      </c>
      <c r="U557" s="12">
        <f t="shared" si="169"/>
        <v>3.7649542575650951E-5</v>
      </c>
      <c r="V557" s="12">
        <f t="shared" si="156"/>
        <v>1.5580577058409568E-4</v>
      </c>
      <c r="W557" s="12">
        <f t="shared" si="157"/>
        <v>-7.3047149894440525E-6</v>
      </c>
      <c r="X557" s="12">
        <f t="shared" si="158"/>
        <v>1.4633122214403002E-2</v>
      </c>
      <c r="Y557" s="12">
        <f t="shared" si="159"/>
        <v>6.0556509500351859E-2</v>
      </c>
      <c r="Z557" s="12">
        <f t="shared" si="160"/>
        <v>-2.8390992258972552E-3</v>
      </c>
    </row>
    <row r="558" spans="1:26" ht="13">
      <c r="A558" s="22" t="str">
        <f t="shared" ref="A558:A561" si="179">A557</f>
        <v>KPF</v>
      </c>
      <c r="B558" s="9">
        <v>2018</v>
      </c>
      <c r="C558" s="19">
        <v>22.23</v>
      </c>
      <c r="D558" s="19">
        <v>468.63</v>
      </c>
      <c r="E558" s="19">
        <v>684.44</v>
      </c>
      <c r="F558" s="19">
        <v>627.29999999999995</v>
      </c>
      <c r="G558" s="19">
        <v>468.63</v>
      </c>
      <c r="H558" s="10">
        <f t="shared" si="166"/>
        <v>3.2479107007188354E-2</v>
      </c>
      <c r="I558" s="10">
        <f t="shared" si="167"/>
        <v>0.68469113435801521</v>
      </c>
      <c r="J558" s="10">
        <f t="shared" si="168"/>
        <v>1.3385826771653542</v>
      </c>
      <c r="K558" s="4">
        <f t="shared" si="175"/>
        <v>-0.54877084640032159</v>
      </c>
      <c r="L558" s="10">
        <f t="shared" si="155"/>
        <v>0.68469113435801521</v>
      </c>
      <c r="M558" s="19">
        <v>15.96</v>
      </c>
      <c r="N558" s="19">
        <v>-57.09</v>
      </c>
      <c r="O558" s="19">
        <v>-18.079999999999998</v>
      </c>
      <c r="P558" s="11">
        <v>2.0000000000000001E-4</v>
      </c>
      <c r="Q558" s="11">
        <v>0.1166</v>
      </c>
      <c r="R558" s="12">
        <f t="shared" si="163"/>
        <v>2.3318333235930102E-2</v>
      </c>
      <c r="S558" s="12">
        <f t="shared" si="164"/>
        <v>-8.3411255917246213E-2</v>
      </c>
      <c r="T558" s="12">
        <f t="shared" si="165"/>
        <v>-2.6415755946467182E-2</v>
      </c>
      <c r="U558" s="12">
        <f t="shared" si="169"/>
        <v>4.6636666471860209E-6</v>
      </c>
      <c r="V558" s="12">
        <f t="shared" si="156"/>
        <v>-1.6682251183449244E-5</v>
      </c>
      <c r="W558" s="12">
        <f t="shared" si="157"/>
        <v>-5.2831511892934363E-6</v>
      </c>
      <c r="X558" s="12">
        <f t="shared" si="158"/>
        <v>2.7189176553094499E-3</v>
      </c>
      <c r="Y558" s="12">
        <f t="shared" si="159"/>
        <v>-9.725752439950908E-3</v>
      </c>
      <c r="Z558" s="12">
        <f t="shared" si="160"/>
        <v>-3.0800771433580733E-3</v>
      </c>
    </row>
    <row r="559" spans="1:26" ht="13">
      <c r="A559" s="22" t="str">
        <f t="shared" si="179"/>
        <v>KPF</v>
      </c>
      <c r="B559" s="9">
        <v>2019</v>
      </c>
      <c r="C559" s="19">
        <v>31.11</v>
      </c>
      <c r="D559" s="19">
        <v>620.58000000000004</v>
      </c>
      <c r="E559" s="19">
        <v>857.94</v>
      </c>
      <c r="F559" s="19">
        <v>584.04999999999995</v>
      </c>
      <c r="G559" s="19">
        <v>620.58000000000004</v>
      </c>
      <c r="H559" s="10">
        <f t="shared" si="166"/>
        <v>3.6261277012378482E-2</v>
      </c>
      <c r="I559" s="10">
        <f t="shared" si="167"/>
        <v>0.72333729631442756</v>
      </c>
      <c r="J559" s="10">
        <f t="shared" si="168"/>
        <v>0.94113571175352073</v>
      </c>
      <c r="K559" s="4">
        <f t="shared" si="175"/>
        <v>-0.34391770041048031</v>
      </c>
      <c r="L559" s="10">
        <f t="shared" si="155"/>
        <v>0.72333729631442756</v>
      </c>
      <c r="M559" s="19">
        <v>-169.16</v>
      </c>
      <c r="N559" s="19">
        <v>-38.049999999999997</v>
      </c>
      <c r="O559" s="19">
        <v>139.88</v>
      </c>
      <c r="P559" s="11">
        <v>2.0000000000000001E-4</v>
      </c>
      <c r="Q559" s="11">
        <v>0.13109999999999999</v>
      </c>
      <c r="R559" s="12">
        <f t="shared" si="163"/>
        <v>-0.19716996526563627</v>
      </c>
      <c r="S559" s="12">
        <f t="shared" si="164"/>
        <v>-4.4350420775345588E-2</v>
      </c>
      <c r="T559" s="12">
        <f t="shared" si="165"/>
        <v>0.16304170454810357</v>
      </c>
      <c r="U559" s="12">
        <f t="shared" si="169"/>
        <v>-3.9433993053127258E-5</v>
      </c>
      <c r="V559" s="12">
        <f t="shared" si="156"/>
        <v>-8.8700841550691181E-6</v>
      </c>
      <c r="W559" s="12">
        <f t="shared" si="157"/>
        <v>3.2608340909620713E-5</v>
      </c>
      <c r="X559" s="12">
        <f t="shared" si="158"/>
        <v>-2.5848982446324914E-2</v>
      </c>
      <c r="Y559" s="12">
        <f t="shared" si="159"/>
        <v>-5.8143401636478066E-3</v>
      </c>
      <c r="Z559" s="12">
        <f t="shared" si="160"/>
        <v>2.1374767466256377E-2</v>
      </c>
    </row>
    <row r="560" spans="1:26" ht="13">
      <c r="A560" s="22" t="str">
        <f t="shared" si="179"/>
        <v>KPF</v>
      </c>
      <c r="B560" s="9">
        <v>2020</v>
      </c>
      <c r="C560" s="19">
        <v>25.98</v>
      </c>
      <c r="D560" s="19">
        <v>1069.6099999999999</v>
      </c>
      <c r="E560" s="19">
        <v>1329.78</v>
      </c>
      <c r="F560" s="19">
        <v>631.74</v>
      </c>
      <c r="G560" s="19">
        <v>702.54</v>
      </c>
      <c r="H560" s="10">
        <f t="shared" si="166"/>
        <v>1.9537066281640574E-2</v>
      </c>
      <c r="I560" s="10">
        <f t="shared" si="167"/>
        <v>0.80435109566996044</v>
      </c>
      <c r="J560" s="10">
        <f t="shared" si="168"/>
        <v>0.89922282005295073</v>
      </c>
      <c r="K560" s="4">
        <f t="shared" si="175"/>
        <v>0.1932875557711804</v>
      </c>
      <c r="L560" s="10">
        <f t="shared" si="155"/>
        <v>0.80435109566996044</v>
      </c>
      <c r="M560" s="19">
        <v>-83.53</v>
      </c>
      <c r="N560" s="19">
        <v>-98.24</v>
      </c>
      <c r="O560" s="19">
        <v>218.62</v>
      </c>
      <c r="P560" s="11">
        <v>2.0000000000000001E-4</v>
      </c>
      <c r="Q560" s="11">
        <v>0.13109999999999999</v>
      </c>
      <c r="R560" s="12">
        <f t="shared" si="163"/>
        <v>-6.2814901713065321E-2</v>
      </c>
      <c r="S560" s="12">
        <f t="shared" si="164"/>
        <v>-7.3876881890237486E-2</v>
      </c>
      <c r="T560" s="12">
        <f t="shared" si="165"/>
        <v>0.1644031343530509</v>
      </c>
      <c r="U560" s="12">
        <f t="shared" si="169"/>
        <v>-1.2562980342613065E-5</v>
      </c>
      <c r="V560" s="12">
        <f t="shared" si="156"/>
        <v>-1.4775376378047498E-5</v>
      </c>
      <c r="W560" s="12">
        <f t="shared" si="157"/>
        <v>3.288062687061018E-5</v>
      </c>
      <c r="X560" s="12">
        <f t="shared" si="158"/>
        <v>-8.235033614582863E-3</v>
      </c>
      <c r="Y560" s="12">
        <f t="shared" si="159"/>
        <v>-9.6852592158101335E-3</v>
      </c>
      <c r="Z560" s="12">
        <f t="shared" si="160"/>
        <v>2.1553250913684971E-2</v>
      </c>
    </row>
    <row r="561" spans="1:26" ht="13">
      <c r="A561" s="22" t="str">
        <f t="shared" si="179"/>
        <v>KPF</v>
      </c>
      <c r="B561" s="9">
        <v>2021</v>
      </c>
      <c r="C561" s="19">
        <v>75.959999999999994</v>
      </c>
      <c r="D561" s="19">
        <v>315.43</v>
      </c>
      <c r="E561" s="19">
        <v>1071.0999999999999</v>
      </c>
      <c r="F561" s="19">
        <v>967.47</v>
      </c>
      <c r="G561" s="19">
        <v>15.43</v>
      </c>
      <c r="H561" s="10">
        <f t="shared" si="166"/>
        <v>7.0917748109420226E-2</v>
      </c>
      <c r="I561" s="10">
        <f t="shared" si="167"/>
        <v>0.29449164410419199</v>
      </c>
      <c r="J561" s="10">
        <f t="shared" si="168"/>
        <v>62.70058327932599</v>
      </c>
      <c r="K561" s="4">
        <f t="shared" si="175"/>
        <v>-3.1913298282158005</v>
      </c>
      <c r="L561" s="10">
        <f t="shared" si="155"/>
        <v>0.29449164410419199</v>
      </c>
      <c r="M561" s="19">
        <v>820.57</v>
      </c>
      <c r="N561" s="19">
        <v>-919.81</v>
      </c>
      <c r="O561" s="19">
        <v>54.6</v>
      </c>
      <c r="P561" s="11">
        <v>3.8899999999999997E-2</v>
      </c>
      <c r="Q561" s="11">
        <v>4.48E-2</v>
      </c>
      <c r="R561" s="12">
        <f t="shared" si="163"/>
        <v>0.76610027074969667</v>
      </c>
      <c r="S561" s="12">
        <f t="shared" si="164"/>
        <v>-0.85875268415647465</v>
      </c>
      <c r="T561" s="12">
        <f t="shared" si="165"/>
        <v>5.0975632527308377E-2</v>
      </c>
      <c r="U561" s="12">
        <f t="shared" si="169"/>
        <v>2.9801300532163198E-2</v>
      </c>
      <c r="V561" s="12">
        <f t="shared" si="156"/>
        <v>-3.3405479413686864E-2</v>
      </c>
      <c r="W561" s="12">
        <f t="shared" si="157"/>
        <v>1.9829521053122958E-3</v>
      </c>
      <c r="X561" s="12">
        <f t="shared" si="158"/>
        <v>3.4321292129586407E-2</v>
      </c>
      <c r="Y561" s="12">
        <f t="shared" si="159"/>
        <v>-3.8472120250210066E-2</v>
      </c>
      <c r="Z561" s="12">
        <f t="shared" si="160"/>
        <v>2.2837083372234152E-3</v>
      </c>
    </row>
    <row r="562" spans="1:26" ht="13">
      <c r="A562" s="21" t="s">
        <v>130</v>
      </c>
      <c r="B562" s="9">
        <v>2017</v>
      </c>
      <c r="C562" s="19">
        <v>277.20999999999998</v>
      </c>
      <c r="D562" s="19">
        <v>672.12</v>
      </c>
      <c r="E562" s="19">
        <v>1430.53</v>
      </c>
      <c r="F562" s="19">
        <v>693.26</v>
      </c>
      <c r="G562" s="19">
        <v>137.65</v>
      </c>
      <c r="H562" s="10">
        <f t="shared" si="166"/>
        <v>0.19378132580232499</v>
      </c>
      <c r="I562" s="10">
        <f t="shared" si="167"/>
        <v>0.46983984956624469</v>
      </c>
      <c r="J562" s="10">
        <f t="shared" si="168"/>
        <v>5.0363966581910642</v>
      </c>
      <c r="K562" s="4">
        <f t="shared" si="175"/>
        <v>-2.5140744102156325</v>
      </c>
      <c r="L562" s="10">
        <f t="shared" si="155"/>
        <v>0.46983984956624469</v>
      </c>
      <c r="M562" s="19">
        <v>410.67</v>
      </c>
      <c r="N562" s="19">
        <v>-117.62</v>
      </c>
      <c r="O562" s="19">
        <v>-56.16</v>
      </c>
      <c r="P562" s="11">
        <v>4.2900000000000001E-2</v>
      </c>
      <c r="Q562" s="11">
        <v>1.5200000000000001E-3</v>
      </c>
      <c r="R562" s="12">
        <f t="shared" si="163"/>
        <v>0.28707541959972876</v>
      </c>
      <c r="S562" s="12">
        <f t="shared" si="164"/>
        <v>-8.2221274632478872E-2</v>
      </c>
      <c r="T562" s="12">
        <f t="shared" si="165"/>
        <v>-3.9258177039279148E-2</v>
      </c>
      <c r="U562" s="12">
        <f t="shared" si="169"/>
        <v>1.2315535500828364E-2</v>
      </c>
      <c r="V562" s="12">
        <f t="shared" si="156"/>
        <v>-3.5272926817333438E-3</v>
      </c>
      <c r="W562" s="12">
        <f t="shared" si="157"/>
        <v>-1.6841757949850754E-3</v>
      </c>
      <c r="X562" s="12">
        <f t="shared" si="158"/>
        <v>4.3635463779158774E-4</v>
      </c>
      <c r="Y562" s="12">
        <f t="shared" si="159"/>
        <v>-1.249763374413679E-4</v>
      </c>
      <c r="Z562" s="12">
        <f t="shared" si="160"/>
        <v>-5.967242909970431E-5</v>
      </c>
    </row>
    <row r="563" spans="1:26" ht="13">
      <c r="A563" s="22" t="str">
        <f t="shared" ref="A563:A566" si="180">A562</f>
        <v>KSB</v>
      </c>
      <c r="B563" s="9">
        <v>2018</v>
      </c>
      <c r="C563" s="19">
        <v>327.22000000000003</v>
      </c>
      <c r="D563" s="19">
        <v>1875.67</v>
      </c>
      <c r="E563" s="19">
        <v>2896.77</v>
      </c>
      <c r="F563" s="19">
        <v>1750.32</v>
      </c>
      <c r="G563" s="19">
        <v>698.53</v>
      </c>
      <c r="H563" s="10">
        <f t="shared" si="166"/>
        <v>0.11296029715855938</v>
      </c>
      <c r="I563" s="10">
        <f t="shared" si="167"/>
        <v>0.64750394404802591</v>
      </c>
      <c r="J563" s="10">
        <f t="shared" si="168"/>
        <v>2.505719153078608</v>
      </c>
      <c r="K563" s="4">
        <f t="shared" si="175"/>
        <v>-1.1275717327520836</v>
      </c>
      <c r="L563" s="10">
        <f t="shared" si="155"/>
        <v>0.64750394404802591</v>
      </c>
      <c r="M563" s="19">
        <v>703.92</v>
      </c>
      <c r="N563" s="19">
        <v>-1472.59</v>
      </c>
      <c r="O563" s="19">
        <v>577.80999999999995</v>
      </c>
      <c r="P563" s="11">
        <v>4.2900000000000001E-2</v>
      </c>
      <c r="Q563" s="11">
        <v>2.76E-2</v>
      </c>
      <c r="R563" s="12">
        <f t="shared" si="163"/>
        <v>0.24300168808707628</v>
      </c>
      <c r="S563" s="12">
        <f t="shared" si="164"/>
        <v>-0.50835585842162134</v>
      </c>
      <c r="T563" s="12">
        <f t="shared" si="165"/>
        <v>0.19946699254687114</v>
      </c>
      <c r="U563" s="12">
        <f t="shared" si="169"/>
        <v>1.0424772418935573E-2</v>
      </c>
      <c r="V563" s="12">
        <f t="shared" si="156"/>
        <v>-2.1808466326287555E-2</v>
      </c>
      <c r="W563" s="12">
        <f t="shared" si="157"/>
        <v>8.5571339802607716E-3</v>
      </c>
      <c r="X563" s="12">
        <f t="shared" si="158"/>
        <v>6.7068465912033057E-3</v>
      </c>
      <c r="Y563" s="12">
        <f t="shared" si="159"/>
        <v>-1.4030621692436749E-2</v>
      </c>
      <c r="Z563" s="12">
        <f t="shared" si="160"/>
        <v>5.5052889942936436E-3</v>
      </c>
    </row>
    <row r="564" spans="1:26" ht="13">
      <c r="A564" s="22" t="str">
        <f t="shared" si="180"/>
        <v>KSB</v>
      </c>
      <c r="B564" s="9">
        <v>2019</v>
      </c>
      <c r="C564" s="19">
        <v>330.13</v>
      </c>
      <c r="D564" s="19">
        <v>2669.98</v>
      </c>
      <c r="E564" s="19">
        <v>3959.33</v>
      </c>
      <c r="F564" s="19">
        <v>2352.94</v>
      </c>
      <c r="G564" s="19">
        <v>1656.68</v>
      </c>
      <c r="H564" s="10">
        <f t="shared" si="166"/>
        <v>8.3380268883876812E-2</v>
      </c>
      <c r="I564" s="10">
        <f t="shared" si="167"/>
        <v>0.67435146855654871</v>
      </c>
      <c r="J564" s="10">
        <f t="shared" si="168"/>
        <v>1.4202742835067725</v>
      </c>
      <c r="K564" s="4">
        <f t="shared" si="175"/>
        <v>-0.8370889363391445</v>
      </c>
      <c r="L564" s="10">
        <f t="shared" si="155"/>
        <v>0.67435146855654871</v>
      </c>
      <c r="M564" s="19">
        <v>618.55999999999995</v>
      </c>
      <c r="N564" s="19">
        <v>-935.28</v>
      </c>
      <c r="O564" s="19">
        <v>331.01</v>
      </c>
      <c r="P564" s="11">
        <v>8.6999999999999994E-2</v>
      </c>
      <c r="Q564" s="11">
        <v>3.1099999999999999E-2</v>
      </c>
      <c r="R564" s="12">
        <f t="shared" si="163"/>
        <v>0.15622845279378075</v>
      </c>
      <c r="S564" s="12">
        <f t="shared" si="164"/>
        <v>-0.23622178499897709</v>
      </c>
      <c r="T564" s="12">
        <f t="shared" si="165"/>
        <v>8.3602528710665688E-2</v>
      </c>
      <c r="U564" s="12">
        <f t="shared" si="169"/>
        <v>1.3591875393058924E-2</v>
      </c>
      <c r="V564" s="12">
        <f t="shared" si="156"/>
        <v>-2.0551295294911006E-2</v>
      </c>
      <c r="W564" s="12">
        <f t="shared" si="157"/>
        <v>7.2734199978279146E-3</v>
      </c>
      <c r="X564" s="12">
        <f t="shared" si="158"/>
        <v>4.8587048818865813E-3</v>
      </c>
      <c r="Y564" s="12">
        <f t="shared" si="159"/>
        <v>-7.3464975134681868E-3</v>
      </c>
      <c r="Z564" s="12">
        <f t="shared" si="160"/>
        <v>2.6000386429017026E-3</v>
      </c>
    </row>
    <row r="565" spans="1:26" ht="13">
      <c r="A565" s="22" t="str">
        <f t="shared" si="180"/>
        <v>KSB</v>
      </c>
      <c r="B565" s="9">
        <v>2020</v>
      </c>
      <c r="C565" s="19">
        <v>327.76</v>
      </c>
      <c r="D565" s="19">
        <v>2340.88</v>
      </c>
      <c r="E565" s="19">
        <v>3924.85</v>
      </c>
      <c r="F565" s="19">
        <v>2382.52</v>
      </c>
      <c r="G565" s="19">
        <v>1402.04</v>
      </c>
      <c r="H565" s="10">
        <f t="shared" si="166"/>
        <v>8.3508923907920043E-2</v>
      </c>
      <c r="I565" s="10">
        <f t="shared" si="167"/>
        <v>0.59642534109583811</v>
      </c>
      <c r="J565" s="10">
        <f t="shared" si="168"/>
        <v>1.6993238424010728</v>
      </c>
      <c r="K565" s="4">
        <f t="shared" si="175"/>
        <v>-1.2829630087089667</v>
      </c>
      <c r="L565" s="10">
        <f t="shared" si="155"/>
        <v>0.59642534109583811</v>
      </c>
      <c r="M565" s="19">
        <v>457.38</v>
      </c>
      <c r="N565" s="19">
        <v>-170.2</v>
      </c>
      <c r="O565" s="19">
        <v>-275.2</v>
      </c>
      <c r="P565" s="11">
        <v>0.129</v>
      </c>
      <c r="Q565" s="11">
        <v>5.4399999999999997E-2</v>
      </c>
      <c r="R565" s="12">
        <f t="shared" si="163"/>
        <v>0.11653438984929361</v>
      </c>
      <c r="S565" s="12">
        <f t="shared" si="164"/>
        <v>-4.3364714575079302E-2</v>
      </c>
      <c r="T565" s="12">
        <f t="shared" si="165"/>
        <v>-7.0117329324687561E-2</v>
      </c>
      <c r="U565" s="12">
        <f t="shared" si="169"/>
        <v>1.5032936290558876E-2</v>
      </c>
      <c r="V565" s="12">
        <f t="shared" si="156"/>
        <v>-5.5940481801852304E-3</v>
      </c>
      <c r="W565" s="12">
        <f t="shared" si="157"/>
        <v>-9.0451354828846951E-3</v>
      </c>
      <c r="X565" s="12">
        <f t="shared" si="158"/>
        <v>6.339470807801572E-3</v>
      </c>
      <c r="Y565" s="12">
        <f t="shared" si="159"/>
        <v>-2.3590404728843139E-3</v>
      </c>
      <c r="Z565" s="12">
        <f t="shared" si="160"/>
        <v>-3.8143827152630032E-3</v>
      </c>
    </row>
    <row r="566" spans="1:26" ht="13">
      <c r="A566" s="22" t="str">
        <f t="shared" si="180"/>
        <v>KSB</v>
      </c>
      <c r="B566" s="9">
        <v>2021</v>
      </c>
      <c r="C566" s="19">
        <v>252.81</v>
      </c>
      <c r="D566" s="19">
        <v>2197</v>
      </c>
      <c r="E566" s="19">
        <v>3984.85</v>
      </c>
      <c r="F566" s="19">
        <v>2100.3000000000002</v>
      </c>
      <c r="G566" s="19">
        <v>1231.21</v>
      </c>
      <c r="H566" s="10">
        <f t="shared" si="166"/>
        <v>6.344278956547926E-2</v>
      </c>
      <c r="I566" s="10">
        <f t="shared" si="167"/>
        <v>0.55133819340753099</v>
      </c>
      <c r="J566" s="10">
        <f t="shared" si="168"/>
        <v>1.7058828307112517</v>
      </c>
      <c r="K566" s="4">
        <f t="shared" si="175"/>
        <v>-1.4496883819445752</v>
      </c>
      <c r="L566" s="10">
        <f t="shared" si="155"/>
        <v>0.55133819340753099</v>
      </c>
      <c r="M566" s="19">
        <v>44.23</v>
      </c>
      <c r="N566" s="19">
        <v>-172.64</v>
      </c>
      <c r="O566" s="19">
        <v>71.040000000000006</v>
      </c>
      <c r="P566" s="11">
        <v>0.129</v>
      </c>
      <c r="Q566" s="11">
        <v>5.28E-2</v>
      </c>
      <c r="R566" s="12">
        <f t="shared" si="163"/>
        <v>1.1099539505878515E-2</v>
      </c>
      <c r="S566" s="12">
        <f t="shared" si="164"/>
        <v>-4.3324089990840302E-2</v>
      </c>
      <c r="T566" s="12">
        <f t="shared" si="165"/>
        <v>1.7827521738584894E-2</v>
      </c>
      <c r="U566" s="12">
        <f t="shared" si="169"/>
        <v>1.4318405962583285E-3</v>
      </c>
      <c r="V566" s="12">
        <f t="shared" si="156"/>
        <v>-5.5888076088183988E-3</v>
      </c>
      <c r="W566" s="12">
        <f t="shared" si="157"/>
        <v>2.2997503042774515E-3</v>
      </c>
      <c r="X566" s="12">
        <f t="shared" si="158"/>
        <v>5.860556859103856E-4</v>
      </c>
      <c r="Y566" s="12">
        <f t="shared" si="159"/>
        <v>-2.2875119515163678E-3</v>
      </c>
      <c r="Z566" s="12">
        <f t="shared" si="160"/>
        <v>9.4129314779728239E-4</v>
      </c>
    </row>
    <row r="567" spans="1:26" ht="13">
      <c r="A567" s="21" t="s">
        <v>131</v>
      </c>
      <c r="B567" s="9">
        <v>2017</v>
      </c>
      <c r="C567" s="19">
        <v>27.63</v>
      </c>
      <c r="D567" s="19">
        <v>868.42</v>
      </c>
      <c r="E567" s="19">
        <v>1105.79</v>
      </c>
      <c r="F567" s="19">
        <v>841.71</v>
      </c>
      <c r="G567" s="19">
        <v>629.09</v>
      </c>
      <c r="H567" s="10">
        <f t="shared" si="166"/>
        <v>2.498666112010418E-2</v>
      </c>
      <c r="I567" s="10">
        <f t="shared" si="167"/>
        <v>0.78533898841552197</v>
      </c>
      <c r="J567" s="10">
        <f t="shared" si="168"/>
        <v>1.3379802571969035</v>
      </c>
      <c r="K567" s="4">
        <f t="shared" si="175"/>
        <v>5.8640337899219248E-2</v>
      </c>
      <c r="L567" s="10">
        <f t="shared" si="155"/>
        <v>0.78533898841552197</v>
      </c>
      <c r="M567" s="19">
        <v>93.61</v>
      </c>
      <c r="N567" s="19">
        <v>-9.2799999999999994</v>
      </c>
      <c r="O567" s="19">
        <v>-79.09</v>
      </c>
      <c r="P567" s="11">
        <v>1.29E-2</v>
      </c>
      <c r="Q567" s="11">
        <v>0.18548999999999999</v>
      </c>
      <c r="R567" s="12">
        <f t="shared" si="163"/>
        <v>8.4654409969343189E-2</v>
      </c>
      <c r="S567" s="12">
        <f t="shared" si="164"/>
        <v>-8.392190198862351E-3</v>
      </c>
      <c r="T567" s="12">
        <f t="shared" si="165"/>
        <v>-7.1523526166812873E-2</v>
      </c>
      <c r="U567" s="12">
        <f t="shared" si="169"/>
        <v>1.0920418886045272E-3</v>
      </c>
      <c r="V567" s="12">
        <f t="shared" si="156"/>
        <v>-1.0825925356532433E-4</v>
      </c>
      <c r="W567" s="12">
        <f t="shared" si="157"/>
        <v>-9.2265348755188607E-4</v>
      </c>
      <c r="X567" s="12">
        <f t="shared" si="158"/>
        <v>1.5702546505213466E-2</v>
      </c>
      <c r="Y567" s="12">
        <f t="shared" si="159"/>
        <v>-1.5566673599869774E-3</v>
      </c>
      <c r="Z567" s="12">
        <f t="shared" si="160"/>
        <v>-1.3266898868682118E-2</v>
      </c>
    </row>
    <row r="568" spans="1:26" ht="13">
      <c r="A568" s="22" t="str">
        <f t="shared" ref="A568:A571" si="181">A567</f>
        <v>L10</v>
      </c>
      <c r="B568" s="9">
        <v>2018</v>
      </c>
      <c r="C568" s="19">
        <v>17.97</v>
      </c>
      <c r="D568" s="19">
        <v>929.13</v>
      </c>
      <c r="E568" s="19">
        <v>1169.25</v>
      </c>
      <c r="F568" s="19">
        <v>951.94</v>
      </c>
      <c r="G568" s="19">
        <v>759.82</v>
      </c>
      <c r="H568" s="10">
        <f t="shared" si="166"/>
        <v>1.5368826170622192E-2</v>
      </c>
      <c r="I568" s="10">
        <f t="shared" si="167"/>
        <v>0.79463758819756258</v>
      </c>
      <c r="J568" s="10">
        <f t="shared" si="168"/>
        <v>1.2528493590587244</v>
      </c>
      <c r="K568" s="4">
        <f t="shared" si="175"/>
        <v>0.15526313752207233</v>
      </c>
      <c r="L568" s="10">
        <f t="shared" ref="L568:L631" si="182">D568/E568</f>
        <v>0.79463758819756258</v>
      </c>
      <c r="M568" s="19">
        <v>100.1</v>
      </c>
      <c r="N568" s="19">
        <v>-0.18</v>
      </c>
      <c r="O568" s="19">
        <v>-76.34</v>
      </c>
      <c r="P568" s="11">
        <v>1.1299999999999999E-2</v>
      </c>
      <c r="Q568" s="11">
        <v>0.18654999999999999</v>
      </c>
      <c r="R568" s="12">
        <f t="shared" si="163"/>
        <v>8.561043403891383E-2</v>
      </c>
      <c r="S568" s="12">
        <f t="shared" si="164"/>
        <v>-1.5394483643361127E-4</v>
      </c>
      <c r="T568" s="12">
        <f t="shared" si="165"/>
        <v>-6.5289715629677142E-2</v>
      </c>
      <c r="U568" s="12">
        <f t="shared" si="169"/>
        <v>9.6739790463972624E-4</v>
      </c>
      <c r="V568" s="12">
        <f t="shared" si="156"/>
        <v>-1.7395766516998073E-6</v>
      </c>
      <c r="W568" s="12">
        <f t="shared" si="157"/>
        <v>-7.3777378661535168E-4</v>
      </c>
      <c r="X568" s="12">
        <f t="shared" si="158"/>
        <v>1.5970626469959375E-2</v>
      </c>
      <c r="Y568" s="12">
        <f t="shared" si="159"/>
        <v>-2.8718409236690181E-5</v>
      </c>
      <c r="Z568" s="12">
        <f t="shared" si="160"/>
        <v>-1.2179796450716271E-2</v>
      </c>
    </row>
    <row r="569" spans="1:26" ht="13">
      <c r="A569" s="22" t="str">
        <f t="shared" si="181"/>
        <v>L10</v>
      </c>
      <c r="B569" s="9">
        <v>2019</v>
      </c>
      <c r="C569" s="19">
        <v>17.5</v>
      </c>
      <c r="D569" s="19">
        <v>945.16</v>
      </c>
      <c r="E569" s="19">
        <v>1189.8900000000001</v>
      </c>
      <c r="F569" s="19">
        <v>980.43</v>
      </c>
      <c r="G569" s="19">
        <v>696.61</v>
      </c>
      <c r="H569" s="10">
        <f t="shared" si="166"/>
        <v>1.4707241845884912E-2</v>
      </c>
      <c r="I569" s="10">
        <f t="shared" si="167"/>
        <v>0.79432552588894767</v>
      </c>
      <c r="J569" s="10">
        <f t="shared" si="168"/>
        <v>1.4074302694477541</v>
      </c>
      <c r="K569" s="4">
        <f t="shared" si="175"/>
        <v>0.15584318818272902</v>
      </c>
      <c r="L569" s="10">
        <f t="shared" si="182"/>
        <v>0.79432552588894767</v>
      </c>
      <c r="M569" s="19">
        <v>338.66</v>
      </c>
      <c r="N569" s="19">
        <v>-16.8</v>
      </c>
      <c r="O569" s="19">
        <v>-114.38</v>
      </c>
      <c r="P569" s="11">
        <v>0.01</v>
      </c>
      <c r="Q569" s="11">
        <v>0.21618999999999999</v>
      </c>
      <c r="R569" s="12">
        <f t="shared" si="163"/>
        <v>0.28461454420156485</v>
      </c>
      <c r="S569" s="12">
        <f t="shared" si="164"/>
        <v>-1.4118952172049516E-2</v>
      </c>
      <c r="T569" s="12">
        <f t="shared" si="165"/>
        <v>-9.6126532704703782E-2</v>
      </c>
      <c r="U569" s="12">
        <f t="shared" si="169"/>
        <v>2.8461454420156485E-3</v>
      </c>
      <c r="V569" s="12">
        <f t="shared" si="156"/>
        <v>-1.4118952172049515E-4</v>
      </c>
      <c r="W569" s="12">
        <f t="shared" si="157"/>
        <v>-9.6126532704703788E-4</v>
      </c>
      <c r="X569" s="12">
        <f t="shared" si="158"/>
        <v>6.1530818310936299E-2</v>
      </c>
      <c r="Y569" s="12">
        <f t="shared" si="159"/>
        <v>-3.0523762700753847E-3</v>
      </c>
      <c r="Z569" s="12">
        <f t="shared" si="160"/>
        <v>-2.0781595105429911E-2</v>
      </c>
    </row>
    <row r="570" spans="1:26" ht="13">
      <c r="A570" s="22" t="str">
        <f t="shared" si="181"/>
        <v>L10</v>
      </c>
      <c r="B570" s="9">
        <v>2020</v>
      </c>
      <c r="C570" s="19">
        <v>18.079999999999998</v>
      </c>
      <c r="D570" s="19">
        <v>792.22</v>
      </c>
      <c r="E570" s="19">
        <v>1041.74</v>
      </c>
      <c r="F570" s="19">
        <v>844.3</v>
      </c>
      <c r="G570" s="19">
        <v>581.04</v>
      </c>
      <c r="H570" s="10">
        <f t="shared" si="166"/>
        <v>1.735557816729702E-2</v>
      </c>
      <c r="I570" s="10">
        <f t="shared" si="167"/>
        <v>0.76047766237256897</v>
      </c>
      <c r="J570" s="10">
        <f t="shared" si="168"/>
        <v>1.4530841250172106</v>
      </c>
      <c r="K570" s="4">
        <f t="shared" si="175"/>
        <v>-4.918976272926167E-2</v>
      </c>
      <c r="L570" s="10">
        <f t="shared" si="182"/>
        <v>0.76047766237256897</v>
      </c>
      <c r="M570" s="19">
        <v>-72.13</v>
      </c>
      <c r="N570" s="19">
        <v>-15.15</v>
      </c>
      <c r="O570" s="19">
        <v>9.8000000000000007</v>
      </c>
      <c r="P570" s="11">
        <v>9.4000000000000004E-3</v>
      </c>
      <c r="Q570" s="11">
        <v>0.52554000000000001</v>
      </c>
      <c r="R570" s="12">
        <f t="shared" si="163"/>
        <v>-6.9239925509244141E-2</v>
      </c>
      <c r="S570" s="12">
        <f t="shared" si="164"/>
        <v>-1.4542976174477317E-2</v>
      </c>
      <c r="T570" s="12">
        <f t="shared" si="165"/>
        <v>9.4073377234242719E-3</v>
      </c>
      <c r="U570" s="12">
        <f t="shared" si="169"/>
        <v>-6.5085529978689495E-4</v>
      </c>
      <c r="V570" s="12">
        <f t="shared" si="156"/>
        <v>-1.3670397604008679E-4</v>
      </c>
      <c r="W570" s="12">
        <f t="shared" si="157"/>
        <v>8.8428974600188165E-5</v>
      </c>
      <c r="X570" s="12">
        <f t="shared" si="158"/>
        <v>-3.6388350452128168E-2</v>
      </c>
      <c r="Y570" s="12">
        <f t="shared" si="159"/>
        <v>-7.6429156987348097E-3</v>
      </c>
      <c r="Z570" s="12">
        <f t="shared" si="160"/>
        <v>4.9439322671683923E-3</v>
      </c>
    </row>
    <row r="571" spans="1:26" ht="13">
      <c r="A571" s="22" t="str">
        <f t="shared" si="181"/>
        <v>L10</v>
      </c>
      <c r="B571" s="9">
        <v>2021</v>
      </c>
      <c r="C571" s="19">
        <v>14.66</v>
      </c>
      <c r="D571" s="19">
        <v>1011.04</v>
      </c>
      <c r="E571" s="19">
        <v>1262.1199999999999</v>
      </c>
      <c r="F571" s="19">
        <v>1075.46</v>
      </c>
      <c r="G571" s="19">
        <v>751.76</v>
      </c>
      <c r="H571" s="10">
        <f t="shared" si="166"/>
        <v>1.1615377301682883E-2</v>
      </c>
      <c r="I571" s="10">
        <f t="shared" si="167"/>
        <v>0.80106487497226897</v>
      </c>
      <c r="J571" s="10">
        <f t="shared" si="168"/>
        <v>1.4305895498563372</v>
      </c>
      <c r="K571" s="4">
        <f t="shared" si="175"/>
        <v>0.20807823128493552</v>
      </c>
      <c r="L571" s="10">
        <f t="shared" si="182"/>
        <v>0.80106487497226897</v>
      </c>
      <c r="M571" s="19">
        <v>230.08</v>
      </c>
      <c r="N571" s="19">
        <v>-9.66</v>
      </c>
      <c r="O571" s="19">
        <v>-45.73</v>
      </c>
      <c r="P571" s="11">
        <v>9.1999999999999998E-3</v>
      </c>
      <c r="Q571" s="11">
        <v>0.52554000000000001</v>
      </c>
      <c r="R571" s="12">
        <f t="shared" si="163"/>
        <v>0.18229645358602989</v>
      </c>
      <c r="S571" s="12">
        <f t="shared" si="164"/>
        <v>-7.6537888631825826E-3</v>
      </c>
      <c r="T571" s="12">
        <f t="shared" si="165"/>
        <v>-3.6232687858523752E-2</v>
      </c>
      <c r="U571" s="12">
        <f t="shared" si="169"/>
        <v>1.677127372991475E-3</v>
      </c>
      <c r="V571" s="12">
        <f t="shared" si="156"/>
        <v>-7.041485754127976E-5</v>
      </c>
      <c r="W571" s="12">
        <f t="shared" si="157"/>
        <v>-3.3334072829841848E-4</v>
      </c>
      <c r="X571" s="12">
        <f t="shared" si="158"/>
        <v>9.5804078217602145E-2</v>
      </c>
      <c r="Y571" s="12">
        <f t="shared" si="159"/>
        <v>-4.0223721991569745E-3</v>
      </c>
      <c r="Z571" s="12">
        <f t="shared" si="160"/>
        <v>-1.9041726777168571E-2</v>
      </c>
    </row>
    <row r="572" spans="1:26" ht="13">
      <c r="A572" s="21" t="s">
        <v>132</v>
      </c>
      <c r="B572" s="9">
        <v>2017</v>
      </c>
      <c r="C572" s="19">
        <v>4.09</v>
      </c>
      <c r="D572" s="19">
        <v>275.77</v>
      </c>
      <c r="E572" s="19">
        <v>455.76</v>
      </c>
      <c r="F572" s="19">
        <v>394.73</v>
      </c>
      <c r="G572" s="19">
        <v>272.2</v>
      </c>
      <c r="H572" s="10">
        <f t="shared" si="166"/>
        <v>8.9740214147797093E-3</v>
      </c>
      <c r="I572" s="10">
        <f t="shared" si="167"/>
        <v>0.60507723363173593</v>
      </c>
      <c r="J572" s="10">
        <f t="shared" si="168"/>
        <v>1.4501469507714917</v>
      </c>
      <c r="K572" s="4">
        <f t="shared" si="175"/>
        <v>-0.89724345246869985</v>
      </c>
      <c r="L572" s="10">
        <f t="shared" si="182"/>
        <v>0.60507723363173593</v>
      </c>
      <c r="M572" s="19">
        <v>-93.86</v>
      </c>
      <c r="N572" s="19">
        <v>-123.91</v>
      </c>
      <c r="O572" s="19">
        <v>112.09</v>
      </c>
      <c r="P572" s="11">
        <v>2.6100000000000002E-2</v>
      </c>
      <c r="Q572" s="11">
        <v>0</v>
      </c>
      <c r="R572" s="12">
        <f t="shared" si="163"/>
        <v>-0.20594172371423555</v>
      </c>
      <c r="S572" s="12">
        <f t="shared" si="164"/>
        <v>-0.27187554853431628</v>
      </c>
      <c r="T572" s="12">
        <f t="shared" si="165"/>
        <v>0.24594084605932948</v>
      </c>
      <c r="U572" s="12">
        <f t="shared" si="169"/>
        <v>-5.3750789889415486E-3</v>
      </c>
      <c r="V572" s="12">
        <f t="shared" si="156"/>
        <v>-7.0959518167456551E-3</v>
      </c>
      <c r="W572" s="12">
        <f t="shared" si="157"/>
        <v>6.4190560821485E-3</v>
      </c>
      <c r="X572" s="12">
        <f t="shared" si="158"/>
        <v>0</v>
      </c>
      <c r="Y572" s="12">
        <f t="shared" si="159"/>
        <v>0</v>
      </c>
      <c r="Z572" s="12">
        <f t="shared" si="160"/>
        <v>0</v>
      </c>
    </row>
    <row r="573" spans="1:26" ht="13">
      <c r="A573" s="22" t="str">
        <f t="shared" ref="A573:A576" si="183">A572</f>
        <v>LAF</v>
      </c>
      <c r="B573" s="9">
        <v>2018</v>
      </c>
      <c r="C573" s="19">
        <v>-63.56</v>
      </c>
      <c r="D573" s="19">
        <v>97.26</v>
      </c>
      <c r="E573" s="19">
        <v>213.7</v>
      </c>
      <c r="F573" s="19">
        <v>146</v>
      </c>
      <c r="G573" s="19">
        <v>94.59</v>
      </c>
      <c r="H573" s="10">
        <f t="shared" si="166"/>
        <v>-0.29742629854936831</v>
      </c>
      <c r="I573" s="10">
        <f t="shared" si="167"/>
        <v>0.45512400561534866</v>
      </c>
      <c r="J573" s="10">
        <f t="shared" si="168"/>
        <v>1.543503541600592</v>
      </c>
      <c r="K573" s="4">
        <f t="shared" si="175"/>
        <v>-0.37354883868675731</v>
      </c>
      <c r="L573" s="10">
        <f t="shared" si="182"/>
        <v>0.45512400561534866</v>
      </c>
      <c r="M573" s="19">
        <v>35.75</v>
      </c>
      <c r="N573" s="19">
        <v>128.1</v>
      </c>
      <c r="O573" s="19">
        <v>-170.52</v>
      </c>
      <c r="P573" s="11">
        <v>2.3699999999999999E-2</v>
      </c>
      <c r="Q573" s="11">
        <v>0</v>
      </c>
      <c r="R573" s="12">
        <f t="shared" si="163"/>
        <v>0.16729059429106224</v>
      </c>
      <c r="S573" s="12">
        <f t="shared" si="164"/>
        <v>0.599438465138044</v>
      </c>
      <c r="T573" s="12">
        <f t="shared" si="165"/>
        <v>-0.79794103883949474</v>
      </c>
      <c r="U573" s="12">
        <f t="shared" si="169"/>
        <v>3.9647870846981747E-3</v>
      </c>
      <c r="V573" s="12">
        <f t="shared" si="156"/>
        <v>1.4206691623771642E-2</v>
      </c>
      <c r="W573" s="12">
        <f t="shared" si="157"/>
        <v>-1.8911202620496025E-2</v>
      </c>
      <c r="X573" s="12">
        <f t="shared" si="158"/>
        <v>0</v>
      </c>
      <c r="Y573" s="12">
        <f t="shared" si="159"/>
        <v>0</v>
      </c>
      <c r="Z573" s="12">
        <f t="shared" si="160"/>
        <v>0</v>
      </c>
    </row>
    <row r="574" spans="1:26" ht="13">
      <c r="A574" s="22" t="str">
        <f t="shared" si="183"/>
        <v>LAF</v>
      </c>
      <c r="B574" s="9">
        <v>2019</v>
      </c>
      <c r="C574" s="19">
        <v>17.87</v>
      </c>
      <c r="D574" s="19">
        <v>118.77</v>
      </c>
      <c r="E574" s="19">
        <v>253.09</v>
      </c>
      <c r="F574" s="19">
        <v>183.38</v>
      </c>
      <c r="G574" s="19">
        <v>116.16</v>
      </c>
      <c r="H574" s="10">
        <f t="shared" si="166"/>
        <v>7.0607293848038252E-2</v>
      </c>
      <c r="I574" s="10">
        <f t="shared" si="167"/>
        <v>0.46927970287249593</v>
      </c>
      <c r="J574" s="10">
        <f t="shared" si="168"/>
        <v>1.5786845730027548</v>
      </c>
      <c r="K574" s="4">
        <f t="shared" si="175"/>
        <v>-1.9491532542349559</v>
      </c>
      <c r="L574" s="10">
        <f t="shared" si="182"/>
        <v>0.46927970287249593</v>
      </c>
      <c r="M574" s="19">
        <v>0.24</v>
      </c>
      <c r="N574" s="19">
        <v>-25.59</v>
      </c>
      <c r="O574" s="19">
        <v>4.9800000000000004</v>
      </c>
      <c r="P574" s="11">
        <v>2.3800000000000002E-2</v>
      </c>
      <c r="Q574" s="11">
        <v>0</v>
      </c>
      <c r="R574" s="12">
        <f t="shared" si="163"/>
        <v>9.4827926824449791E-4</v>
      </c>
      <c r="S574" s="12">
        <f t="shared" si="164"/>
        <v>-0.1011102769765696</v>
      </c>
      <c r="T574" s="12">
        <f t="shared" si="165"/>
        <v>1.9676794816073335E-2</v>
      </c>
      <c r="U574" s="12">
        <f t="shared" si="169"/>
        <v>2.256904658421905E-5</v>
      </c>
      <c r="V574" s="12">
        <f t="shared" si="156"/>
        <v>-2.4064245920423569E-3</v>
      </c>
      <c r="W574" s="12">
        <f t="shared" si="157"/>
        <v>4.6830771662254538E-4</v>
      </c>
      <c r="X574" s="12">
        <f t="shared" si="158"/>
        <v>0</v>
      </c>
      <c r="Y574" s="12">
        <f t="shared" si="159"/>
        <v>0</v>
      </c>
      <c r="Z574" s="12">
        <f t="shared" si="160"/>
        <v>0</v>
      </c>
    </row>
    <row r="575" spans="1:26" ht="13">
      <c r="A575" s="22" t="str">
        <f t="shared" si="183"/>
        <v>LAF</v>
      </c>
      <c r="B575" s="9">
        <v>2020</v>
      </c>
      <c r="C575" s="19">
        <v>24.25</v>
      </c>
      <c r="D575" s="19">
        <v>48.98</v>
      </c>
      <c r="E575" s="19">
        <v>207.55</v>
      </c>
      <c r="F575" s="19">
        <v>128.1</v>
      </c>
      <c r="G575" s="19">
        <v>46.43</v>
      </c>
      <c r="H575" s="10">
        <f t="shared" si="166"/>
        <v>0.11683931582751143</v>
      </c>
      <c r="I575" s="10">
        <f t="shared" si="167"/>
        <v>0.2359913273909901</v>
      </c>
      <c r="J575" s="10">
        <f t="shared" si="168"/>
        <v>2.7589920310144302</v>
      </c>
      <c r="K575" s="4">
        <f t="shared" si="175"/>
        <v>-3.4916623232192157</v>
      </c>
      <c r="L575" s="10">
        <f t="shared" si="182"/>
        <v>0.2359913273909901</v>
      </c>
      <c r="M575" s="19">
        <v>83.86</v>
      </c>
      <c r="N575" s="19">
        <v>-16.850000000000001</v>
      </c>
      <c r="O575" s="19">
        <v>-59.57</v>
      </c>
      <c r="P575" s="11">
        <v>2.1899999999999999E-2</v>
      </c>
      <c r="Q575" s="11">
        <v>0</v>
      </c>
      <c r="R575" s="12">
        <f t="shared" si="163"/>
        <v>0.40404721753794265</v>
      </c>
      <c r="S575" s="12">
        <f t="shared" si="164"/>
        <v>-8.1185256564683214E-2</v>
      </c>
      <c r="T575" s="12">
        <f t="shared" si="165"/>
        <v>-0.28701517706576729</v>
      </c>
      <c r="U575" s="12">
        <f t="shared" si="169"/>
        <v>8.848634064080943E-3</v>
      </c>
      <c r="V575" s="12">
        <f t="shared" si="156"/>
        <v>-1.7779571187665623E-3</v>
      </c>
      <c r="W575" s="12">
        <f t="shared" si="157"/>
        <v>-6.2856323777403036E-3</v>
      </c>
      <c r="X575" s="12">
        <f t="shared" si="158"/>
        <v>0</v>
      </c>
      <c r="Y575" s="12">
        <f t="shared" si="159"/>
        <v>0</v>
      </c>
      <c r="Z575" s="12">
        <f t="shared" si="160"/>
        <v>0</v>
      </c>
    </row>
    <row r="576" spans="1:26" ht="13">
      <c r="A576" s="22" t="str">
        <f t="shared" si="183"/>
        <v>LAF</v>
      </c>
      <c r="B576" s="9">
        <v>2021</v>
      </c>
      <c r="C576" s="19">
        <v>39.630000000000003</v>
      </c>
      <c r="D576" s="19">
        <v>83.29</v>
      </c>
      <c r="E576" s="19">
        <v>279.75</v>
      </c>
      <c r="F576" s="19">
        <v>189.4</v>
      </c>
      <c r="G576" s="19">
        <v>80.52</v>
      </c>
      <c r="H576" s="10">
        <f t="shared" si="166"/>
        <v>0.14166219839142091</v>
      </c>
      <c r="I576" s="10">
        <f t="shared" si="167"/>
        <v>0.29773011617515643</v>
      </c>
      <c r="J576" s="10">
        <f t="shared" si="168"/>
        <v>2.3522106308991555</v>
      </c>
      <c r="K576" s="4">
        <f t="shared" si="175"/>
        <v>-3.2498270730865984</v>
      </c>
      <c r="L576" s="10">
        <f t="shared" si="182"/>
        <v>0.29773011617515643</v>
      </c>
      <c r="M576" s="19">
        <v>2.14</v>
      </c>
      <c r="N576" s="19">
        <v>-17.45</v>
      </c>
      <c r="O576" s="19">
        <v>27.92</v>
      </c>
      <c r="P576" s="11">
        <v>2.0199999999999999E-2</v>
      </c>
      <c r="Q576" s="11">
        <v>0.26840000000000003</v>
      </c>
      <c r="R576" s="12">
        <f t="shared" si="163"/>
        <v>7.649687220732798E-3</v>
      </c>
      <c r="S576" s="12">
        <f t="shared" si="164"/>
        <v>-6.2377122430741734E-2</v>
      </c>
      <c r="T576" s="12">
        <f t="shared" si="165"/>
        <v>9.9803395889186783E-2</v>
      </c>
      <c r="U576" s="12">
        <f t="shared" si="169"/>
        <v>1.5452368185880252E-4</v>
      </c>
      <c r="V576" s="12">
        <f t="shared" si="156"/>
        <v>-1.260017873100983E-3</v>
      </c>
      <c r="W576" s="12">
        <f t="shared" si="157"/>
        <v>2.0160285969615731E-3</v>
      </c>
      <c r="X576" s="12">
        <f t="shared" si="158"/>
        <v>2.0531760500446831E-3</v>
      </c>
      <c r="Y576" s="12">
        <f t="shared" si="159"/>
        <v>-1.6742019660411084E-2</v>
      </c>
      <c r="Z576" s="12">
        <f t="shared" si="160"/>
        <v>2.6787231456657734E-2</v>
      </c>
    </row>
    <row r="577" spans="1:26" ht="13">
      <c r="A577" s="21" t="s">
        <v>133</v>
      </c>
      <c r="B577" s="9">
        <v>2017</v>
      </c>
      <c r="C577" s="19">
        <v>48.61</v>
      </c>
      <c r="D577" s="19">
        <v>118.39</v>
      </c>
      <c r="E577" s="19">
        <v>349.72</v>
      </c>
      <c r="F577" s="19">
        <v>189.33</v>
      </c>
      <c r="G577" s="19">
        <v>117.4</v>
      </c>
      <c r="H577" s="10">
        <f t="shared" si="166"/>
        <v>0.13899691181516641</v>
      </c>
      <c r="I577" s="10">
        <f t="shared" si="167"/>
        <v>0.33852796522932627</v>
      </c>
      <c r="J577" s="10">
        <f t="shared" si="168"/>
        <v>1.6126916524701875</v>
      </c>
      <c r="K577" s="4">
        <f t="shared" si="175"/>
        <v>-3.0023274679709693</v>
      </c>
      <c r="L577" s="10">
        <f t="shared" si="182"/>
        <v>0.33852796522932627</v>
      </c>
      <c r="M577" s="19">
        <v>62.06</v>
      </c>
      <c r="N577" s="19">
        <v>-65.319999999999993</v>
      </c>
      <c r="O577" s="19">
        <v>0.7</v>
      </c>
      <c r="P577" s="11">
        <v>6.9000000000000006E-2</v>
      </c>
      <c r="Q577" s="11">
        <v>1.6000000000000001E-3</v>
      </c>
      <c r="R577" s="12">
        <f t="shared" si="163"/>
        <v>0.1774562507148576</v>
      </c>
      <c r="S577" s="12">
        <f t="shared" si="164"/>
        <v>-0.18677799382363031</v>
      </c>
      <c r="T577" s="12">
        <f t="shared" si="165"/>
        <v>2.0016012810248197E-3</v>
      </c>
      <c r="U577" s="12">
        <f t="shared" si="169"/>
        <v>1.2244481299325176E-2</v>
      </c>
      <c r="V577" s="12">
        <f t="shared" si="156"/>
        <v>-1.2887681573830492E-2</v>
      </c>
      <c r="W577" s="12">
        <f t="shared" si="157"/>
        <v>1.3811048839071257E-4</v>
      </c>
      <c r="X577" s="12">
        <f t="shared" si="158"/>
        <v>2.839300011437722E-4</v>
      </c>
      <c r="Y577" s="12">
        <f t="shared" si="159"/>
        <v>-2.9884479011780852E-4</v>
      </c>
      <c r="Z577" s="12">
        <f t="shared" si="160"/>
        <v>3.2025620496397118E-6</v>
      </c>
    </row>
    <row r="578" spans="1:26" ht="13">
      <c r="A578" s="22" t="str">
        <f t="shared" ref="A578:A581" si="184">A577</f>
        <v>LBM</v>
      </c>
      <c r="B578" s="9">
        <v>2018</v>
      </c>
      <c r="C578" s="19">
        <v>55.12</v>
      </c>
      <c r="D578" s="19">
        <v>80.63</v>
      </c>
      <c r="E578" s="19">
        <v>341.19</v>
      </c>
      <c r="F578" s="19">
        <v>144.38</v>
      </c>
      <c r="G578" s="19">
        <v>79.650000000000006</v>
      </c>
      <c r="H578" s="10">
        <f t="shared" si="166"/>
        <v>0.16155221430874292</v>
      </c>
      <c r="I578" s="10">
        <f t="shared" si="167"/>
        <v>0.23631993903690024</v>
      </c>
      <c r="J578" s="10">
        <f t="shared" si="168"/>
        <v>1.8126804770872567</v>
      </c>
      <c r="K578" s="4">
        <f t="shared" si="175"/>
        <v>-3.6872120337873611</v>
      </c>
      <c r="L578" s="10">
        <f t="shared" si="182"/>
        <v>0.23631993903690024</v>
      </c>
      <c r="M578" s="19">
        <v>106.84</v>
      </c>
      <c r="N578" s="19">
        <v>-63.81</v>
      </c>
      <c r="O578" s="19">
        <v>-25.86</v>
      </c>
      <c r="P578" s="11">
        <v>6.3E-2</v>
      </c>
      <c r="Q578" s="11">
        <v>1.6000000000000001E-3</v>
      </c>
      <c r="R578" s="12">
        <f t="shared" ref="R578:R641" si="185">M578/E578</f>
        <v>0.31313930654474048</v>
      </c>
      <c r="S578" s="12">
        <f t="shared" ref="S578:S641" si="186">N578/E578</f>
        <v>-0.18702189395937749</v>
      </c>
      <c r="T578" s="12">
        <f t="shared" ref="T578:T641" si="187">O578/E578</f>
        <v>-7.5793546117998767E-2</v>
      </c>
      <c r="U578" s="12">
        <f t="shared" si="169"/>
        <v>1.9727776312318649E-2</v>
      </c>
      <c r="V578" s="12">
        <f t="shared" si="156"/>
        <v>-1.1782379319440782E-2</v>
      </c>
      <c r="W578" s="12">
        <f t="shared" si="157"/>
        <v>-4.7749934054339225E-3</v>
      </c>
      <c r="X578" s="12">
        <f t="shared" si="158"/>
        <v>5.0102289047158476E-4</v>
      </c>
      <c r="Y578" s="12">
        <f t="shared" si="159"/>
        <v>-2.99235030335004E-4</v>
      </c>
      <c r="Z578" s="12">
        <f t="shared" si="160"/>
        <v>-1.2126967378879804E-4</v>
      </c>
    </row>
    <row r="579" spans="1:26" ht="13">
      <c r="A579" s="22" t="str">
        <f t="shared" si="184"/>
        <v>LBM</v>
      </c>
      <c r="B579" s="9">
        <v>2019</v>
      </c>
      <c r="C579" s="19">
        <v>61.25</v>
      </c>
      <c r="D579" s="19">
        <v>59.69</v>
      </c>
      <c r="E579" s="19">
        <v>399.5</v>
      </c>
      <c r="F579" s="19">
        <v>151.88</v>
      </c>
      <c r="G579" s="19">
        <v>58.7</v>
      </c>
      <c r="H579" s="10">
        <f t="shared" ref="H579:H642" si="188">C579/E579</f>
        <v>0.15331664580725907</v>
      </c>
      <c r="I579" s="10">
        <f t="shared" ref="I579:I642" si="189">D579/E579</f>
        <v>0.14941176470588236</v>
      </c>
      <c r="J579" s="10">
        <f t="shared" ref="J579:J642" si="190">F579/G579</f>
        <v>2.5873935264054513</v>
      </c>
      <c r="K579" s="4">
        <f t="shared" si="175"/>
        <v>-4.1486274214147585</v>
      </c>
      <c r="L579" s="10">
        <f t="shared" si="182"/>
        <v>0.14941176470588236</v>
      </c>
      <c r="M579" s="19">
        <v>78.23</v>
      </c>
      <c r="N579" s="19">
        <v>-96.03</v>
      </c>
      <c r="O579" s="19">
        <v>20.68</v>
      </c>
      <c r="P579" s="11">
        <v>5.6000000000000001E-2</v>
      </c>
      <c r="Q579" s="11">
        <v>4.0000000000000001E-3</v>
      </c>
      <c r="R579" s="12">
        <f t="shared" si="185"/>
        <v>0.19581977471839801</v>
      </c>
      <c r="S579" s="12">
        <f t="shared" si="186"/>
        <v>-0.24037546933667084</v>
      </c>
      <c r="T579" s="12">
        <f t="shared" si="187"/>
        <v>5.1764705882352942E-2</v>
      </c>
      <c r="U579" s="12">
        <f t="shared" si="169"/>
        <v>1.0965907384230289E-2</v>
      </c>
      <c r="V579" s="12">
        <f t="shared" si="156"/>
        <v>-1.3461026282853568E-2</v>
      </c>
      <c r="W579" s="12">
        <f t="shared" si="157"/>
        <v>2.8988235294117649E-3</v>
      </c>
      <c r="X579" s="12">
        <f t="shared" si="158"/>
        <v>7.8327909887359205E-4</v>
      </c>
      <c r="Y579" s="12">
        <f t="shared" si="159"/>
        <v>-9.6150187734668339E-4</v>
      </c>
      <c r="Z579" s="12">
        <f t="shared" si="160"/>
        <v>2.0705882352941177E-4</v>
      </c>
    </row>
    <row r="580" spans="1:26" ht="13">
      <c r="A580" s="22" t="str">
        <f t="shared" si="184"/>
        <v>LBM</v>
      </c>
      <c r="B580" s="9">
        <v>2020</v>
      </c>
      <c r="C580" s="19">
        <v>68.37</v>
      </c>
      <c r="D580" s="19">
        <v>72.61</v>
      </c>
      <c r="E580" s="19">
        <v>450.88</v>
      </c>
      <c r="F580" s="19">
        <v>196.1</v>
      </c>
      <c r="G580" s="19">
        <v>71.62</v>
      </c>
      <c r="H580" s="10">
        <f t="shared" si="188"/>
        <v>0.15163679914833217</v>
      </c>
      <c r="I580" s="10">
        <f t="shared" si="189"/>
        <v>0.16104063165365506</v>
      </c>
      <c r="J580" s="10">
        <f t="shared" si="190"/>
        <v>2.7380619938564643</v>
      </c>
      <c r="K580" s="4">
        <f t="shared" si="175"/>
        <v>-4.0753862437170865</v>
      </c>
      <c r="L580" s="10">
        <f t="shared" si="182"/>
        <v>0.16104063165365506</v>
      </c>
      <c r="M580" s="19">
        <v>108.05</v>
      </c>
      <c r="N580" s="19">
        <v>-60.55</v>
      </c>
      <c r="O580" s="19">
        <v>-25.75</v>
      </c>
      <c r="P580" s="11">
        <v>3.5999999999999997E-2</v>
      </c>
      <c r="Q580" s="11">
        <v>1.2E-2</v>
      </c>
      <c r="R580" s="12">
        <f t="shared" si="185"/>
        <v>0.23964247693399574</v>
      </c>
      <c r="S580" s="12">
        <f t="shared" si="186"/>
        <v>-0.1342929382540809</v>
      </c>
      <c r="T580" s="12">
        <f t="shared" si="187"/>
        <v>-5.7110539389638039E-2</v>
      </c>
      <c r="U580" s="12">
        <f t="shared" si="169"/>
        <v>8.6271291696238452E-3</v>
      </c>
      <c r="V580" s="12">
        <f t="shared" si="156"/>
        <v>-4.8345457771469119E-3</v>
      </c>
      <c r="W580" s="12">
        <f t="shared" si="157"/>
        <v>-2.0559794180269693E-3</v>
      </c>
      <c r="X580" s="12">
        <f t="shared" si="158"/>
        <v>2.875709723207949E-3</v>
      </c>
      <c r="Y580" s="12">
        <f t="shared" si="159"/>
        <v>-1.6115152590489709E-3</v>
      </c>
      <c r="Z580" s="12">
        <f t="shared" si="160"/>
        <v>-6.8532647267565653E-4</v>
      </c>
    </row>
    <row r="581" spans="1:26" ht="13">
      <c r="A581" s="22" t="str">
        <f t="shared" si="184"/>
        <v>LBM</v>
      </c>
      <c r="B581" s="9">
        <v>2021</v>
      </c>
      <c r="C581" s="19">
        <v>82.16</v>
      </c>
      <c r="D581" s="19">
        <v>109.5</v>
      </c>
      <c r="E581" s="19">
        <v>544.08000000000004</v>
      </c>
      <c r="F581" s="19">
        <v>217.67</v>
      </c>
      <c r="G581" s="19">
        <v>108.51</v>
      </c>
      <c r="H581" s="10">
        <f t="shared" si="188"/>
        <v>0.15100720482282015</v>
      </c>
      <c r="I581" s="10">
        <f t="shared" si="189"/>
        <v>0.20125716806352006</v>
      </c>
      <c r="J581" s="10">
        <f t="shared" si="190"/>
        <v>2.0059902313150859</v>
      </c>
      <c r="K581" s="4">
        <f t="shared" si="175"/>
        <v>-3.8403905246658865</v>
      </c>
      <c r="L581" s="10">
        <f t="shared" si="182"/>
        <v>0.20125716806352006</v>
      </c>
      <c r="M581" s="19">
        <v>164.95</v>
      </c>
      <c r="N581" s="19">
        <v>-152.13</v>
      </c>
      <c r="O581" s="19">
        <v>-25.26</v>
      </c>
      <c r="P581" s="11">
        <v>9.6000000000000002E-2</v>
      </c>
      <c r="Q581" s="11">
        <v>1.0999999999999999E-2</v>
      </c>
      <c r="R581" s="12">
        <f t="shared" si="185"/>
        <v>0.30317232759888246</v>
      </c>
      <c r="S581" s="12">
        <f t="shared" si="186"/>
        <v>-0.27960961623290692</v>
      </c>
      <c r="T581" s="12">
        <f t="shared" si="187"/>
        <v>-4.6426996029995588E-2</v>
      </c>
      <c r="U581" s="12">
        <f t="shared" si="169"/>
        <v>2.9104543449492717E-2</v>
      </c>
      <c r="V581" s="12">
        <f t="shared" si="156"/>
        <v>-2.6842523158359066E-2</v>
      </c>
      <c r="W581" s="12">
        <f t="shared" si="157"/>
        <v>-4.4569916188795765E-3</v>
      </c>
      <c r="X581" s="12">
        <f t="shared" si="158"/>
        <v>3.3348956035877068E-3</v>
      </c>
      <c r="Y581" s="12">
        <f t="shared" si="159"/>
        <v>-3.0757057785619759E-3</v>
      </c>
      <c r="Z581" s="12">
        <f t="shared" si="160"/>
        <v>-5.1069695632995147E-4</v>
      </c>
    </row>
    <row r="582" spans="1:26" ht="13">
      <c r="A582" s="21" t="s">
        <v>134</v>
      </c>
      <c r="B582" s="9">
        <v>2017</v>
      </c>
      <c r="C582" s="19">
        <v>85.3</v>
      </c>
      <c r="D582" s="19">
        <v>2436.4899999999998</v>
      </c>
      <c r="E582" s="19">
        <v>3564.3</v>
      </c>
      <c r="F582" s="19">
        <v>2619.4899999999998</v>
      </c>
      <c r="G582" s="19">
        <v>2318.67</v>
      </c>
      <c r="H582" s="10">
        <f t="shared" si="188"/>
        <v>2.3931767808545855E-2</v>
      </c>
      <c r="I582" s="10">
        <f t="shared" si="189"/>
        <v>0.68358162893134689</v>
      </c>
      <c r="J582" s="10">
        <f t="shared" si="190"/>
        <v>1.1297381688640469</v>
      </c>
      <c r="K582" s="4">
        <f t="shared" si="175"/>
        <v>-0.5157966229052352</v>
      </c>
      <c r="L582" s="10">
        <f t="shared" si="182"/>
        <v>0.68358162893134689</v>
      </c>
      <c r="M582" s="19">
        <v>408.55</v>
      </c>
      <c r="N582" s="19">
        <v>-352.5</v>
      </c>
      <c r="O582" s="19">
        <v>281.24</v>
      </c>
      <c r="P582" s="11">
        <v>0.2555</v>
      </c>
      <c r="Q582" s="11">
        <v>1.6E-2</v>
      </c>
      <c r="R582" s="12">
        <f t="shared" si="185"/>
        <v>0.11462278708301771</v>
      </c>
      <c r="S582" s="12">
        <f t="shared" si="186"/>
        <v>-9.8897399208820805E-2</v>
      </c>
      <c r="T582" s="12">
        <f t="shared" si="187"/>
        <v>7.8904693768762454E-2</v>
      </c>
      <c r="U582" s="12">
        <f t="shared" si="169"/>
        <v>2.9286122099711025E-2</v>
      </c>
      <c r="V582" s="12">
        <f t="shared" si="156"/>
        <v>-2.5268285497853715E-2</v>
      </c>
      <c r="W582" s="12">
        <f t="shared" si="157"/>
        <v>2.0160149257918807E-2</v>
      </c>
      <c r="X582" s="12">
        <f t="shared" si="158"/>
        <v>1.8339645933282834E-3</v>
      </c>
      <c r="Y582" s="12">
        <f t="shared" si="159"/>
        <v>-1.582358387341133E-3</v>
      </c>
      <c r="Z582" s="12">
        <f t="shared" si="160"/>
        <v>1.2624751003001992E-3</v>
      </c>
    </row>
    <row r="583" spans="1:26" ht="13">
      <c r="A583" s="22" t="str">
        <f t="shared" ref="A583:A586" si="191">A582</f>
        <v>LCG</v>
      </c>
      <c r="B583" s="9">
        <v>2018</v>
      </c>
      <c r="C583" s="19">
        <v>182.8</v>
      </c>
      <c r="D583" s="19">
        <v>2757.1</v>
      </c>
      <c r="E583" s="19">
        <v>4229.6099999999997</v>
      </c>
      <c r="F583" s="19">
        <v>2915.96</v>
      </c>
      <c r="G583" s="19">
        <v>2515.5100000000002</v>
      </c>
      <c r="H583" s="10">
        <f t="shared" si="188"/>
        <v>4.3219114764718264E-2</v>
      </c>
      <c r="I583" s="10">
        <f t="shared" si="189"/>
        <v>0.65185679057880042</v>
      </c>
      <c r="J583" s="10">
        <f t="shared" si="190"/>
        <v>1.1591923705332119</v>
      </c>
      <c r="K583" s="4">
        <f t="shared" si="175"/>
        <v>-0.78353907962420222</v>
      </c>
      <c r="L583" s="10">
        <f t="shared" si="182"/>
        <v>0.65185679057880042</v>
      </c>
      <c r="M583" s="19">
        <v>-516.03</v>
      </c>
      <c r="N583" s="19">
        <v>-252.27</v>
      </c>
      <c r="O583" s="19">
        <v>417.18</v>
      </c>
      <c r="P583" s="11">
        <v>0.26650000000000001</v>
      </c>
      <c r="Q583" s="11">
        <v>1.2370000000000001E-2</v>
      </c>
      <c r="R583" s="12">
        <f t="shared" si="185"/>
        <v>-0.12200415641158405</v>
      </c>
      <c r="S583" s="12">
        <f t="shared" si="186"/>
        <v>-5.9643796945817708E-2</v>
      </c>
      <c r="T583" s="12">
        <f t="shared" si="187"/>
        <v>9.8633207316986687E-2</v>
      </c>
      <c r="U583" s="12">
        <f t="shared" si="169"/>
        <v>-3.2514107683687149E-2</v>
      </c>
      <c r="V583" s="12">
        <f t="shared" si="156"/>
        <v>-1.589507188606042E-2</v>
      </c>
      <c r="W583" s="12">
        <f t="shared" si="157"/>
        <v>2.6285749749976953E-2</v>
      </c>
      <c r="X583" s="12">
        <f t="shared" si="158"/>
        <v>-1.5091914148112947E-3</v>
      </c>
      <c r="Y583" s="12">
        <f t="shared" si="159"/>
        <v>-7.3779376821976508E-4</v>
      </c>
      <c r="Z583" s="12">
        <f t="shared" si="160"/>
        <v>1.2200927745111255E-3</v>
      </c>
    </row>
    <row r="584" spans="1:26" ht="13">
      <c r="A584" s="22" t="str">
        <f t="shared" si="191"/>
        <v>LCG</v>
      </c>
      <c r="B584" s="9">
        <v>2019</v>
      </c>
      <c r="C584" s="19">
        <v>193.76</v>
      </c>
      <c r="D584" s="19">
        <v>3131.37</v>
      </c>
      <c r="E584" s="19">
        <v>4718.7299999999996</v>
      </c>
      <c r="F584" s="19">
        <v>3251.94</v>
      </c>
      <c r="G584" s="19">
        <v>2917.23</v>
      </c>
      <c r="H584" s="10">
        <f t="shared" si="188"/>
        <v>4.106189589147928E-2</v>
      </c>
      <c r="I584" s="10">
        <f t="shared" si="189"/>
        <v>0.66360440203190274</v>
      </c>
      <c r="J584" s="10">
        <f t="shared" si="190"/>
        <v>1.1147355539330117</v>
      </c>
      <c r="K584" s="4">
        <f t="shared" si="175"/>
        <v>-0.70669238214554253</v>
      </c>
      <c r="L584" s="10">
        <f t="shared" si="182"/>
        <v>0.66360440203190274</v>
      </c>
      <c r="M584" s="19">
        <v>-45.64</v>
      </c>
      <c r="N584" s="19">
        <v>-117.91</v>
      </c>
      <c r="O584" s="19">
        <v>12.05</v>
      </c>
      <c r="P584" s="11">
        <v>0.3125</v>
      </c>
      <c r="Q584" s="11">
        <v>1.2699999999999999E-2</v>
      </c>
      <c r="R584" s="12">
        <f t="shared" si="185"/>
        <v>-9.6720939744380386E-3</v>
      </c>
      <c r="S584" s="12">
        <f t="shared" si="186"/>
        <v>-2.4987655576818341E-2</v>
      </c>
      <c r="T584" s="12">
        <f t="shared" si="187"/>
        <v>2.5536532075367741E-3</v>
      </c>
      <c r="U584" s="12">
        <f t="shared" si="169"/>
        <v>-3.022529367011887E-3</v>
      </c>
      <c r="V584" s="12">
        <f t="shared" si="156"/>
        <v>-7.8086423677557314E-3</v>
      </c>
      <c r="W584" s="12">
        <f t="shared" si="157"/>
        <v>7.9801662735524189E-4</v>
      </c>
      <c r="X584" s="12">
        <f t="shared" si="158"/>
        <v>-1.2283559347536308E-4</v>
      </c>
      <c r="Y584" s="12">
        <f t="shared" si="159"/>
        <v>-3.1734322582559291E-4</v>
      </c>
      <c r="Z584" s="12">
        <f t="shared" si="160"/>
        <v>3.2431395735717032E-5</v>
      </c>
    </row>
    <row r="585" spans="1:26" ht="13">
      <c r="A585" s="22" t="str">
        <f t="shared" si="191"/>
        <v>LCG</v>
      </c>
      <c r="B585" s="9">
        <v>2020</v>
      </c>
      <c r="C585" s="19">
        <v>311.72000000000003</v>
      </c>
      <c r="D585" s="19">
        <v>4286.1099999999997</v>
      </c>
      <c r="E585" s="19">
        <v>6132.49</v>
      </c>
      <c r="F585" s="19">
        <v>3980.56</v>
      </c>
      <c r="G585" s="19">
        <v>3446.97</v>
      </c>
      <c r="H585" s="10">
        <f t="shared" si="188"/>
        <v>5.0830902292543494E-2</v>
      </c>
      <c r="I585" s="10">
        <f t="shared" si="189"/>
        <v>0.69891838388647998</v>
      </c>
      <c r="J585" s="10">
        <f t="shared" si="190"/>
        <v>1.1547997226549696</v>
      </c>
      <c r="K585" s="4">
        <f t="shared" si="175"/>
        <v>-0.54952347105412969</v>
      </c>
      <c r="L585" s="10">
        <f t="shared" si="182"/>
        <v>0.69891838388647998</v>
      </c>
      <c r="M585" s="19">
        <v>484.84</v>
      </c>
      <c r="N585" s="19">
        <v>-500.2</v>
      </c>
      <c r="O585" s="19">
        <v>196.12</v>
      </c>
      <c r="P585" s="11">
        <v>3.2099999999999997E-2</v>
      </c>
      <c r="Q585" s="11">
        <v>1.2500000000000001E-2</v>
      </c>
      <c r="R585" s="12">
        <f t="shared" si="185"/>
        <v>7.9060870869744587E-2</v>
      </c>
      <c r="S585" s="12">
        <f t="shared" si="186"/>
        <v>-8.1565563091011969E-2</v>
      </c>
      <c r="T585" s="12">
        <f t="shared" si="187"/>
        <v>3.1980484273109296E-2</v>
      </c>
      <c r="U585" s="12">
        <f t="shared" si="169"/>
        <v>2.5378539549188008E-3</v>
      </c>
      <c r="V585" s="12">
        <f t="shared" si="156"/>
        <v>-2.6182545752214841E-3</v>
      </c>
      <c r="W585" s="12">
        <f t="shared" si="157"/>
        <v>1.0265735451668082E-3</v>
      </c>
      <c r="X585" s="12">
        <f t="shared" si="158"/>
        <v>9.8826088587180747E-4</v>
      </c>
      <c r="Y585" s="12">
        <f t="shared" si="159"/>
        <v>-1.0195695386376496E-3</v>
      </c>
      <c r="Z585" s="12">
        <f t="shared" si="160"/>
        <v>3.9975605341386624E-4</v>
      </c>
    </row>
    <row r="586" spans="1:26" ht="13">
      <c r="A586" s="22" t="str">
        <f t="shared" si="191"/>
        <v>LCG</v>
      </c>
      <c r="B586" s="9">
        <v>2021</v>
      </c>
      <c r="C586" s="19">
        <v>180.81</v>
      </c>
      <c r="D586" s="19">
        <v>3415.92</v>
      </c>
      <c r="E586" s="19">
        <v>5804.53</v>
      </c>
      <c r="F586" s="19">
        <v>3667.58</v>
      </c>
      <c r="G586" s="19">
        <v>2564.4699999999998</v>
      </c>
      <c r="H586" s="10">
        <f t="shared" si="188"/>
        <v>3.1149808856186463E-2</v>
      </c>
      <c r="I586" s="10">
        <f t="shared" si="189"/>
        <v>0.58849209152162196</v>
      </c>
      <c r="J586" s="10">
        <f t="shared" si="190"/>
        <v>1.4301512593245389</v>
      </c>
      <c r="K586" s="4">
        <f t="shared" si="175"/>
        <v>-1.0914898232168913</v>
      </c>
      <c r="L586" s="10">
        <f t="shared" si="182"/>
        <v>0.58849209152162196</v>
      </c>
      <c r="M586" s="19">
        <v>319.29000000000002</v>
      </c>
      <c r="N586" s="19">
        <v>-226.21</v>
      </c>
      <c r="O586" s="19">
        <v>-79.12</v>
      </c>
      <c r="P586" s="11">
        <v>2.4400000000000002E-2</v>
      </c>
      <c r="Q586" s="11">
        <v>1.09E-2</v>
      </c>
      <c r="R586" s="12">
        <f t="shared" si="185"/>
        <v>5.5007037606834668E-2</v>
      </c>
      <c r="S586" s="12">
        <f t="shared" si="186"/>
        <v>-3.897128621955611E-2</v>
      </c>
      <c r="T586" s="12">
        <f t="shared" si="187"/>
        <v>-1.3630733237660932E-2</v>
      </c>
      <c r="U586" s="12">
        <f t="shared" si="169"/>
        <v>1.342171717606766E-3</v>
      </c>
      <c r="V586" s="12">
        <f t="shared" si="156"/>
        <v>-9.5089938375716911E-4</v>
      </c>
      <c r="W586" s="12">
        <f t="shared" si="157"/>
        <v>-3.3258989099892676E-4</v>
      </c>
      <c r="X586" s="12">
        <f t="shared" si="158"/>
        <v>5.9957670991449784E-4</v>
      </c>
      <c r="Y586" s="12">
        <f t="shared" si="159"/>
        <v>-4.2478701979316161E-4</v>
      </c>
      <c r="Z586" s="12">
        <f t="shared" si="160"/>
        <v>-1.4857499229050416E-4</v>
      </c>
    </row>
    <row r="587" spans="1:26" ht="13">
      <c r="A587" s="21" t="s">
        <v>135</v>
      </c>
      <c r="B587" s="9">
        <v>2017</v>
      </c>
      <c r="C587" s="19">
        <v>283.39999999999998</v>
      </c>
      <c r="D587" s="19">
        <v>1641.52</v>
      </c>
      <c r="E587" s="19">
        <v>3645.52</v>
      </c>
      <c r="F587" s="19">
        <v>1889.95</v>
      </c>
      <c r="G587" s="19">
        <v>783.73</v>
      </c>
      <c r="H587" s="10">
        <f t="shared" si="188"/>
        <v>7.773925256204875E-2</v>
      </c>
      <c r="I587" s="10">
        <f t="shared" si="189"/>
        <v>0.45028418442362134</v>
      </c>
      <c r="J587" s="10">
        <f t="shared" si="190"/>
        <v>2.411480994730328</v>
      </c>
      <c r="K587" s="4">
        <f t="shared" si="175"/>
        <v>-2.0928527092934992</v>
      </c>
      <c r="L587" s="10">
        <f t="shared" si="182"/>
        <v>0.45028418442362134</v>
      </c>
      <c r="M587" s="19">
        <v>83.54</v>
      </c>
      <c r="N587" s="19">
        <v>-632.65</v>
      </c>
      <c r="O587" s="19">
        <v>511.22</v>
      </c>
      <c r="P587" s="11">
        <v>6.9400000000000003E-2</v>
      </c>
      <c r="Q587" s="11">
        <v>6.0000000000000002E-5</v>
      </c>
      <c r="R587" s="12">
        <f t="shared" si="185"/>
        <v>2.2915798020584171E-2</v>
      </c>
      <c r="S587" s="12">
        <f t="shared" si="186"/>
        <v>-0.17354177181856087</v>
      </c>
      <c r="T587" s="12">
        <f t="shared" si="187"/>
        <v>0.14023239482981853</v>
      </c>
      <c r="U587" s="12">
        <f t="shared" si="169"/>
        <v>1.5903563826285415E-3</v>
      </c>
      <c r="V587" s="12">
        <f t="shared" si="156"/>
        <v>-1.2043798964208124E-2</v>
      </c>
      <c r="W587" s="12">
        <f t="shared" si="157"/>
        <v>9.7321282011894068E-3</v>
      </c>
      <c r="X587" s="12">
        <f t="shared" si="158"/>
        <v>1.3749478812350503E-6</v>
      </c>
      <c r="Y587" s="12">
        <f t="shared" si="159"/>
        <v>-1.0412506309113653E-5</v>
      </c>
      <c r="Z587" s="12">
        <f t="shared" si="160"/>
        <v>8.4139436897891124E-6</v>
      </c>
    </row>
    <row r="588" spans="1:26" ht="13">
      <c r="A588" s="22" t="str">
        <f t="shared" ref="A588:A591" si="192">A587</f>
        <v>LDG</v>
      </c>
      <c r="B588" s="9">
        <v>2018</v>
      </c>
      <c r="C588" s="19">
        <v>604.16</v>
      </c>
      <c r="D588" s="19">
        <v>2298.88</v>
      </c>
      <c r="E588" s="19">
        <v>4869.1099999999997</v>
      </c>
      <c r="F588" s="19">
        <v>3749.72</v>
      </c>
      <c r="G588" s="19">
        <v>1624.38</v>
      </c>
      <c r="H588" s="10">
        <f t="shared" si="188"/>
        <v>0.12408017070881537</v>
      </c>
      <c r="I588" s="10">
        <f t="shared" si="189"/>
        <v>0.47213556481574664</v>
      </c>
      <c r="J588" s="10">
        <f t="shared" si="190"/>
        <v>2.3084007436683533</v>
      </c>
      <c r="K588" s="4">
        <f t="shared" si="175"/>
        <v>-2.1764216517145867</v>
      </c>
      <c r="L588" s="10">
        <f t="shared" si="182"/>
        <v>0.47213556481574664</v>
      </c>
      <c r="M588" s="19">
        <v>311.79000000000002</v>
      </c>
      <c r="N588" s="19">
        <v>126</v>
      </c>
      <c r="O588" s="19">
        <v>73.2</v>
      </c>
      <c r="P588" s="11">
        <v>4.0599999999999997E-2</v>
      </c>
      <c r="Q588" s="11">
        <v>1.9499999999999999E-3</v>
      </c>
      <c r="R588" s="12">
        <f t="shared" si="185"/>
        <v>6.4034289634039898E-2</v>
      </c>
      <c r="S588" s="12">
        <f t="shared" si="186"/>
        <v>2.5877419076586892E-2</v>
      </c>
      <c r="T588" s="12">
        <f t="shared" si="187"/>
        <v>1.503354822544572E-2</v>
      </c>
      <c r="U588" s="12">
        <f t="shared" si="169"/>
        <v>2.5997921591420195E-3</v>
      </c>
      <c r="V588" s="12">
        <f t="shared" si="156"/>
        <v>1.0506232145094277E-3</v>
      </c>
      <c r="W588" s="12">
        <f t="shared" si="157"/>
        <v>6.1036205795309624E-4</v>
      </c>
      <c r="X588" s="12">
        <f t="shared" si="158"/>
        <v>1.248668647863778E-4</v>
      </c>
      <c r="Y588" s="12">
        <f t="shared" si="159"/>
        <v>5.0460967199344434E-5</v>
      </c>
      <c r="Z588" s="12">
        <f t="shared" si="160"/>
        <v>2.9315419039619152E-5</v>
      </c>
    </row>
    <row r="589" spans="1:26" ht="13">
      <c r="A589" s="22" t="str">
        <f t="shared" si="192"/>
        <v>LDG</v>
      </c>
      <c r="B589" s="9">
        <v>2019</v>
      </c>
      <c r="C589" s="19">
        <v>603.28</v>
      </c>
      <c r="D589" s="19">
        <v>2725.47</v>
      </c>
      <c r="E589" s="19">
        <v>5848.49</v>
      </c>
      <c r="F589" s="19">
        <v>3943.31</v>
      </c>
      <c r="G589" s="19">
        <v>2556.87</v>
      </c>
      <c r="H589" s="10">
        <f t="shared" si="188"/>
        <v>0.10315141173191712</v>
      </c>
      <c r="I589" s="10">
        <f t="shared" si="189"/>
        <v>0.46601259470393208</v>
      </c>
      <c r="J589" s="10">
        <f t="shared" si="190"/>
        <v>1.542241099469273</v>
      </c>
      <c r="K589" s="4">
        <f t="shared" si="175"/>
        <v>-2.1140785273790912</v>
      </c>
      <c r="L589" s="10">
        <f t="shared" si="182"/>
        <v>0.46601259470393208</v>
      </c>
      <c r="M589" s="19">
        <v>-1769.56</v>
      </c>
      <c r="N589" s="19">
        <v>1128.26</v>
      </c>
      <c r="O589" s="19">
        <v>95.02</v>
      </c>
      <c r="P589" s="11">
        <v>3.8999999999999998E-3</v>
      </c>
      <c r="Q589" s="11">
        <v>3.8E-3</v>
      </c>
      <c r="R589" s="12">
        <f t="shared" si="185"/>
        <v>-0.30256698737622872</v>
      </c>
      <c r="S589" s="12">
        <f t="shared" si="186"/>
        <v>0.19291475235488134</v>
      </c>
      <c r="T589" s="12">
        <f t="shared" si="187"/>
        <v>1.6246928694415141E-2</v>
      </c>
      <c r="U589" s="12">
        <f t="shared" si="169"/>
        <v>-1.180011250767292E-3</v>
      </c>
      <c r="V589" s="12">
        <f t="shared" si="156"/>
        <v>7.5236753418403716E-4</v>
      </c>
      <c r="W589" s="12">
        <f t="shared" si="157"/>
        <v>6.336302190821905E-5</v>
      </c>
      <c r="X589" s="12">
        <f t="shared" si="158"/>
        <v>-1.1497545520296692E-3</v>
      </c>
      <c r="Y589" s="12">
        <f t="shared" si="159"/>
        <v>7.330760589485491E-4</v>
      </c>
      <c r="Z589" s="12">
        <f t="shared" si="160"/>
        <v>6.1738329038777532E-5</v>
      </c>
    </row>
    <row r="590" spans="1:26" ht="13">
      <c r="A590" s="22" t="str">
        <f t="shared" si="192"/>
        <v>LDG</v>
      </c>
      <c r="B590" s="9">
        <v>2020</v>
      </c>
      <c r="C590" s="19">
        <v>12.91</v>
      </c>
      <c r="D590" s="19">
        <v>2427.3000000000002</v>
      </c>
      <c r="E590" s="19">
        <v>5531.7</v>
      </c>
      <c r="F590" s="19">
        <v>4065.82</v>
      </c>
      <c r="G590" s="19">
        <v>2422.38</v>
      </c>
      <c r="H590" s="10">
        <f t="shared" si="188"/>
        <v>2.333821429217058E-3</v>
      </c>
      <c r="I590" s="10">
        <f t="shared" si="189"/>
        <v>0.43879819946851784</v>
      </c>
      <c r="J590" s="10">
        <f t="shared" si="190"/>
        <v>1.6784402116926329</v>
      </c>
      <c r="K590" s="4">
        <f t="shared" si="175"/>
        <v>-1.8160662203076958</v>
      </c>
      <c r="L590" s="10">
        <f t="shared" si="182"/>
        <v>0.43879819946851784</v>
      </c>
      <c r="M590" s="19">
        <v>-96.5</v>
      </c>
      <c r="N590" s="19">
        <v>-269.93</v>
      </c>
      <c r="O590" s="19">
        <v>336.72</v>
      </c>
      <c r="P590" s="11">
        <v>0</v>
      </c>
      <c r="Q590" s="11">
        <v>4.1999999999999997E-3</v>
      </c>
      <c r="R590" s="12">
        <f t="shared" si="185"/>
        <v>-1.7444908436827739E-2</v>
      </c>
      <c r="S590" s="12">
        <f t="shared" si="186"/>
        <v>-4.87969340347452E-2</v>
      </c>
      <c r="T590" s="12">
        <f t="shared" si="187"/>
        <v>6.0870979988068771E-2</v>
      </c>
      <c r="U590" s="12">
        <f t="shared" si="169"/>
        <v>0</v>
      </c>
      <c r="V590" s="12">
        <f t="shared" si="156"/>
        <v>0</v>
      </c>
      <c r="W590" s="12">
        <f t="shared" si="157"/>
        <v>0</v>
      </c>
      <c r="X590" s="12">
        <f t="shared" si="158"/>
        <v>-7.3268615434676505E-5</v>
      </c>
      <c r="Y590" s="12">
        <f t="shared" si="159"/>
        <v>-2.0494712294592983E-4</v>
      </c>
      <c r="Z590" s="12">
        <f t="shared" si="160"/>
        <v>2.5565811594988882E-4</v>
      </c>
    </row>
    <row r="591" spans="1:26" ht="13">
      <c r="A591" s="22" t="str">
        <f t="shared" si="192"/>
        <v>LDG</v>
      </c>
      <c r="B591" s="9">
        <v>2021</v>
      </c>
      <c r="C591" s="19">
        <v>140.65</v>
      </c>
      <c r="D591" s="19">
        <v>3597.15</v>
      </c>
      <c r="E591" s="19">
        <v>6841.07</v>
      </c>
      <c r="F591" s="19">
        <v>4748.96</v>
      </c>
      <c r="G591" s="19">
        <v>2487.9</v>
      </c>
      <c r="H591" s="10">
        <f t="shared" si="188"/>
        <v>2.0559649294627887E-2</v>
      </c>
      <c r="I591" s="10">
        <f t="shared" si="189"/>
        <v>0.52581686782915538</v>
      </c>
      <c r="J591" s="10">
        <f t="shared" si="190"/>
        <v>1.9088227018770851</v>
      </c>
      <c r="K591" s="4">
        <f t="shared" si="175"/>
        <v>-1.4029975660071483</v>
      </c>
      <c r="L591" s="10">
        <f t="shared" si="182"/>
        <v>0.52581686782915538</v>
      </c>
      <c r="M591" s="19">
        <v>-956.35</v>
      </c>
      <c r="N591" s="19">
        <v>340.25</v>
      </c>
      <c r="O591" s="19">
        <v>680.71</v>
      </c>
      <c r="P591" s="11">
        <v>1.8E-3</v>
      </c>
      <c r="Q591" s="11">
        <v>2.5000000000000001E-3</v>
      </c>
      <c r="R591" s="12">
        <f t="shared" si="185"/>
        <v>-0.13979538288601054</v>
      </c>
      <c r="S591" s="12">
        <f t="shared" si="186"/>
        <v>4.9736371649464192E-2</v>
      </c>
      <c r="T591" s="12">
        <f t="shared" si="187"/>
        <v>9.9503440251305725E-2</v>
      </c>
      <c r="U591" s="12">
        <f t="shared" si="169"/>
        <v>-2.5163168919481899E-4</v>
      </c>
      <c r="V591" s="12">
        <f t="shared" si="156"/>
        <v>8.9525468969035542E-5</v>
      </c>
      <c r="W591" s="12">
        <f t="shared" si="157"/>
        <v>1.7910619245235031E-4</v>
      </c>
      <c r="X591" s="12">
        <f t="shared" si="158"/>
        <v>-3.4948845721502638E-4</v>
      </c>
      <c r="Y591" s="12">
        <f t="shared" si="159"/>
        <v>1.2434092912366049E-4</v>
      </c>
      <c r="Z591" s="12">
        <f t="shared" si="160"/>
        <v>2.4875860062826432E-4</v>
      </c>
    </row>
    <row r="592" spans="1:26" ht="13">
      <c r="A592" s="21" t="s">
        <v>136</v>
      </c>
      <c r="B592" s="9">
        <v>2017</v>
      </c>
      <c r="C592" s="19">
        <v>19.96</v>
      </c>
      <c r="D592" s="19">
        <v>613.4</v>
      </c>
      <c r="E592" s="19">
        <v>956.89</v>
      </c>
      <c r="F592" s="19">
        <v>744.97</v>
      </c>
      <c r="G592" s="19">
        <v>609.4</v>
      </c>
      <c r="H592" s="10">
        <f t="shared" si="188"/>
        <v>2.0859241919133863E-2</v>
      </c>
      <c r="I592" s="10">
        <f t="shared" si="189"/>
        <v>0.64103501969923393</v>
      </c>
      <c r="J592" s="10">
        <f t="shared" si="190"/>
        <v>1.2224647193961273</v>
      </c>
      <c r="K592" s="4">
        <f t="shared" si="175"/>
        <v>-0.74485683522805379</v>
      </c>
      <c r="L592" s="10">
        <f t="shared" si="182"/>
        <v>0.64103501969923393</v>
      </c>
      <c r="M592" s="19">
        <v>204.46</v>
      </c>
      <c r="N592" s="19">
        <v>-189.12</v>
      </c>
      <c r="O592" s="19">
        <v>37.4</v>
      </c>
      <c r="P592" s="11">
        <v>1.0000000000000001E-5</v>
      </c>
      <c r="Q592" s="11">
        <v>7.7000000000000001E-5</v>
      </c>
      <c r="R592" s="12">
        <f t="shared" si="185"/>
        <v>0.21367137288507562</v>
      </c>
      <c r="S592" s="12">
        <f t="shared" si="186"/>
        <v>-0.19764027213159299</v>
      </c>
      <c r="T592" s="12">
        <f t="shared" si="187"/>
        <v>3.9084952293367052E-2</v>
      </c>
      <c r="U592" s="12">
        <f t="shared" si="169"/>
        <v>2.1367137288507566E-6</v>
      </c>
      <c r="V592" s="12">
        <f t="shared" si="156"/>
        <v>-1.97640272131593E-6</v>
      </c>
      <c r="W592" s="12">
        <f t="shared" si="157"/>
        <v>3.9084952293367054E-7</v>
      </c>
      <c r="X592" s="12">
        <f t="shared" si="158"/>
        <v>1.6452695712150823E-5</v>
      </c>
      <c r="Y592" s="12">
        <f t="shared" si="159"/>
        <v>-1.521830095413266E-5</v>
      </c>
      <c r="Z592" s="12">
        <f t="shared" si="160"/>
        <v>3.009541326589263E-6</v>
      </c>
    </row>
    <row r="593" spans="1:26" ht="13">
      <c r="A593" s="22" t="str">
        <f t="shared" ref="A593:A596" si="193">A592</f>
        <v>LEC</v>
      </c>
      <c r="B593" s="9">
        <v>2018</v>
      </c>
      <c r="C593" s="19">
        <v>0.79</v>
      </c>
      <c r="D593" s="19">
        <v>724.44</v>
      </c>
      <c r="E593" s="19">
        <v>1068.4000000000001</v>
      </c>
      <c r="F593" s="19">
        <v>873.84</v>
      </c>
      <c r="G593" s="19">
        <v>724.44</v>
      </c>
      <c r="H593" s="10">
        <f t="shared" si="188"/>
        <v>7.3942343691501308E-4</v>
      </c>
      <c r="I593" s="10">
        <f t="shared" si="189"/>
        <v>0.6780606514414077</v>
      </c>
      <c r="J593" s="10">
        <f t="shared" si="190"/>
        <v>1.206228259069074</v>
      </c>
      <c r="K593" s="4">
        <f t="shared" si="175"/>
        <v>-0.44320660528636924</v>
      </c>
      <c r="L593" s="10">
        <f t="shared" si="182"/>
        <v>0.6780606514414077</v>
      </c>
      <c r="M593" s="19">
        <v>-184.73</v>
      </c>
      <c r="N593" s="19">
        <v>-4.3099999999999996</v>
      </c>
      <c r="O593" s="19">
        <v>138.44999999999999</v>
      </c>
      <c r="P593" s="11">
        <v>1.0000000000000001E-5</v>
      </c>
      <c r="Q593" s="11">
        <v>7.7000000000000001E-5</v>
      </c>
      <c r="R593" s="12">
        <f t="shared" si="185"/>
        <v>-0.17290340696368398</v>
      </c>
      <c r="S593" s="12">
        <f t="shared" si="186"/>
        <v>-4.0340696368401339E-3</v>
      </c>
      <c r="T593" s="12">
        <f t="shared" si="187"/>
        <v>0.12958629726694121</v>
      </c>
      <c r="U593" s="12">
        <f t="shared" si="169"/>
        <v>-1.7290340696368399E-6</v>
      </c>
      <c r="V593" s="12">
        <f t="shared" si="156"/>
        <v>-4.0340696368401343E-8</v>
      </c>
      <c r="W593" s="12">
        <f t="shared" si="157"/>
        <v>1.2958629726694121E-6</v>
      </c>
      <c r="X593" s="12">
        <f t="shared" si="158"/>
        <v>-1.3313562336203667E-5</v>
      </c>
      <c r="Y593" s="12">
        <f t="shared" si="159"/>
        <v>-3.1062336203669032E-7</v>
      </c>
      <c r="Z593" s="12">
        <f t="shared" si="160"/>
        <v>9.9781448895544728E-6</v>
      </c>
    </row>
    <row r="594" spans="1:26" ht="13">
      <c r="A594" s="22" t="str">
        <f t="shared" si="193"/>
        <v>LEC</v>
      </c>
      <c r="B594" s="9">
        <v>2019</v>
      </c>
      <c r="C594" s="19">
        <v>0.01</v>
      </c>
      <c r="D594" s="19">
        <v>734.32</v>
      </c>
      <c r="E594" s="19">
        <v>1077.94</v>
      </c>
      <c r="F594" s="19">
        <v>890.59</v>
      </c>
      <c r="G594" s="19">
        <v>734.32</v>
      </c>
      <c r="H594" s="10">
        <f t="shared" si="188"/>
        <v>9.2769541904002082E-6</v>
      </c>
      <c r="I594" s="10">
        <f t="shared" si="189"/>
        <v>0.68122530010946802</v>
      </c>
      <c r="J594" s="10">
        <f t="shared" si="190"/>
        <v>1.2128091295348076</v>
      </c>
      <c r="K594" s="4">
        <f t="shared" si="175"/>
        <v>-0.42190877218802747</v>
      </c>
      <c r="L594" s="10">
        <f t="shared" si="182"/>
        <v>0.68122530010946802</v>
      </c>
      <c r="M594" s="19">
        <v>-20.079999999999998</v>
      </c>
      <c r="N594" s="19">
        <v>21.29</v>
      </c>
      <c r="O594" s="19">
        <v>10.36</v>
      </c>
      <c r="P594" s="11">
        <v>1.0000000000000001E-5</v>
      </c>
      <c r="Q594" s="11">
        <v>7.7000000000000001E-5</v>
      </c>
      <c r="R594" s="12">
        <f t="shared" si="185"/>
        <v>-1.8628124014323615E-2</v>
      </c>
      <c r="S594" s="12">
        <f t="shared" si="186"/>
        <v>1.9750635471362042E-2</v>
      </c>
      <c r="T594" s="12">
        <f t="shared" si="187"/>
        <v>9.6109245412546139E-3</v>
      </c>
      <c r="U594" s="12">
        <f t="shared" si="169"/>
        <v>-1.8628124014323615E-7</v>
      </c>
      <c r="V594" s="12">
        <f t="shared" si="156"/>
        <v>1.9750635471362045E-7</v>
      </c>
      <c r="W594" s="12">
        <f t="shared" si="157"/>
        <v>9.6109245412546145E-8</v>
      </c>
      <c r="X594" s="12">
        <f t="shared" si="158"/>
        <v>-1.4343655491029184E-6</v>
      </c>
      <c r="Y594" s="12">
        <f t="shared" si="159"/>
        <v>1.5207989312948773E-6</v>
      </c>
      <c r="Z594" s="12">
        <f t="shared" si="160"/>
        <v>7.4004118967660529E-7</v>
      </c>
    </row>
    <row r="595" spans="1:26" ht="13">
      <c r="A595" s="22" t="str">
        <f t="shared" si="193"/>
        <v>LEC</v>
      </c>
      <c r="B595" s="9">
        <v>2020</v>
      </c>
      <c r="C595" s="19">
        <v>0.56000000000000005</v>
      </c>
      <c r="D595" s="19">
        <v>593.16</v>
      </c>
      <c r="E595" s="19">
        <v>937.34</v>
      </c>
      <c r="F595" s="19">
        <v>758.14</v>
      </c>
      <c r="G595" s="19">
        <v>593.16</v>
      </c>
      <c r="H595" s="10">
        <f t="shared" si="188"/>
        <v>5.9743529562378652E-4</v>
      </c>
      <c r="I595" s="10">
        <f t="shared" si="189"/>
        <v>0.63281199991465209</v>
      </c>
      <c r="J595" s="10">
        <f t="shared" si="190"/>
        <v>1.2781374334075124</v>
      </c>
      <c r="K595" s="4">
        <f t="shared" si="175"/>
        <v>-0.70077260905041994</v>
      </c>
      <c r="L595" s="10">
        <f t="shared" si="182"/>
        <v>0.63281199991465209</v>
      </c>
      <c r="M595" s="19">
        <v>-45.72</v>
      </c>
      <c r="N595" s="19">
        <v>-55.96</v>
      </c>
      <c r="O595" s="19">
        <v>94.7</v>
      </c>
      <c r="P595" s="11">
        <v>4.0000000000000003E-5</v>
      </c>
      <c r="Q595" s="11">
        <v>0</v>
      </c>
      <c r="R595" s="12">
        <f t="shared" si="185"/>
        <v>-4.8776324492713422E-2</v>
      </c>
      <c r="S595" s="12">
        <f t="shared" si="186"/>
        <v>-5.9700855612691228E-2</v>
      </c>
      <c r="T595" s="12">
        <f t="shared" si="187"/>
        <v>0.10103057588495103</v>
      </c>
      <c r="U595" s="12">
        <f t="shared" si="169"/>
        <v>-1.9510529797085372E-6</v>
      </c>
      <c r="V595" s="12">
        <f t="shared" si="156"/>
        <v>-2.3880342245076492E-6</v>
      </c>
      <c r="W595" s="12">
        <f t="shared" si="157"/>
        <v>4.0412230353980413E-6</v>
      </c>
      <c r="X595" s="12">
        <f t="shared" si="158"/>
        <v>0</v>
      </c>
      <c r="Y595" s="12">
        <f t="shared" si="159"/>
        <v>0</v>
      </c>
      <c r="Z595" s="12">
        <f t="shared" si="160"/>
        <v>0</v>
      </c>
    </row>
    <row r="596" spans="1:26" ht="13">
      <c r="A596" s="22" t="str">
        <f t="shared" si="193"/>
        <v>LEC</v>
      </c>
      <c r="B596" s="9">
        <v>2021</v>
      </c>
      <c r="C596" s="19">
        <v>3.02</v>
      </c>
      <c r="D596" s="19">
        <v>585.34</v>
      </c>
      <c r="E596" s="19">
        <v>985.34</v>
      </c>
      <c r="F596" s="19">
        <v>732.35</v>
      </c>
      <c r="G596" s="19">
        <v>585.34</v>
      </c>
      <c r="H596" s="10">
        <f t="shared" si="188"/>
        <v>3.0649319016786084E-3</v>
      </c>
      <c r="I596" s="10">
        <f t="shared" si="189"/>
        <v>0.59404875474455521</v>
      </c>
      <c r="J596" s="10">
        <f t="shared" si="190"/>
        <v>1.251153175931937</v>
      </c>
      <c r="K596" s="4">
        <f t="shared" si="175"/>
        <v>-0.93271890421731651</v>
      </c>
      <c r="L596" s="10">
        <f t="shared" si="182"/>
        <v>0.59404875474455521</v>
      </c>
      <c r="M596" s="19">
        <v>-22.92</v>
      </c>
      <c r="N596" s="19">
        <v>-43.28</v>
      </c>
      <c r="O596" s="19">
        <v>66.86</v>
      </c>
      <c r="P596" s="11">
        <v>4.0000000000000003E-5</v>
      </c>
      <c r="Q596" s="11">
        <v>0</v>
      </c>
      <c r="R596" s="12">
        <f t="shared" si="185"/>
        <v>-2.3261006353136989E-2</v>
      </c>
      <c r="S596" s="12">
        <f t="shared" si="186"/>
        <v>-4.3923924736639128E-2</v>
      </c>
      <c r="T596" s="12">
        <f t="shared" si="187"/>
        <v>6.7854750644447598E-2</v>
      </c>
      <c r="U596" s="12">
        <f t="shared" si="169"/>
        <v>-9.304402541254796E-7</v>
      </c>
      <c r="V596" s="12">
        <f t="shared" si="156"/>
        <v>-1.7569569894655653E-6</v>
      </c>
      <c r="W596" s="12">
        <f t="shared" si="157"/>
        <v>2.714190025777904E-6</v>
      </c>
      <c r="X596" s="12">
        <f t="shared" si="158"/>
        <v>0</v>
      </c>
      <c r="Y596" s="12">
        <f t="shared" si="159"/>
        <v>0</v>
      </c>
      <c r="Z596" s="12">
        <f t="shared" si="160"/>
        <v>0</v>
      </c>
    </row>
    <row r="597" spans="1:26" ht="13">
      <c r="A597" s="21" t="s">
        <v>137</v>
      </c>
      <c r="B597" s="9">
        <v>2017</v>
      </c>
      <c r="C597" s="19">
        <v>227.88</v>
      </c>
      <c r="D597" s="19">
        <v>6757.11</v>
      </c>
      <c r="E597" s="19">
        <v>9844.94</v>
      </c>
      <c r="F597" s="19">
        <v>2769.55</v>
      </c>
      <c r="G597" s="19">
        <v>2237.89</v>
      </c>
      <c r="H597" s="10">
        <f t="shared" si="188"/>
        <v>2.3146916080748078E-2</v>
      </c>
      <c r="I597" s="10">
        <f t="shared" si="189"/>
        <v>0.68635359890461489</v>
      </c>
      <c r="J597" s="10">
        <f t="shared" si="190"/>
        <v>1.2375719986237037</v>
      </c>
      <c r="K597" s="4">
        <f t="shared" si="175"/>
        <v>-0.49689589660155586</v>
      </c>
      <c r="L597" s="10">
        <f t="shared" si="182"/>
        <v>0.68635359890461489</v>
      </c>
      <c r="M597" s="19">
        <v>-386.11</v>
      </c>
      <c r="N597" s="19">
        <v>-1032.53</v>
      </c>
      <c r="O597" s="19">
        <v>1390.48</v>
      </c>
      <c r="P597" s="11">
        <v>0.4501</v>
      </c>
      <c r="Q597" s="11">
        <v>0</v>
      </c>
      <c r="R597" s="12">
        <f t="shared" si="185"/>
        <v>-3.9219131858599439E-2</v>
      </c>
      <c r="S597" s="12">
        <f t="shared" si="186"/>
        <v>-0.10487925777099708</v>
      </c>
      <c r="T597" s="12">
        <f t="shared" si="187"/>
        <v>0.14123803700174911</v>
      </c>
      <c r="U597" s="12">
        <f t="shared" si="169"/>
        <v>-1.7652531249555608E-2</v>
      </c>
      <c r="V597" s="12">
        <f t="shared" si="156"/>
        <v>-4.7206153922725785E-2</v>
      </c>
      <c r="W597" s="12">
        <f t="shared" si="157"/>
        <v>6.3571240454487268E-2</v>
      </c>
      <c r="X597" s="12">
        <f t="shared" si="158"/>
        <v>0</v>
      </c>
      <c r="Y597" s="12">
        <f t="shared" si="159"/>
        <v>0</v>
      </c>
      <c r="Z597" s="12">
        <f t="shared" si="160"/>
        <v>0</v>
      </c>
    </row>
    <row r="598" spans="1:26" ht="13">
      <c r="A598" s="22" t="str">
        <f t="shared" ref="A598:A601" si="194">A597</f>
        <v>LGC</v>
      </c>
      <c r="B598" s="9">
        <v>2018</v>
      </c>
      <c r="C598" s="19">
        <v>278.24</v>
      </c>
      <c r="D598" s="19">
        <v>5870.1</v>
      </c>
      <c r="E598" s="19">
        <v>9362.68</v>
      </c>
      <c r="F598" s="19">
        <v>1475.91</v>
      </c>
      <c r="G598" s="19">
        <v>1999.19</v>
      </c>
      <c r="H598" s="10">
        <f t="shared" si="188"/>
        <v>2.9717986730295173E-2</v>
      </c>
      <c r="I598" s="10">
        <f t="shared" si="189"/>
        <v>0.62696791944186925</v>
      </c>
      <c r="J598" s="10">
        <f t="shared" si="190"/>
        <v>0.73825399286711124</v>
      </c>
      <c r="K598" s="4">
        <f t="shared" si="175"/>
        <v>-0.86296681543914222</v>
      </c>
      <c r="L598" s="10">
        <f t="shared" si="182"/>
        <v>0.62696791944186925</v>
      </c>
      <c r="M598" s="19">
        <v>151.44999999999999</v>
      </c>
      <c r="N598" s="19">
        <v>-248.95</v>
      </c>
      <c r="O598" s="19">
        <v>-553.44000000000005</v>
      </c>
      <c r="P598" s="11">
        <v>0.45</v>
      </c>
      <c r="Q598" s="11">
        <v>0</v>
      </c>
      <c r="R598" s="12">
        <f t="shared" si="185"/>
        <v>1.6175923987576207E-2</v>
      </c>
      <c r="S598" s="12">
        <f t="shared" si="186"/>
        <v>-2.6589608958118828E-2</v>
      </c>
      <c r="T598" s="12">
        <f t="shared" si="187"/>
        <v>-5.9111280103560093E-2</v>
      </c>
      <c r="U598" s="12">
        <f t="shared" si="169"/>
        <v>7.2791657944092933E-3</v>
      </c>
      <c r="V598" s="12">
        <f t="shared" si="156"/>
        <v>-1.1965324031153473E-2</v>
      </c>
      <c r="W598" s="12">
        <f t="shared" si="157"/>
        <v>-2.6600076046602042E-2</v>
      </c>
      <c r="X598" s="12">
        <f t="shared" si="158"/>
        <v>0</v>
      </c>
      <c r="Y598" s="12">
        <f t="shared" si="159"/>
        <v>0</v>
      </c>
      <c r="Z598" s="12">
        <f t="shared" si="160"/>
        <v>0</v>
      </c>
    </row>
    <row r="599" spans="1:26" ht="13">
      <c r="A599" s="22" t="str">
        <f t="shared" si="194"/>
        <v>LGC</v>
      </c>
      <c r="B599" s="9">
        <v>2019</v>
      </c>
      <c r="C599" s="19">
        <v>545.5</v>
      </c>
      <c r="D599" s="19">
        <v>7358.04</v>
      </c>
      <c r="E599" s="19">
        <v>11260.22</v>
      </c>
      <c r="F599" s="19">
        <v>871.21</v>
      </c>
      <c r="G599" s="19">
        <v>2144.27</v>
      </c>
      <c r="H599" s="10">
        <f t="shared" si="188"/>
        <v>4.8444879407329521E-2</v>
      </c>
      <c r="I599" s="10">
        <f t="shared" si="189"/>
        <v>0.65345437300514553</v>
      </c>
      <c r="J599" s="10">
        <f t="shared" si="190"/>
        <v>0.40629678165529531</v>
      </c>
      <c r="K599" s="4">
        <f t="shared" si="175"/>
        <v>-0.79493721833027398</v>
      </c>
      <c r="L599" s="10">
        <f t="shared" si="182"/>
        <v>0.65345437300514553</v>
      </c>
      <c r="M599" s="19">
        <v>169.43</v>
      </c>
      <c r="N599" s="19">
        <v>-592.15</v>
      </c>
      <c r="O599" s="19">
        <v>372.42</v>
      </c>
      <c r="P599" s="11">
        <v>0.45</v>
      </c>
      <c r="Q599" s="11">
        <v>0</v>
      </c>
      <c r="R599" s="12">
        <f t="shared" si="185"/>
        <v>1.5046775285029956E-2</v>
      </c>
      <c r="S599" s="12">
        <f t="shared" si="186"/>
        <v>-5.2587782476718928E-2</v>
      </c>
      <c r="T599" s="12">
        <f t="shared" si="187"/>
        <v>3.3073954150096535E-2</v>
      </c>
      <c r="U599" s="12">
        <f t="shared" si="169"/>
        <v>6.7710488782634802E-3</v>
      </c>
      <c r="V599" s="12">
        <f t="shared" si="156"/>
        <v>-2.366450211452352E-2</v>
      </c>
      <c r="W599" s="12">
        <f t="shared" si="157"/>
        <v>1.4883279367543441E-2</v>
      </c>
      <c r="X599" s="12">
        <f t="shared" si="158"/>
        <v>0</v>
      </c>
      <c r="Y599" s="12">
        <f t="shared" si="159"/>
        <v>0</v>
      </c>
      <c r="Z599" s="12">
        <f t="shared" si="160"/>
        <v>0</v>
      </c>
    </row>
    <row r="600" spans="1:26" ht="13">
      <c r="A600" s="22" t="str">
        <f t="shared" si="194"/>
        <v>LGC</v>
      </c>
      <c r="B600" s="9">
        <v>2020</v>
      </c>
      <c r="C600" s="19">
        <v>505.76</v>
      </c>
      <c r="D600" s="19">
        <v>7460.78</v>
      </c>
      <c r="E600" s="19">
        <v>11905.69</v>
      </c>
      <c r="F600" s="19">
        <v>1054.48</v>
      </c>
      <c r="G600" s="19">
        <v>1285.1099999999999</v>
      </c>
      <c r="H600" s="10">
        <f t="shared" si="188"/>
        <v>4.2480528218020119E-2</v>
      </c>
      <c r="I600" s="10">
        <f t="shared" si="189"/>
        <v>0.62665666584633062</v>
      </c>
      <c r="J600" s="10">
        <f t="shared" si="190"/>
        <v>0.82053676338990444</v>
      </c>
      <c r="K600" s="4">
        <f t="shared" si="175"/>
        <v>-0.92250152871056523</v>
      </c>
      <c r="L600" s="10">
        <f t="shared" si="182"/>
        <v>0.62665666584633062</v>
      </c>
      <c r="M600" s="19">
        <v>181.35</v>
      </c>
      <c r="N600" s="19">
        <v>-104.19</v>
      </c>
      <c r="O600" s="19">
        <v>23.12</v>
      </c>
      <c r="P600" s="11">
        <v>0.45</v>
      </c>
      <c r="Q600" s="11">
        <v>0</v>
      </c>
      <c r="R600" s="12">
        <f t="shared" si="185"/>
        <v>1.5232212496713755E-2</v>
      </c>
      <c r="S600" s="12">
        <f t="shared" si="186"/>
        <v>-8.7512777503865793E-3</v>
      </c>
      <c r="T600" s="12">
        <f t="shared" si="187"/>
        <v>1.9419286072457792E-3</v>
      </c>
      <c r="U600" s="12">
        <f t="shared" si="169"/>
        <v>6.8544956235211899E-3</v>
      </c>
      <c r="V600" s="12">
        <f t="shared" si="156"/>
        <v>-3.9380749876739606E-3</v>
      </c>
      <c r="W600" s="12">
        <f t="shared" si="157"/>
        <v>8.7386787326060062E-4</v>
      </c>
      <c r="X600" s="12">
        <f t="shared" si="158"/>
        <v>0</v>
      </c>
      <c r="Y600" s="12">
        <f t="shared" si="159"/>
        <v>0</v>
      </c>
      <c r="Z600" s="12">
        <f t="shared" si="160"/>
        <v>0</v>
      </c>
    </row>
    <row r="601" spans="1:26" ht="13">
      <c r="A601" s="22" t="str">
        <f t="shared" si="194"/>
        <v>LGC</v>
      </c>
      <c r="B601" s="9">
        <v>2021</v>
      </c>
      <c r="C601" s="19">
        <v>307.87</v>
      </c>
      <c r="D601" s="19">
        <v>7489.93</v>
      </c>
      <c r="E601" s="19">
        <v>12178.17</v>
      </c>
      <c r="F601" s="19">
        <v>1187.1300000000001</v>
      </c>
      <c r="G601" s="19">
        <v>1396.77</v>
      </c>
      <c r="H601" s="10">
        <f t="shared" si="188"/>
        <v>2.5280481385955362E-2</v>
      </c>
      <c r="I601" s="10">
        <f t="shared" si="189"/>
        <v>0.61502918747233781</v>
      </c>
      <c r="J601" s="10">
        <f t="shared" si="190"/>
        <v>0.84991086578319985</v>
      </c>
      <c r="K601" s="4">
        <f t="shared" si="175"/>
        <v>-0.91149544110760583</v>
      </c>
      <c r="L601" s="10">
        <f t="shared" si="182"/>
        <v>0.61502918747233781</v>
      </c>
      <c r="M601" s="19">
        <v>345.5</v>
      </c>
      <c r="N601" s="19">
        <v>-206.54</v>
      </c>
      <c r="O601" s="19">
        <v>-127.08</v>
      </c>
      <c r="P601" s="11">
        <v>0.44990000000000002</v>
      </c>
      <c r="Q601" s="11">
        <v>0</v>
      </c>
      <c r="R601" s="12">
        <f t="shared" si="185"/>
        <v>2.8370436609112863E-2</v>
      </c>
      <c r="S601" s="12">
        <f t="shared" si="186"/>
        <v>-1.6959855216342027E-2</v>
      </c>
      <c r="T601" s="12">
        <f t="shared" si="187"/>
        <v>-1.0435065366964001E-2</v>
      </c>
      <c r="U601" s="12">
        <f t="shared" si="169"/>
        <v>1.2763859430439877E-2</v>
      </c>
      <c r="V601" s="12">
        <f t="shared" si="156"/>
        <v>-7.6302388618322784E-3</v>
      </c>
      <c r="W601" s="12">
        <f t="shared" si="157"/>
        <v>-4.694735908597104E-3</v>
      </c>
      <c r="X601" s="12">
        <f t="shared" si="158"/>
        <v>0</v>
      </c>
      <c r="Y601" s="12">
        <f t="shared" si="159"/>
        <v>0</v>
      </c>
      <c r="Z601" s="12">
        <f t="shared" si="160"/>
        <v>0</v>
      </c>
    </row>
    <row r="602" spans="1:26" ht="13">
      <c r="A602" s="21" t="s">
        <v>138</v>
      </c>
      <c r="B602" s="9">
        <v>2017</v>
      </c>
      <c r="C602" s="19">
        <v>93.86</v>
      </c>
      <c r="D602" s="19">
        <v>1704.76</v>
      </c>
      <c r="E602" s="19">
        <v>2234.59</v>
      </c>
      <c r="F602" s="19">
        <v>1901.73</v>
      </c>
      <c r="G602" s="19">
        <v>1194.17</v>
      </c>
      <c r="H602" s="10">
        <f t="shared" si="188"/>
        <v>4.2003231017770593E-2</v>
      </c>
      <c r="I602" s="10">
        <f t="shared" si="189"/>
        <v>0.76289610174573408</v>
      </c>
      <c r="J602" s="10">
        <f t="shared" si="190"/>
        <v>1.5925119539094097</v>
      </c>
      <c r="K602" s="4">
        <f t="shared" si="175"/>
        <v>-0.1468768074449209</v>
      </c>
      <c r="L602" s="10">
        <f t="shared" si="182"/>
        <v>0.76289610174573408</v>
      </c>
      <c r="M602" s="19">
        <v>-8.4</v>
      </c>
      <c r="N602" s="19">
        <v>10.74</v>
      </c>
      <c r="O602" s="19">
        <v>55.3</v>
      </c>
      <c r="P602" s="11">
        <v>8.0000000000000004E-4</v>
      </c>
      <c r="Q602" s="11">
        <v>0.21672</v>
      </c>
      <c r="R602" s="12">
        <f t="shared" si="185"/>
        <v>-3.759078846678809E-3</v>
      </c>
      <c r="S602" s="12">
        <f t="shared" si="186"/>
        <v>4.8062508111107625E-3</v>
      </c>
      <c r="T602" s="12">
        <f t="shared" si="187"/>
        <v>2.4747269073968823E-2</v>
      </c>
      <c r="U602" s="12">
        <f t="shared" si="169"/>
        <v>-3.0072630773430473E-6</v>
      </c>
      <c r="V602" s="12">
        <f t="shared" si="156"/>
        <v>3.8450006488886098E-6</v>
      </c>
      <c r="W602" s="12">
        <f t="shared" si="157"/>
        <v>1.979781525917506E-5</v>
      </c>
      <c r="X602" s="12">
        <f t="shared" si="158"/>
        <v>-8.1466756765223147E-4</v>
      </c>
      <c r="Y602" s="12">
        <f t="shared" si="159"/>
        <v>1.0416106757839244E-3</v>
      </c>
      <c r="Z602" s="12">
        <f t="shared" si="160"/>
        <v>5.3632281537105229E-3</v>
      </c>
    </row>
    <row r="603" spans="1:26" ht="13">
      <c r="A603" s="22" t="str">
        <f t="shared" ref="A603:A606" si="195">A602</f>
        <v>LGL</v>
      </c>
      <c r="B603" s="9">
        <v>2018</v>
      </c>
      <c r="C603" s="19">
        <v>114.38</v>
      </c>
      <c r="D603" s="19">
        <v>1639.37</v>
      </c>
      <c r="E603" s="19">
        <v>2413.6799999999998</v>
      </c>
      <c r="F603" s="19">
        <v>1954.36</v>
      </c>
      <c r="G603" s="19">
        <v>1454.71</v>
      </c>
      <c r="H603" s="10">
        <f t="shared" si="188"/>
        <v>4.7388220476616623E-2</v>
      </c>
      <c r="I603" s="10">
        <f t="shared" si="189"/>
        <v>0.67919939677173446</v>
      </c>
      <c r="J603" s="10">
        <f t="shared" si="190"/>
        <v>1.3434705198974366</v>
      </c>
      <c r="K603" s="4">
        <f t="shared" ref="K603:K671" si="196">-4.3 -4.5*(C603/E603)+5.7*(D603/E603)-0.004*(F603/G603)</f>
        <v>-0.64718431262547804</v>
      </c>
      <c r="L603" s="10">
        <f t="shared" si="182"/>
        <v>0.67919939677173446</v>
      </c>
      <c r="M603" s="19">
        <v>-43.59</v>
      </c>
      <c r="N603" s="19">
        <v>-41.03</v>
      </c>
      <c r="O603" s="19">
        <v>155.66</v>
      </c>
      <c r="P603" s="11">
        <v>1.2999999999999999E-3</v>
      </c>
      <c r="Q603" s="11">
        <v>3.5500000000000002E-3</v>
      </c>
      <c r="R603" s="12">
        <f t="shared" si="185"/>
        <v>-1.8059560505120816E-2</v>
      </c>
      <c r="S603" s="12">
        <f t="shared" si="186"/>
        <v>-1.6998939378873753E-2</v>
      </c>
      <c r="T603" s="12">
        <f t="shared" si="187"/>
        <v>6.4490736137350443E-2</v>
      </c>
      <c r="U603" s="12">
        <f t="shared" si="169"/>
        <v>-2.3477428656657058E-5</v>
      </c>
      <c r="V603" s="12">
        <f t="shared" si="156"/>
        <v>-2.2098621192535877E-5</v>
      </c>
      <c r="W603" s="12">
        <f t="shared" si="157"/>
        <v>8.3837956978555567E-5</v>
      </c>
      <c r="X603" s="12">
        <f t="shared" si="158"/>
        <v>-6.4111439793178895E-5</v>
      </c>
      <c r="Y603" s="12">
        <f t="shared" si="159"/>
        <v>-6.0346234795001829E-5</v>
      </c>
      <c r="Z603" s="12">
        <f t="shared" si="160"/>
        <v>2.2894211328759409E-4</v>
      </c>
    </row>
    <row r="604" spans="1:26" ht="13">
      <c r="A604" s="22" t="str">
        <f t="shared" si="195"/>
        <v>LGL</v>
      </c>
      <c r="B604" s="9">
        <v>2019</v>
      </c>
      <c r="C604" s="19">
        <v>68.75</v>
      </c>
      <c r="D604" s="19">
        <v>1013.2</v>
      </c>
      <c r="E604" s="19">
        <v>1772.73</v>
      </c>
      <c r="F604" s="19">
        <v>1115.69</v>
      </c>
      <c r="G604" s="19">
        <v>997.9</v>
      </c>
      <c r="H604" s="10">
        <f t="shared" si="188"/>
        <v>3.8781991617448795E-2</v>
      </c>
      <c r="I604" s="10">
        <f t="shared" si="189"/>
        <v>0.57154783864435077</v>
      </c>
      <c r="J604" s="10">
        <f t="shared" si="190"/>
        <v>1.1180378795470489</v>
      </c>
      <c r="K604" s="4">
        <f t="shared" si="196"/>
        <v>-1.2211684335239086</v>
      </c>
      <c r="L604" s="10">
        <f t="shared" si="182"/>
        <v>0.57154783864435077</v>
      </c>
      <c r="M604" s="19">
        <v>447.93</v>
      </c>
      <c r="N604" s="19">
        <v>-128.61000000000001</v>
      </c>
      <c r="O604" s="19">
        <v>-471.08</v>
      </c>
      <c r="P604" s="11">
        <v>0.03</v>
      </c>
      <c r="Q604" s="11">
        <v>9.5E-4</v>
      </c>
      <c r="R604" s="12">
        <f t="shared" si="185"/>
        <v>0.25267807280296489</v>
      </c>
      <c r="S604" s="12">
        <f t="shared" si="186"/>
        <v>-7.2549119155201305E-2</v>
      </c>
      <c r="T604" s="12">
        <f t="shared" si="187"/>
        <v>-0.26573702707124042</v>
      </c>
      <c r="U604" s="12">
        <f t="shared" si="169"/>
        <v>7.5803421840889467E-3</v>
      </c>
      <c r="V604" s="12">
        <f t="shared" si="156"/>
        <v>-2.1764735746560393E-3</v>
      </c>
      <c r="W604" s="12">
        <f t="shared" si="157"/>
        <v>-7.9721108121372126E-3</v>
      </c>
      <c r="X604" s="12">
        <f t="shared" si="158"/>
        <v>2.4004416916281664E-4</v>
      </c>
      <c r="Y604" s="12">
        <f t="shared" si="159"/>
        <v>-6.8921663197441245E-5</v>
      </c>
      <c r="Z604" s="12">
        <f t="shared" si="160"/>
        <v>-2.524501757176784E-4</v>
      </c>
    </row>
    <row r="605" spans="1:26" ht="13">
      <c r="A605" s="22" t="str">
        <f t="shared" si="195"/>
        <v>LGL</v>
      </c>
      <c r="B605" s="9">
        <v>2020</v>
      </c>
      <c r="C605" s="19">
        <v>4.03</v>
      </c>
      <c r="D605" s="19">
        <v>1054.69</v>
      </c>
      <c r="E605" s="19">
        <v>1807.95</v>
      </c>
      <c r="F605" s="19">
        <v>1099.31</v>
      </c>
      <c r="G605" s="19">
        <v>891.32</v>
      </c>
      <c r="H605" s="10">
        <f t="shared" si="188"/>
        <v>2.2290439447993585E-3</v>
      </c>
      <c r="I605" s="10">
        <f t="shared" si="189"/>
        <v>0.58336237174700634</v>
      </c>
      <c r="J605" s="10">
        <f t="shared" si="190"/>
        <v>1.2333505362832651</v>
      </c>
      <c r="K605" s="4">
        <f t="shared" si="196"/>
        <v>-0.98979858093879391</v>
      </c>
      <c r="L605" s="10">
        <f t="shared" si="182"/>
        <v>0.58336237174700634</v>
      </c>
      <c r="M605" s="19">
        <v>156.97</v>
      </c>
      <c r="N605" s="19">
        <v>-34.840000000000003</v>
      </c>
      <c r="O605" s="19">
        <v>-71.81</v>
      </c>
      <c r="P605" s="11">
        <v>3.5299999999999998E-2</v>
      </c>
      <c r="Q605" s="11">
        <v>2.8649999999999998E-2</v>
      </c>
      <c r="R605" s="12">
        <f t="shared" si="185"/>
        <v>8.6822091318897093E-2</v>
      </c>
      <c r="S605" s="12">
        <f t="shared" si="186"/>
        <v>-1.9270444426007359E-2</v>
      </c>
      <c r="T605" s="12">
        <f t="shared" si="187"/>
        <v>-3.9719018778174173E-2</v>
      </c>
      <c r="U605" s="12">
        <f t="shared" si="169"/>
        <v>3.064819823557067E-3</v>
      </c>
      <c r="V605" s="12">
        <f t="shared" si="156"/>
        <v>-6.8024668823805977E-4</v>
      </c>
      <c r="W605" s="12">
        <f t="shared" si="157"/>
        <v>-1.4020813628695481E-3</v>
      </c>
      <c r="X605" s="12">
        <f t="shared" si="158"/>
        <v>2.4874529162864016E-3</v>
      </c>
      <c r="Y605" s="12">
        <f t="shared" si="159"/>
        <v>-5.520982328051108E-4</v>
      </c>
      <c r="Z605" s="12">
        <f t="shared" si="160"/>
        <v>-1.13794988799469E-3</v>
      </c>
    </row>
    <row r="606" spans="1:26" ht="13">
      <c r="A606" s="22" t="str">
        <f t="shared" si="195"/>
        <v>LGL</v>
      </c>
      <c r="B606" s="9">
        <v>2021</v>
      </c>
      <c r="C606" s="19">
        <v>4.5999999999999996</v>
      </c>
      <c r="D606" s="19">
        <v>951.22</v>
      </c>
      <c r="E606" s="19">
        <v>1696.38</v>
      </c>
      <c r="F606" s="19">
        <v>1101.67</v>
      </c>
      <c r="G606" s="19">
        <v>895.89</v>
      </c>
      <c r="H606" s="10">
        <f t="shared" si="188"/>
        <v>2.7116565863780518E-3</v>
      </c>
      <c r="I606" s="10">
        <f t="shared" si="189"/>
        <v>0.56073521262924575</v>
      </c>
      <c r="J606" s="10">
        <f t="shared" si="190"/>
        <v>1.2296933775351886</v>
      </c>
      <c r="K606" s="4">
        <f t="shared" si="196"/>
        <v>-1.120930516162141</v>
      </c>
      <c r="L606" s="10">
        <f t="shared" si="182"/>
        <v>0.56073521262924575</v>
      </c>
      <c r="M606" s="19">
        <v>20.29</v>
      </c>
      <c r="N606" s="19">
        <v>4.79</v>
      </c>
      <c r="O606" s="19">
        <v>-71.88</v>
      </c>
      <c r="P606" s="11">
        <v>2.2100000000000002E-2</v>
      </c>
      <c r="Q606" s="11">
        <v>2.8649999999999998E-2</v>
      </c>
      <c r="R606" s="12">
        <f t="shared" si="185"/>
        <v>1.1960763508176233E-2</v>
      </c>
      <c r="S606" s="12">
        <f t="shared" si="186"/>
        <v>2.8236597932067104E-3</v>
      </c>
      <c r="T606" s="12">
        <f t="shared" si="187"/>
        <v>-4.237258161496834E-2</v>
      </c>
      <c r="U606" s="12">
        <f t="shared" si="169"/>
        <v>2.6433287353069476E-4</v>
      </c>
      <c r="V606" s="12">
        <f t="shared" si="156"/>
        <v>6.2402881429868306E-5</v>
      </c>
      <c r="W606" s="12">
        <f t="shared" si="157"/>
        <v>-9.3643405369080038E-4</v>
      </c>
      <c r="X606" s="12">
        <f t="shared" si="158"/>
        <v>3.4267587450924905E-4</v>
      </c>
      <c r="Y606" s="12">
        <f t="shared" si="159"/>
        <v>8.0897853075372246E-5</v>
      </c>
      <c r="Z606" s="12">
        <f t="shared" si="160"/>
        <v>-1.2139744632688428E-3</v>
      </c>
    </row>
    <row r="607" spans="1:26" ht="13">
      <c r="A607" s="21" t="s">
        <v>139</v>
      </c>
      <c r="B607" s="9">
        <v>2017</v>
      </c>
      <c r="C607" s="19">
        <v>147.74</v>
      </c>
      <c r="D607" s="19">
        <v>303.97000000000003</v>
      </c>
      <c r="E607" s="19">
        <v>776.69</v>
      </c>
      <c r="F607" s="19">
        <v>397.59</v>
      </c>
      <c r="G607" s="19">
        <v>230.29</v>
      </c>
      <c r="H607" s="10">
        <f t="shared" si="188"/>
        <v>0.19021746127798736</v>
      </c>
      <c r="I607" s="10">
        <f t="shared" si="189"/>
        <v>0.39136592462887382</v>
      </c>
      <c r="J607" s="10">
        <f t="shared" si="190"/>
        <v>1.7264753137348561</v>
      </c>
      <c r="K607" s="4">
        <f t="shared" si="196"/>
        <v>-2.9320987066213013</v>
      </c>
      <c r="L607" s="10">
        <f t="shared" si="182"/>
        <v>0.39136592462887382</v>
      </c>
      <c r="M607" s="19">
        <v>198.63</v>
      </c>
      <c r="N607" s="19">
        <v>-66.25</v>
      </c>
      <c r="O607" s="19">
        <v>-129.97</v>
      </c>
      <c r="P607" s="11">
        <v>0.24410000000000001</v>
      </c>
      <c r="Q607" s="11">
        <v>0</v>
      </c>
      <c r="R607" s="12">
        <f t="shared" si="185"/>
        <v>0.25573909796701383</v>
      </c>
      <c r="S607" s="12">
        <f t="shared" si="186"/>
        <v>-8.529786658769907E-2</v>
      </c>
      <c r="T607" s="12">
        <f t="shared" si="187"/>
        <v>-0.16733832030797358</v>
      </c>
      <c r="U607" s="12">
        <f t="shared" si="169"/>
        <v>6.2425913813748075E-2</v>
      </c>
      <c r="V607" s="12">
        <f t="shared" si="156"/>
        <v>-2.0821209234057343E-2</v>
      </c>
      <c r="W607" s="12">
        <f t="shared" si="157"/>
        <v>-4.0847283987176353E-2</v>
      </c>
      <c r="X607" s="12">
        <f t="shared" si="158"/>
        <v>0</v>
      </c>
      <c r="Y607" s="12">
        <f t="shared" si="159"/>
        <v>0</v>
      </c>
      <c r="Z607" s="12">
        <f t="shared" si="160"/>
        <v>0</v>
      </c>
    </row>
    <row r="608" spans="1:26" ht="13">
      <c r="A608" s="22" t="str">
        <f t="shared" ref="A608:A611" si="197">A607</f>
        <v>LIX</v>
      </c>
      <c r="B608" s="9">
        <v>2018</v>
      </c>
      <c r="C608" s="19">
        <v>147.6</v>
      </c>
      <c r="D608" s="19">
        <v>307.93</v>
      </c>
      <c r="E608" s="19">
        <v>780.22</v>
      </c>
      <c r="F608" s="19">
        <v>405.46</v>
      </c>
      <c r="G608" s="19">
        <v>244.27</v>
      </c>
      <c r="H608" s="10">
        <f t="shared" si="188"/>
        <v>0.18917741149932069</v>
      </c>
      <c r="I608" s="10">
        <f t="shared" si="189"/>
        <v>0.39467073389556789</v>
      </c>
      <c r="J608" s="10">
        <f t="shared" si="190"/>
        <v>1.6598845539771563</v>
      </c>
      <c r="K608" s="4">
        <f t="shared" si="196"/>
        <v>-2.908314706758115</v>
      </c>
      <c r="L608" s="10">
        <f t="shared" si="182"/>
        <v>0.39467073389556789</v>
      </c>
      <c r="M608" s="19">
        <v>125.2</v>
      </c>
      <c r="N608" s="19">
        <v>-35.08</v>
      </c>
      <c r="O608" s="19">
        <v>-136.08000000000001</v>
      </c>
      <c r="P608" s="11">
        <v>0.23380000000000001</v>
      </c>
      <c r="Q608" s="11">
        <v>8.0000000000000004E-4</v>
      </c>
      <c r="R608" s="12">
        <f t="shared" si="185"/>
        <v>0.16046756043167312</v>
      </c>
      <c r="S608" s="12">
        <f t="shared" si="186"/>
        <v>-4.4961677475583807E-2</v>
      </c>
      <c r="T608" s="12">
        <f t="shared" si="187"/>
        <v>-0.17441234523595911</v>
      </c>
      <c r="U608" s="12">
        <f t="shared" si="169"/>
        <v>3.7517315628925178E-2</v>
      </c>
      <c r="V608" s="12">
        <f t="shared" si="156"/>
        <v>-1.0512040193791495E-2</v>
      </c>
      <c r="W608" s="12">
        <f t="shared" si="157"/>
        <v>-4.0777606316167239E-2</v>
      </c>
      <c r="X608" s="12">
        <f t="shared" si="158"/>
        <v>1.283740483453385E-4</v>
      </c>
      <c r="Y608" s="12">
        <f t="shared" si="159"/>
        <v>-3.596934198046705E-5</v>
      </c>
      <c r="Z608" s="12">
        <f t="shared" si="160"/>
        <v>-1.3952987618876729E-4</v>
      </c>
    </row>
    <row r="609" spans="1:26" ht="13">
      <c r="A609" s="22" t="str">
        <f t="shared" si="197"/>
        <v>LIX</v>
      </c>
      <c r="B609" s="9">
        <v>2019</v>
      </c>
      <c r="C609" s="19">
        <v>178.8</v>
      </c>
      <c r="D609" s="19">
        <v>341.5</v>
      </c>
      <c r="E609" s="19">
        <v>896.7</v>
      </c>
      <c r="F609" s="19">
        <v>513.37</v>
      </c>
      <c r="G609" s="19">
        <v>280.20999999999998</v>
      </c>
      <c r="H609" s="10">
        <f t="shared" si="188"/>
        <v>0.1993977919036467</v>
      </c>
      <c r="I609" s="10">
        <f t="shared" si="189"/>
        <v>0.38084086093453773</v>
      </c>
      <c r="J609" s="10">
        <f t="shared" si="190"/>
        <v>1.8320902180507479</v>
      </c>
      <c r="K609" s="4">
        <f t="shared" si="196"/>
        <v>-3.0338255171117474</v>
      </c>
      <c r="L609" s="10">
        <f t="shared" si="182"/>
        <v>0.38084086093453773</v>
      </c>
      <c r="M609" s="19">
        <v>165.92</v>
      </c>
      <c r="N609" s="19">
        <v>-41.75</v>
      </c>
      <c r="O609" s="19">
        <v>-81</v>
      </c>
      <c r="P609" s="11">
        <v>0.13769999999999999</v>
      </c>
      <c r="Q609" s="11">
        <v>0</v>
      </c>
      <c r="R609" s="12">
        <f t="shared" si="185"/>
        <v>0.18503401360544217</v>
      </c>
      <c r="S609" s="12">
        <f t="shared" si="186"/>
        <v>-4.6559607449537188E-2</v>
      </c>
      <c r="T609" s="12">
        <f t="shared" si="187"/>
        <v>-9.0331214452994302E-2</v>
      </c>
      <c r="U609" s="12">
        <f t="shared" si="169"/>
        <v>2.5479183673469383E-2</v>
      </c>
      <c r="V609" s="12">
        <f t="shared" si="156"/>
        <v>-6.4112579458012707E-3</v>
      </c>
      <c r="W609" s="12">
        <f t="shared" si="157"/>
        <v>-1.2438608230177315E-2</v>
      </c>
      <c r="X609" s="12">
        <f t="shared" si="158"/>
        <v>0</v>
      </c>
      <c r="Y609" s="12">
        <f t="shared" si="159"/>
        <v>0</v>
      </c>
      <c r="Z609" s="12">
        <f t="shared" si="160"/>
        <v>0</v>
      </c>
    </row>
    <row r="610" spans="1:26" ht="13">
      <c r="A610" s="22" t="str">
        <f t="shared" si="197"/>
        <v>LIX</v>
      </c>
      <c r="B610" s="9">
        <v>2020</v>
      </c>
      <c r="C610" s="19">
        <v>230.11</v>
      </c>
      <c r="D610" s="19">
        <v>380.17</v>
      </c>
      <c r="E610" s="19">
        <v>1017.67</v>
      </c>
      <c r="F610" s="19">
        <v>557.21</v>
      </c>
      <c r="G610" s="19">
        <v>372.27</v>
      </c>
      <c r="H610" s="10">
        <f t="shared" si="188"/>
        <v>0.22611455579903114</v>
      </c>
      <c r="I610" s="10">
        <f t="shared" si="189"/>
        <v>0.37356903514891865</v>
      </c>
      <c r="J610" s="10">
        <f t="shared" si="190"/>
        <v>1.4967899642732427</v>
      </c>
      <c r="K610" s="4">
        <f t="shared" si="196"/>
        <v>-3.1941591606038964</v>
      </c>
      <c r="L610" s="10">
        <f t="shared" si="182"/>
        <v>0.37356903514891865</v>
      </c>
      <c r="M610" s="19">
        <v>127.81</v>
      </c>
      <c r="N610" s="19">
        <v>-112.04</v>
      </c>
      <c r="O610" s="19">
        <v>-129.6</v>
      </c>
      <c r="P610" s="11">
        <v>0.12</v>
      </c>
      <c r="Q610" s="11">
        <v>0</v>
      </c>
      <c r="R610" s="12">
        <f t="shared" si="185"/>
        <v>0.12559081038057524</v>
      </c>
      <c r="S610" s="12">
        <f t="shared" si="186"/>
        <v>-0.11009462792457281</v>
      </c>
      <c r="T610" s="12">
        <f t="shared" si="187"/>
        <v>-0.12734973026619631</v>
      </c>
      <c r="U610" s="12">
        <f t="shared" si="169"/>
        <v>1.5070897245669028E-2</v>
      </c>
      <c r="V610" s="12">
        <f t="shared" si="156"/>
        <v>-1.3211355350948736E-2</v>
      </c>
      <c r="W610" s="12">
        <f t="shared" si="157"/>
        <v>-1.5281967631943557E-2</v>
      </c>
      <c r="X610" s="12">
        <f t="shared" si="158"/>
        <v>0</v>
      </c>
      <c r="Y610" s="12">
        <f t="shared" si="159"/>
        <v>0</v>
      </c>
      <c r="Z610" s="12">
        <f t="shared" si="160"/>
        <v>0</v>
      </c>
    </row>
    <row r="611" spans="1:26" ht="13">
      <c r="A611" s="22" t="str">
        <f t="shared" si="197"/>
        <v>LIX</v>
      </c>
      <c r="B611" s="9">
        <v>2021</v>
      </c>
      <c r="C611" s="19">
        <v>167.37</v>
      </c>
      <c r="D611" s="19">
        <v>418.54</v>
      </c>
      <c r="E611" s="19">
        <v>1167.6400000000001</v>
      </c>
      <c r="F611" s="19">
        <v>698.24</v>
      </c>
      <c r="G611" s="19">
        <v>410.2</v>
      </c>
      <c r="H611" s="10">
        <f t="shared" si="188"/>
        <v>0.1433404131410366</v>
      </c>
      <c r="I611" s="10">
        <f t="shared" si="189"/>
        <v>0.35844952211298003</v>
      </c>
      <c r="J611" s="10">
        <f t="shared" si="190"/>
        <v>1.7021940516821064</v>
      </c>
      <c r="K611" s="4">
        <f t="shared" si="196"/>
        <v>-2.9086783592974061</v>
      </c>
      <c r="L611" s="10">
        <f t="shared" si="182"/>
        <v>0.35844952211298003</v>
      </c>
      <c r="M611" s="19">
        <v>213</v>
      </c>
      <c r="N611" s="19">
        <v>-53.65</v>
      </c>
      <c r="O611" s="19">
        <v>-32.4</v>
      </c>
      <c r="P611" s="11">
        <v>8.9499999999999996E-2</v>
      </c>
      <c r="Q611" s="11">
        <v>0</v>
      </c>
      <c r="R611" s="12">
        <f t="shared" si="185"/>
        <v>0.18241923880648142</v>
      </c>
      <c r="S611" s="12">
        <f t="shared" si="186"/>
        <v>-4.5947381042102012E-2</v>
      </c>
      <c r="T611" s="12">
        <f t="shared" si="187"/>
        <v>-2.7748278579014077E-2</v>
      </c>
      <c r="U611" s="12">
        <f t="shared" si="169"/>
        <v>1.6326521873180087E-2</v>
      </c>
      <c r="V611" s="12">
        <f t="shared" si="156"/>
        <v>-4.1122906032681301E-3</v>
      </c>
      <c r="W611" s="12">
        <f t="shared" si="157"/>
        <v>-2.4834709328217597E-3</v>
      </c>
      <c r="X611" s="12">
        <f t="shared" si="158"/>
        <v>0</v>
      </c>
      <c r="Y611" s="12">
        <f t="shared" si="159"/>
        <v>0</v>
      </c>
      <c r="Z611" s="12">
        <f t="shared" si="160"/>
        <v>0</v>
      </c>
    </row>
    <row r="612" spans="1:26" ht="13">
      <c r="A612" s="21" t="s">
        <v>140</v>
      </c>
      <c r="B612" s="9">
        <v>2017</v>
      </c>
      <c r="C612" s="19">
        <v>24.65</v>
      </c>
      <c r="D612" s="19">
        <v>1519.18</v>
      </c>
      <c r="E612" s="19">
        <v>1802.81</v>
      </c>
      <c r="F612" s="19">
        <v>1522.19</v>
      </c>
      <c r="G612" s="19">
        <v>1473.65</v>
      </c>
      <c r="H612" s="10">
        <f t="shared" si="188"/>
        <v>1.3673099217332941E-2</v>
      </c>
      <c r="I612" s="10">
        <f t="shared" si="189"/>
        <v>0.84267338210904097</v>
      </c>
      <c r="J612" s="10">
        <f t="shared" si="190"/>
        <v>1.0329386217894343</v>
      </c>
      <c r="K612" s="4">
        <f t="shared" si="196"/>
        <v>0.43757757705637745</v>
      </c>
      <c r="L612" s="10">
        <f t="shared" si="182"/>
        <v>0.84267338210904097</v>
      </c>
      <c r="M612" s="19">
        <v>-60.41</v>
      </c>
      <c r="N612" s="19">
        <v>0.68</v>
      </c>
      <c r="O612" s="19">
        <v>7.89</v>
      </c>
      <c r="P612" s="11">
        <v>0.1032</v>
      </c>
      <c r="Q612" s="11">
        <v>1.023E-2</v>
      </c>
      <c r="R612" s="12">
        <f t="shared" si="185"/>
        <v>-3.3508800150875574E-2</v>
      </c>
      <c r="S612" s="12">
        <f t="shared" si="186"/>
        <v>3.7718894392642599E-4</v>
      </c>
      <c r="T612" s="12">
        <f t="shared" si="187"/>
        <v>4.3765011287933836E-3</v>
      </c>
      <c r="U612" s="12">
        <f t="shared" si="169"/>
        <v>-3.4581081755703591E-3</v>
      </c>
      <c r="V612" s="12">
        <f t="shared" si="156"/>
        <v>3.8925899013207165E-5</v>
      </c>
      <c r="W612" s="12">
        <f t="shared" si="157"/>
        <v>4.5165491649147717E-4</v>
      </c>
      <c r="X612" s="12">
        <f t="shared" si="158"/>
        <v>-3.4279502554345712E-4</v>
      </c>
      <c r="Y612" s="12">
        <f t="shared" si="159"/>
        <v>3.8586428963673374E-6</v>
      </c>
      <c r="Z612" s="12">
        <f t="shared" si="160"/>
        <v>4.477160654755631E-5</v>
      </c>
    </row>
    <row r="613" spans="1:26" ht="13">
      <c r="A613" s="22" t="str">
        <f t="shared" ref="A613:A616" si="198">A612</f>
        <v>LM8</v>
      </c>
      <c r="B613" s="9">
        <v>2018</v>
      </c>
      <c r="C613" s="19">
        <v>17.559999999999999</v>
      </c>
      <c r="D613" s="19">
        <v>1665.19</v>
      </c>
      <c r="E613" s="19">
        <v>1950.65</v>
      </c>
      <c r="F613" s="19">
        <v>1688.72</v>
      </c>
      <c r="G613" s="19">
        <v>1622.74</v>
      </c>
      <c r="H613" s="10">
        <f t="shared" si="188"/>
        <v>9.0021274959628823E-3</v>
      </c>
      <c r="I613" s="10">
        <f t="shared" si="189"/>
        <v>0.85365903673134591</v>
      </c>
      <c r="J613" s="10">
        <f t="shared" si="190"/>
        <v>1.0406596250785709</v>
      </c>
      <c r="K613" s="4">
        <f t="shared" si="196"/>
        <v>0.5211842971365247</v>
      </c>
      <c r="L613" s="10">
        <f t="shared" si="182"/>
        <v>0.85365903673134591</v>
      </c>
      <c r="M613" s="19">
        <v>35.65</v>
      </c>
      <c r="N613" s="19">
        <v>21</v>
      </c>
      <c r="O613" s="19">
        <v>-27.32</v>
      </c>
      <c r="P613" s="11">
        <v>9.01E-2</v>
      </c>
      <c r="Q613" s="11">
        <v>1.023E-2</v>
      </c>
      <c r="R613" s="12">
        <f t="shared" si="185"/>
        <v>1.8275959295619409E-2</v>
      </c>
      <c r="S613" s="12">
        <f t="shared" si="186"/>
        <v>1.0765642221823494E-2</v>
      </c>
      <c r="T613" s="12">
        <f t="shared" si="187"/>
        <v>-1.4005587880962756E-2</v>
      </c>
      <c r="U613" s="12">
        <f t="shared" si="169"/>
        <v>1.6466639325353088E-3</v>
      </c>
      <c r="V613" s="12">
        <f t="shared" si="156"/>
        <v>9.699843641862968E-4</v>
      </c>
      <c r="W613" s="12">
        <f t="shared" si="157"/>
        <v>-1.2619034680747443E-3</v>
      </c>
      <c r="X613" s="12">
        <f t="shared" si="158"/>
        <v>1.8696306359418654E-4</v>
      </c>
      <c r="Y613" s="12">
        <f t="shared" si="159"/>
        <v>1.1013251992925434E-4</v>
      </c>
      <c r="Z613" s="12">
        <f t="shared" si="160"/>
        <v>-1.4327716402224899E-4</v>
      </c>
    </row>
    <row r="614" spans="1:26" ht="13">
      <c r="A614" s="22" t="str">
        <f t="shared" si="198"/>
        <v>LM8</v>
      </c>
      <c r="B614" s="9">
        <v>2019</v>
      </c>
      <c r="C614" s="19">
        <v>14.41</v>
      </c>
      <c r="D614" s="19">
        <v>1624.23</v>
      </c>
      <c r="E614" s="19">
        <v>1914.75</v>
      </c>
      <c r="F614" s="19">
        <v>1678.13</v>
      </c>
      <c r="G614" s="19">
        <v>1588.18</v>
      </c>
      <c r="H614" s="10">
        <f t="shared" si="188"/>
        <v>7.5257866562214388E-3</v>
      </c>
      <c r="I614" s="10">
        <f t="shared" si="189"/>
        <v>0.84827262044653351</v>
      </c>
      <c r="J614" s="10">
        <f t="shared" si="190"/>
        <v>1.0566371569973176</v>
      </c>
      <c r="K614" s="4">
        <f t="shared" si="196"/>
        <v>0.49706134796425611</v>
      </c>
      <c r="L614" s="10">
        <f t="shared" si="182"/>
        <v>0.84827262044653351</v>
      </c>
      <c r="M614" s="19">
        <v>-101.71</v>
      </c>
      <c r="N614" s="19">
        <v>10.94</v>
      </c>
      <c r="O614" s="19">
        <v>121.72</v>
      </c>
      <c r="P614" s="11">
        <v>1.77E-2</v>
      </c>
      <c r="Q614" s="11">
        <v>1.023E-2</v>
      </c>
      <c r="R614" s="12">
        <f t="shared" si="185"/>
        <v>-5.3119206162684424E-2</v>
      </c>
      <c r="S614" s="12">
        <f t="shared" si="186"/>
        <v>5.713539626583105E-3</v>
      </c>
      <c r="T614" s="12">
        <f t="shared" si="187"/>
        <v>6.3569656613134878E-2</v>
      </c>
      <c r="U614" s="12">
        <f t="shared" si="169"/>
        <v>-9.4020994907951432E-4</v>
      </c>
      <c r="V614" s="12">
        <f t="shared" si="156"/>
        <v>1.0112965139052096E-4</v>
      </c>
      <c r="W614" s="12">
        <f t="shared" si="157"/>
        <v>1.1251829220524873E-3</v>
      </c>
      <c r="X614" s="12">
        <f t="shared" si="158"/>
        <v>-5.4340947904426163E-4</v>
      </c>
      <c r="Y614" s="12">
        <f t="shared" si="159"/>
        <v>5.8449510379945164E-5</v>
      </c>
      <c r="Z614" s="12">
        <f t="shared" si="160"/>
        <v>6.5031758715236978E-4</v>
      </c>
    </row>
    <row r="615" spans="1:26" ht="13">
      <c r="A615" s="22" t="str">
        <f t="shared" si="198"/>
        <v>LM8</v>
      </c>
      <c r="B615" s="9">
        <v>2020</v>
      </c>
      <c r="C615" s="19">
        <v>5.93</v>
      </c>
      <c r="D615" s="19">
        <v>1285.8499999999999</v>
      </c>
      <c r="E615" s="19">
        <v>1576.73</v>
      </c>
      <c r="F615" s="19">
        <v>1352.99</v>
      </c>
      <c r="G615" s="19">
        <v>1264.9000000000001</v>
      </c>
      <c r="H615" s="10">
        <f t="shared" si="188"/>
        <v>3.7609482917176688E-3</v>
      </c>
      <c r="I615" s="10">
        <f t="shared" si="189"/>
        <v>0.8155169242673127</v>
      </c>
      <c r="J615" s="10">
        <f t="shared" si="190"/>
        <v>1.0696418689224443</v>
      </c>
      <c r="K615" s="4">
        <f t="shared" si="196"/>
        <v>0.32724363353526353</v>
      </c>
      <c r="L615" s="10">
        <f t="shared" si="182"/>
        <v>0.8155169242673127</v>
      </c>
      <c r="M615" s="19">
        <v>183.51</v>
      </c>
      <c r="N615" s="19">
        <v>21.96</v>
      </c>
      <c r="O615" s="19">
        <v>-268.87</v>
      </c>
      <c r="P615" s="11">
        <v>1.7600000000000001E-2</v>
      </c>
      <c r="Q615" s="11">
        <v>2.707E-2</v>
      </c>
      <c r="R615" s="12">
        <f t="shared" si="185"/>
        <v>0.11638644536477392</v>
      </c>
      <c r="S615" s="12">
        <f t="shared" si="186"/>
        <v>1.3927558935264758E-2</v>
      </c>
      <c r="T615" s="12">
        <f t="shared" si="187"/>
        <v>-0.17052380559766098</v>
      </c>
      <c r="U615" s="12">
        <f t="shared" si="169"/>
        <v>2.0484014384200212E-3</v>
      </c>
      <c r="V615" s="12">
        <f t="shared" si="156"/>
        <v>2.4512503726065974E-4</v>
      </c>
      <c r="W615" s="12">
        <f t="shared" si="157"/>
        <v>-3.0012189785188332E-3</v>
      </c>
      <c r="X615" s="12">
        <f t="shared" si="158"/>
        <v>3.1505810760244302E-3</v>
      </c>
      <c r="Y615" s="12">
        <f t="shared" si="159"/>
        <v>3.77019020377617E-4</v>
      </c>
      <c r="Z615" s="12">
        <f t="shared" si="160"/>
        <v>-4.616079417528683E-3</v>
      </c>
    </row>
    <row r="616" spans="1:26" ht="13">
      <c r="A616" s="22" t="str">
        <f t="shared" si="198"/>
        <v>LM8</v>
      </c>
      <c r="B616" s="9">
        <v>2021</v>
      </c>
      <c r="C616" s="19">
        <v>14.21</v>
      </c>
      <c r="D616" s="19">
        <v>1046.94</v>
      </c>
      <c r="E616" s="19">
        <v>1342.27</v>
      </c>
      <c r="F616" s="19">
        <v>1148.19</v>
      </c>
      <c r="G616" s="19">
        <v>1039.3399999999999</v>
      </c>
      <c r="H616" s="10">
        <f t="shared" si="188"/>
        <v>1.0586543690911665E-2</v>
      </c>
      <c r="I616" s="10">
        <f t="shared" si="189"/>
        <v>0.77997720279824478</v>
      </c>
      <c r="J616" s="10">
        <f t="shared" si="190"/>
        <v>1.104729924759944</v>
      </c>
      <c r="K616" s="4">
        <f t="shared" si="196"/>
        <v>9.3811689641852672E-2</v>
      </c>
      <c r="L616" s="10">
        <f t="shared" si="182"/>
        <v>0.77997720279824478</v>
      </c>
      <c r="M616" s="19">
        <v>80.67</v>
      </c>
      <c r="N616" s="19">
        <v>42.02</v>
      </c>
      <c r="O616" s="19">
        <v>-112.28</v>
      </c>
      <c r="P616" s="11">
        <v>1.83E-2</v>
      </c>
      <c r="Q616" s="11">
        <v>2.6190000000000001E-2</v>
      </c>
      <c r="R616" s="12">
        <f t="shared" si="185"/>
        <v>6.0099681882184661E-2</v>
      </c>
      <c r="S616" s="12">
        <f t="shared" si="186"/>
        <v>3.1305177050816903E-2</v>
      </c>
      <c r="T616" s="12">
        <f t="shared" si="187"/>
        <v>-8.3649340296661628E-2</v>
      </c>
      <c r="U616" s="12">
        <f t="shared" si="169"/>
        <v>1.0998241784439793E-3</v>
      </c>
      <c r="V616" s="12">
        <f t="shared" si="156"/>
        <v>5.7288474002994928E-4</v>
      </c>
      <c r="W616" s="12">
        <f t="shared" si="157"/>
        <v>-1.5307829274289078E-3</v>
      </c>
      <c r="X616" s="12">
        <f t="shared" si="158"/>
        <v>1.5740106684944163E-3</v>
      </c>
      <c r="Y616" s="12">
        <f t="shared" si="159"/>
        <v>8.1988258696089468E-4</v>
      </c>
      <c r="Z616" s="12">
        <f t="shared" si="160"/>
        <v>-2.1907762223695683E-3</v>
      </c>
    </row>
    <row r="617" spans="1:26" ht="13">
      <c r="A617" s="21" t="s">
        <v>141</v>
      </c>
      <c r="B617" s="9">
        <v>2017</v>
      </c>
      <c r="C617" s="19">
        <v>69.459999999999994</v>
      </c>
      <c r="D617" s="19">
        <v>1066.7</v>
      </c>
      <c r="E617" s="19">
        <v>2687.49</v>
      </c>
      <c r="F617" s="19">
        <v>1215.7</v>
      </c>
      <c r="G617" s="19">
        <v>984.16</v>
      </c>
      <c r="H617" s="10">
        <f t="shared" si="188"/>
        <v>2.5845677565311871E-2</v>
      </c>
      <c r="I617" s="10">
        <f t="shared" si="189"/>
        <v>0.39691310479294811</v>
      </c>
      <c r="J617" s="10">
        <f t="shared" si="190"/>
        <v>1.2352666233132825</v>
      </c>
      <c r="K617" s="4">
        <f t="shared" si="196"/>
        <v>-2.1588419182173522</v>
      </c>
      <c r="L617" s="10">
        <f t="shared" si="182"/>
        <v>0.39691310479294811</v>
      </c>
      <c r="M617" s="19">
        <v>-43.55</v>
      </c>
      <c r="N617" s="19">
        <v>-50.45</v>
      </c>
      <c r="O617" s="19">
        <v>191.07</v>
      </c>
      <c r="P617" s="11">
        <v>5.3900000000000003E-2</v>
      </c>
      <c r="Q617" s="11">
        <v>9.1E-4</v>
      </c>
      <c r="R617" s="12">
        <f t="shared" si="185"/>
        <v>-1.6204711459391476E-2</v>
      </c>
      <c r="S617" s="12">
        <f t="shared" si="186"/>
        <v>-1.8772162873164182E-2</v>
      </c>
      <c r="T617" s="12">
        <f t="shared" si="187"/>
        <v>7.1096078497036266E-2</v>
      </c>
      <c r="U617" s="12">
        <f t="shared" si="169"/>
        <v>-8.7343394766120066E-4</v>
      </c>
      <c r="V617" s="12">
        <f t="shared" si="156"/>
        <v>-1.0118195788635495E-3</v>
      </c>
      <c r="W617" s="12">
        <f t="shared" si="157"/>
        <v>3.8320786309902549E-3</v>
      </c>
      <c r="X617" s="12">
        <f t="shared" si="158"/>
        <v>-1.4746287428046244E-5</v>
      </c>
      <c r="Y617" s="12">
        <f t="shared" si="159"/>
        <v>-1.7082668214579406E-5</v>
      </c>
      <c r="Z617" s="12">
        <f t="shared" si="160"/>
        <v>6.4697431432303004E-5</v>
      </c>
    </row>
    <row r="618" spans="1:26" ht="13">
      <c r="A618" s="22" t="str">
        <f t="shared" ref="A618:A621" si="199">A617</f>
        <v>LSS</v>
      </c>
      <c r="B618" s="9">
        <v>2018</v>
      </c>
      <c r="C618" s="19">
        <v>-21.66</v>
      </c>
      <c r="D618" s="19">
        <v>887.66</v>
      </c>
      <c r="E618" s="19">
        <v>2383.81</v>
      </c>
      <c r="F618" s="19">
        <v>914.48</v>
      </c>
      <c r="G618" s="19">
        <v>813.99</v>
      </c>
      <c r="H618" s="10">
        <f t="shared" si="188"/>
        <v>-9.0862946291860505E-3</v>
      </c>
      <c r="I618" s="10">
        <f t="shared" si="189"/>
        <v>0.37237028118851756</v>
      </c>
      <c r="J618" s="10">
        <f t="shared" si="190"/>
        <v>1.1234536050811434</v>
      </c>
      <c r="K618" s="4">
        <f t="shared" si="196"/>
        <v>-2.1410948858144376</v>
      </c>
      <c r="L618" s="10">
        <f t="shared" si="182"/>
        <v>0.37237028118851756</v>
      </c>
      <c r="M618" s="19">
        <v>216.87</v>
      </c>
      <c r="N618" s="19">
        <v>-92.86</v>
      </c>
      <c r="O618" s="19">
        <v>-279.39999999999998</v>
      </c>
      <c r="P618" s="11">
        <v>1.9300000000000001E-2</v>
      </c>
      <c r="Q618" s="11">
        <v>1.97E-3</v>
      </c>
      <c r="R618" s="12">
        <f t="shared" si="185"/>
        <v>9.0976210352335135E-2</v>
      </c>
      <c r="S618" s="12">
        <f t="shared" si="186"/>
        <v>-3.8954446872863188E-2</v>
      </c>
      <c r="T618" s="12">
        <f t="shared" si="187"/>
        <v>-0.11720732776521618</v>
      </c>
      <c r="U618" s="12">
        <f t="shared" si="169"/>
        <v>1.7558408598000682E-3</v>
      </c>
      <c r="V618" s="12">
        <f t="shared" si="156"/>
        <v>-7.5182082464625953E-4</v>
      </c>
      <c r="W618" s="12">
        <f t="shared" si="157"/>
        <v>-2.2621014258686727E-3</v>
      </c>
      <c r="X618" s="12">
        <f t="shared" si="158"/>
        <v>1.7922313439410021E-4</v>
      </c>
      <c r="Y618" s="12">
        <f t="shared" si="159"/>
        <v>-7.674026033954048E-5</v>
      </c>
      <c r="Z618" s="12">
        <f t="shared" si="160"/>
        <v>-2.3089843569747587E-4</v>
      </c>
    </row>
    <row r="619" spans="1:26" ht="13">
      <c r="A619" s="22" t="str">
        <f t="shared" si="199"/>
        <v>LSS</v>
      </c>
      <c r="B619" s="9">
        <v>2019</v>
      </c>
      <c r="C619" s="19">
        <v>21.19</v>
      </c>
      <c r="D619" s="19">
        <v>722.45</v>
      </c>
      <c r="E619" s="19">
        <v>2219.23</v>
      </c>
      <c r="F619" s="19">
        <v>655.21</v>
      </c>
      <c r="G619" s="19">
        <v>666.56</v>
      </c>
      <c r="H619" s="10">
        <f t="shared" si="188"/>
        <v>9.5483568625153777E-3</v>
      </c>
      <c r="I619" s="10">
        <f t="shared" si="189"/>
        <v>0.32554084074205919</v>
      </c>
      <c r="J619" s="10">
        <f t="shared" si="190"/>
        <v>0.98297227556409039</v>
      </c>
      <c r="K619" s="4">
        <f t="shared" si="196"/>
        <v>-2.4913167027538381</v>
      </c>
      <c r="L619" s="10">
        <f t="shared" si="182"/>
        <v>0.32554084074205919</v>
      </c>
      <c r="M619" s="19">
        <v>370.83</v>
      </c>
      <c r="N619" s="19">
        <v>-215.27</v>
      </c>
      <c r="O619" s="19">
        <v>-152.29</v>
      </c>
      <c r="P619" s="11">
        <v>1.78E-2</v>
      </c>
      <c r="Q619" s="11">
        <v>2.1099999999999999E-3</v>
      </c>
      <c r="R619" s="12">
        <f t="shared" si="185"/>
        <v>0.16709849812772898</v>
      </c>
      <c r="S619" s="12">
        <f t="shared" si="186"/>
        <v>-9.7002113345619881E-2</v>
      </c>
      <c r="T619" s="12">
        <f t="shared" si="187"/>
        <v>-6.8622900735840806E-2</v>
      </c>
      <c r="U619" s="12">
        <f t="shared" si="169"/>
        <v>2.9743532666735759E-3</v>
      </c>
      <c r="V619" s="12">
        <f t="shared" si="156"/>
        <v>-1.7266376175520339E-3</v>
      </c>
      <c r="W619" s="12">
        <f t="shared" si="157"/>
        <v>-1.2214876330979662E-3</v>
      </c>
      <c r="X619" s="12">
        <f t="shared" si="158"/>
        <v>3.5257783104950815E-4</v>
      </c>
      <c r="Y619" s="12">
        <f t="shared" si="159"/>
        <v>-2.0467445915925794E-4</v>
      </c>
      <c r="Z619" s="12">
        <f t="shared" si="160"/>
        <v>-1.4479432055262409E-4</v>
      </c>
    </row>
    <row r="620" spans="1:26" ht="13">
      <c r="A620" s="22" t="str">
        <f t="shared" si="199"/>
        <v>LSS</v>
      </c>
      <c r="B620" s="9">
        <v>2020</v>
      </c>
      <c r="C620" s="19">
        <v>15.32</v>
      </c>
      <c r="D620" s="19">
        <v>814.65</v>
      </c>
      <c r="E620" s="19">
        <v>2325.04</v>
      </c>
      <c r="F620" s="19">
        <v>726.47</v>
      </c>
      <c r="G620" s="19">
        <v>731.74</v>
      </c>
      <c r="H620" s="10">
        <f t="shared" si="188"/>
        <v>6.5891339503836499E-3</v>
      </c>
      <c r="I620" s="10">
        <f t="shared" si="189"/>
        <v>0.35038106871279634</v>
      </c>
      <c r="J620" s="10">
        <f t="shared" si="190"/>
        <v>0.99279798835652011</v>
      </c>
      <c r="K620" s="4">
        <f t="shared" si="196"/>
        <v>-2.3364502030672125</v>
      </c>
      <c r="L620" s="10">
        <f t="shared" si="182"/>
        <v>0.35038106871279634</v>
      </c>
      <c r="M620" s="19">
        <v>200.79</v>
      </c>
      <c r="N620" s="19">
        <v>-241.04</v>
      </c>
      <c r="O620" s="19">
        <v>32.090000000000003</v>
      </c>
      <c r="P620" s="11">
        <v>1.8599999999999998E-2</v>
      </c>
      <c r="Q620" s="11">
        <v>2.1099999999999999E-3</v>
      </c>
      <c r="R620" s="12">
        <f t="shared" si="185"/>
        <v>8.6359804562502154E-2</v>
      </c>
      <c r="S620" s="12">
        <f t="shared" si="186"/>
        <v>-0.10367133468671506</v>
      </c>
      <c r="T620" s="12">
        <f t="shared" si="187"/>
        <v>1.3801913085366276E-2</v>
      </c>
      <c r="U620" s="12">
        <f t="shared" si="169"/>
        <v>1.60629236486254E-3</v>
      </c>
      <c r="V620" s="12">
        <f t="shared" si="156"/>
        <v>-1.9282868251729E-3</v>
      </c>
      <c r="W620" s="12">
        <f t="shared" si="157"/>
        <v>2.5671558338781269E-4</v>
      </c>
      <c r="X620" s="12">
        <f t="shared" si="158"/>
        <v>1.8221918762687954E-4</v>
      </c>
      <c r="Y620" s="12">
        <f t="shared" si="159"/>
        <v>-2.1874651618896876E-4</v>
      </c>
      <c r="Z620" s="12">
        <f t="shared" si="160"/>
        <v>2.9122036610122841E-5</v>
      </c>
    </row>
    <row r="621" spans="1:26" ht="13">
      <c r="A621" s="22" t="str">
        <f t="shared" si="199"/>
        <v>LSS</v>
      </c>
      <c r="B621" s="9">
        <v>2021</v>
      </c>
      <c r="C621" s="19">
        <v>33.15</v>
      </c>
      <c r="D621" s="19">
        <v>922.74</v>
      </c>
      <c r="E621" s="19">
        <v>2526.87</v>
      </c>
      <c r="F621" s="19">
        <v>930.06</v>
      </c>
      <c r="G621" s="19">
        <v>846.11</v>
      </c>
      <c r="H621" s="10">
        <f t="shared" si="188"/>
        <v>1.3118997020028731E-2</v>
      </c>
      <c r="I621" s="10">
        <f t="shared" si="189"/>
        <v>0.36517114058103506</v>
      </c>
      <c r="J621" s="10">
        <f t="shared" si="190"/>
        <v>1.0992187777002989</v>
      </c>
      <c r="K621" s="4">
        <f t="shared" si="196"/>
        <v>-2.2819568603890308</v>
      </c>
      <c r="L621" s="10">
        <f t="shared" si="182"/>
        <v>0.36517114058103506</v>
      </c>
      <c r="M621" s="19">
        <v>57.46</v>
      </c>
      <c r="N621" s="19">
        <v>-140.53</v>
      </c>
      <c r="O621" s="19">
        <v>106.23</v>
      </c>
      <c r="P621" s="11">
        <v>1.11E-2</v>
      </c>
      <c r="Q621" s="11">
        <v>1.42E-3</v>
      </c>
      <c r="R621" s="12">
        <f t="shared" si="185"/>
        <v>2.2739594834716468E-2</v>
      </c>
      <c r="S621" s="12">
        <f t="shared" si="186"/>
        <v>-5.5614257955494351E-2</v>
      </c>
      <c r="T621" s="12">
        <f t="shared" si="187"/>
        <v>4.2040152441558135E-2</v>
      </c>
      <c r="U621" s="12">
        <f t="shared" si="169"/>
        <v>2.524095026653528E-4</v>
      </c>
      <c r="V621" s="12">
        <f t="shared" si="156"/>
        <v>-6.1731826330598731E-4</v>
      </c>
      <c r="W621" s="12">
        <f t="shared" si="157"/>
        <v>4.6664569210129529E-4</v>
      </c>
      <c r="X621" s="12">
        <f t="shared" si="158"/>
        <v>3.2290224665297384E-5</v>
      </c>
      <c r="Y621" s="12">
        <f t="shared" si="159"/>
        <v>-7.897224629680198E-5</v>
      </c>
      <c r="Z621" s="12">
        <f t="shared" si="160"/>
        <v>5.9697016467012556E-5</v>
      </c>
    </row>
    <row r="622" spans="1:26" ht="13">
      <c r="A622" s="21" t="s">
        <v>142</v>
      </c>
      <c r="B622" s="9">
        <v>2017</v>
      </c>
      <c r="C622" s="19">
        <v>25.23</v>
      </c>
      <c r="D622" s="19">
        <v>101.16</v>
      </c>
      <c r="E622" s="19">
        <v>263.20999999999998</v>
      </c>
      <c r="F622" s="19">
        <v>153.72999999999999</v>
      </c>
      <c r="G622" s="19">
        <v>101.16</v>
      </c>
      <c r="H622" s="10">
        <f t="shared" si="188"/>
        <v>9.585502070590024E-2</v>
      </c>
      <c r="I622" s="10">
        <f t="shared" si="189"/>
        <v>0.3843319022833479</v>
      </c>
      <c r="J622" s="10">
        <f t="shared" si="190"/>
        <v>1.519671807038355</v>
      </c>
      <c r="K622" s="4">
        <f t="shared" si="196"/>
        <v>-2.5467344373896212</v>
      </c>
      <c r="L622" s="10">
        <f t="shared" si="182"/>
        <v>0.3843319022833479</v>
      </c>
      <c r="M622" s="19">
        <v>29.39</v>
      </c>
      <c r="N622" s="19">
        <v>15.16</v>
      </c>
      <c r="O622" s="19">
        <v>-54.15</v>
      </c>
      <c r="P622" s="11">
        <v>7.6E-3</v>
      </c>
      <c r="Q622" s="11">
        <v>5.2300000000000003E-3</v>
      </c>
      <c r="R622" s="12">
        <f t="shared" si="185"/>
        <v>0.1116598913415144</v>
      </c>
      <c r="S622" s="12">
        <f t="shared" si="186"/>
        <v>5.759659587401695E-2</v>
      </c>
      <c r="T622" s="12">
        <f t="shared" si="187"/>
        <v>-0.20572926560541013</v>
      </c>
      <c r="U622" s="12">
        <f t="shared" si="169"/>
        <v>8.4861517419550941E-4</v>
      </c>
      <c r="V622" s="12">
        <f t="shared" si="156"/>
        <v>4.3773412864252882E-4</v>
      </c>
      <c r="W622" s="12">
        <f t="shared" si="157"/>
        <v>-1.5635424186011171E-3</v>
      </c>
      <c r="X622" s="12">
        <f t="shared" si="158"/>
        <v>5.8398123171612038E-4</v>
      </c>
      <c r="Y622" s="12">
        <f t="shared" si="159"/>
        <v>3.0123019642110864E-4</v>
      </c>
      <c r="Z622" s="12">
        <f t="shared" si="160"/>
        <v>-1.075964059116295E-3</v>
      </c>
    </row>
    <row r="623" spans="1:26" ht="13">
      <c r="A623" s="22" t="str">
        <f t="shared" ref="A623:A626" si="200">A622</f>
        <v>MDG</v>
      </c>
      <c r="B623" s="9">
        <v>2018</v>
      </c>
      <c r="C623" s="19">
        <v>7.49</v>
      </c>
      <c r="D623" s="19">
        <v>123.38</v>
      </c>
      <c r="E623" s="19">
        <v>268.25</v>
      </c>
      <c r="F623" s="19">
        <v>142.94</v>
      </c>
      <c r="G623" s="19">
        <v>123.38</v>
      </c>
      <c r="H623" s="10">
        <f t="shared" si="188"/>
        <v>2.7921714818266542E-2</v>
      </c>
      <c r="I623" s="10">
        <f t="shared" si="189"/>
        <v>0.45994408201304754</v>
      </c>
      <c r="J623" s="10">
        <f t="shared" si="190"/>
        <v>1.1585346085265036</v>
      </c>
      <c r="K623" s="4">
        <f t="shared" si="196"/>
        <v>-1.8086005876419342</v>
      </c>
      <c r="L623" s="10">
        <f t="shared" si="182"/>
        <v>0.45994408201304754</v>
      </c>
      <c r="M623" s="19">
        <v>13.22</v>
      </c>
      <c r="N623" s="19">
        <v>-15.03</v>
      </c>
      <c r="O623" s="19">
        <v>5.39</v>
      </c>
      <c r="P623" s="11">
        <v>5.0000000000000001E-3</v>
      </c>
      <c r="Q623" s="11">
        <v>0</v>
      </c>
      <c r="R623" s="12">
        <f t="shared" si="185"/>
        <v>4.9282385834109974E-2</v>
      </c>
      <c r="S623" s="12">
        <f t="shared" si="186"/>
        <v>-5.6029822926374651E-2</v>
      </c>
      <c r="T623" s="12">
        <f t="shared" si="187"/>
        <v>2.0093196644920781E-2</v>
      </c>
      <c r="U623" s="12">
        <f t="shared" si="169"/>
        <v>2.4641192917054989E-4</v>
      </c>
      <c r="V623" s="12">
        <f t="shared" si="156"/>
        <v>-2.8014911463187327E-4</v>
      </c>
      <c r="W623" s="12">
        <f t="shared" si="157"/>
        <v>1.004659832246039E-4</v>
      </c>
      <c r="X623" s="12">
        <f t="shared" si="158"/>
        <v>0</v>
      </c>
      <c r="Y623" s="12">
        <f t="shared" si="159"/>
        <v>0</v>
      </c>
      <c r="Z623" s="12">
        <f t="shared" si="160"/>
        <v>0</v>
      </c>
    </row>
    <row r="624" spans="1:26" ht="13">
      <c r="A624" s="22" t="str">
        <f t="shared" si="200"/>
        <v>MDG</v>
      </c>
      <c r="B624" s="9">
        <v>2019</v>
      </c>
      <c r="C624" s="19">
        <v>11.8</v>
      </c>
      <c r="D624" s="19">
        <v>230.97</v>
      </c>
      <c r="E624" s="19">
        <v>379.44</v>
      </c>
      <c r="F624" s="19">
        <v>277.64</v>
      </c>
      <c r="G624" s="19">
        <v>230.97</v>
      </c>
      <c r="H624" s="10">
        <f t="shared" si="188"/>
        <v>3.1098460889732241E-2</v>
      </c>
      <c r="I624" s="10">
        <f t="shared" si="189"/>
        <v>0.6087128399746996</v>
      </c>
      <c r="J624" s="10">
        <f t="shared" si="190"/>
        <v>1.2020608737065419</v>
      </c>
      <c r="K624" s="4">
        <f t="shared" si="196"/>
        <v>-0.97508812964283276</v>
      </c>
      <c r="L624" s="10">
        <f t="shared" si="182"/>
        <v>0.6087128399746996</v>
      </c>
      <c r="M624" s="19">
        <v>-43.04</v>
      </c>
      <c r="N624" s="19">
        <v>-3.4</v>
      </c>
      <c r="O624" s="19">
        <v>34.28</v>
      </c>
      <c r="P624" s="11">
        <v>5.0000000000000001E-3</v>
      </c>
      <c r="Q624" s="11">
        <v>0</v>
      </c>
      <c r="R624" s="12">
        <f t="shared" si="185"/>
        <v>-0.1134303183639047</v>
      </c>
      <c r="S624" s="12">
        <f t="shared" si="186"/>
        <v>-8.9605734767025085E-3</v>
      </c>
      <c r="T624" s="12">
        <f t="shared" si="187"/>
        <v>9.0343664347459413E-2</v>
      </c>
      <c r="U624" s="12">
        <f t="shared" si="169"/>
        <v>-5.6715159181952351E-4</v>
      </c>
      <c r="V624" s="12">
        <f t="shared" si="156"/>
        <v>-4.4802867383512545E-5</v>
      </c>
      <c r="W624" s="12">
        <f t="shared" si="157"/>
        <v>4.5171832173729706E-4</v>
      </c>
      <c r="X624" s="12">
        <f t="shared" si="158"/>
        <v>0</v>
      </c>
      <c r="Y624" s="12">
        <f t="shared" si="159"/>
        <v>0</v>
      </c>
      <c r="Z624" s="12">
        <f t="shared" si="160"/>
        <v>0</v>
      </c>
    </row>
    <row r="625" spans="1:26" ht="13">
      <c r="A625" s="22" t="str">
        <f t="shared" si="200"/>
        <v>MDG</v>
      </c>
      <c r="B625" s="9">
        <v>2020</v>
      </c>
      <c r="C625" s="19">
        <v>8.75</v>
      </c>
      <c r="D625" s="19">
        <v>198.78</v>
      </c>
      <c r="E625" s="19">
        <v>348.63</v>
      </c>
      <c r="F625" s="19">
        <v>254.21</v>
      </c>
      <c r="G625" s="19">
        <v>198.78</v>
      </c>
      <c r="H625" s="10">
        <f t="shared" si="188"/>
        <v>2.5098241688896537E-2</v>
      </c>
      <c r="I625" s="10">
        <f t="shared" si="189"/>
        <v>0.57017468376215474</v>
      </c>
      <c r="J625" s="10">
        <f t="shared" si="190"/>
        <v>1.2788509910453769</v>
      </c>
      <c r="K625" s="4">
        <f t="shared" si="196"/>
        <v>-1.1680617941199334</v>
      </c>
      <c r="L625" s="10">
        <f t="shared" si="182"/>
        <v>0.57017468376215474</v>
      </c>
      <c r="M625" s="19">
        <v>28.51</v>
      </c>
      <c r="N625" s="19">
        <v>-4.04</v>
      </c>
      <c r="O625" s="19">
        <v>-8.9499999999999993</v>
      </c>
      <c r="P625" s="11">
        <v>0</v>
      </c>
      <c r="Q625" s="11">
        <v>1.4500000000000001E-2</v>
      </c>
      <c r="R625" s="12">
        <f t="shared" si="185"/>
        <v>8.1777242348621756E-2</v>
      </c>
      <c r="S625" s="12">
        <f t="shared" si="186"/>
        <v>-1.1588216734073373E-2</v>
      </c>
      <c r="T625" s="12">
        <f t="shared" si="187"/>
        <v>-2.5671915784642743E-2</v>
      </c>
      <c r="U625" s="12">
        <f t="shared" si="169"/>
        <v>0</v>
      </c>
      <c r="V625" s="12">
        <f t="shared" si="156"/>
        <v>0</v>
      </c>
      <c r="W625" s="12">
        <f t="shared" si="157"/>
        <v>0</v>
      </c>
      <c r="X625" s="12">
        <f t="shared" si="158"/>
        <v>1.1857700140550155E-3</v>
      </c>
      <c r="Y625" s="12">
        <f t="shared" si="159"/>
        <v>-1.6802914264406392E-4</v>
      </c>
      <c r="Z625" s="12">
        <f t="shared" si="160"/>
        <v>-3.722427788773198E-4</v>
      </c>
    </row>
    <row r="626" spans="1:26" ht="13">
      <c r="A626" s="22" t="str">
        <f t="shared" si="200"/>
        <v>MDG</v>
      </c>
      <c r="B626" s="9">
        <v>2021</v>
      </c>
      <c r="C626" s="19">
        <v>15.72</v>
      </c>
      <c r="D626" s="19">
        <v>209.83</v>
      </c>
      <c r="E626" s="19">
        <v>368.33</v>
      </c>
      <c r="F626" s="19">
        <v>279.83</v>
      </c>
      <c r="G626" s="19">
        <v>209.83</v>
      </c>
      <c r="H626" s="10">
        <f t="shared" si="188"/>
        <v>4.2679119268047676E-2</v>
      </c>
      <c r="I626" s="10">
        <f t="shared" si="189"/>
        <v>0.56967936361415039</v>
      </c>
      <c r="J626" s="10">
        <f t="shared" si="190"/>
        <v>1.3336033932230853</v>
      </c>
      <c r="K626" s="4">
        <f t="shared" si="196"/>
        <v>-1.2502180776784497</v>
      </c>
      <c r="L626" s="10">
        <f t="shared" si="182"/>
        <v>0.56967936361415039</v>
      </c>
      <c r="M626" s="19">
        <v>3.77</v>
      </c>
      <c r="N626" s="19">
        <v>-5.19</v>
      </c>
      <c r="O626" s="19">
        <v>-7.39</v>
      </c>
      <c r="P626" s="11">
        <v>8.9999999999999998E-4</v>
      </c>
      <c r="Q626" s="11">
        <v>1.4500000000000001E-2</v>
      </c>
      <c r="R626" s="12">
        <f t="shared" si="185"/>
        <v>1.0235386745581408E-2</v>
      </c>
      <c r="S626" s="12">
        <f t="shared" si="186"/>
        <v>-1.4090625254527192E-2</v>
      </c>
      <c r="T626" s="12">
        <f t="shared" si="187"/>
        <v>-2.0063529986696711E-2</v>
      </c>
      <c r="U626" s="12">
        <f t="shared" si="169"/>
        <v>9.2118480710232672E-6</v>
      </c>
      <c r="V626" s="12">
        <f t="shared" si="156"/>
        <v>-1.2681562729074472E-5</v>
      </c>
      <c r="W626" s="12">
        <f t="shared" si="157"/>
        <v>-1.8057176988027038E-5</v>
      </c>
      <c r="X626" s="12">
        <f t="shared" si="158"/>
        <v>1.4841310781093042E-4</v>
      </c>
      <c r="Y626" s="12">
        <f t="shared" si="159"/>
        <v>-2.0431406619064428E-4</v>
      </c>
      <c r="Z626" s="12">
        <f t="shared" si="160"/>
        <v>-2.9092118480710232E-4</v>
      </c>
    </row>
    <row r="627" spans="1:26" ht="13">
      <c r="A627" s="21" t="s">
        <v>143</v>
      </c>
      <c r="B627" s="9">
        <v>2017</v>
      </c>
      <c r="C627" s="19">
        <v>3607.69</v>
      </c>
      <c r="D627" s="19">
        <v>43303.33</v>
      </c>
      <c r="E627" s="19">
        <v>63528.52</v>
      </c>
      <c r="F627" s="19">
        <v>15144.94</v>
      </c>
      <c r="G627" s="19">
        <v>15532.99</v>
      </c>
      <c r="H627" s="10">
        <f t="shared" si="188"/>
        <v>5.6788510105382592E-2</v>
      </c>
      <c r="I627" s="10">
        <f t="shared" si="189"/>
        <v>0.68163605889134526</v>
      </c>
      <c r="J627" s="10">
        <f t="shared" si="190"/>
        <v>0.97501768815920187</v>
      </c>
      <c r="K627" s="4">
        <f t="shared" si="196"/>
        <v>-0.6741228305461896</v>
      </c>
      <c r="L627" s="10">
        <f t="shared" si="182"/>
        <v>0.68163605889134526</v>
      </c>
      <c r="M627" s="19">
        <v>2766.46</v>
      </c>
      <c r="N627" s="19">
        <v>3133.95</v>
      </c>
      <c r="O627" s="19">
        <v>-11635.08</v>
      </c>
      <c r="P627" s="11">
        <v>0.29310000000000003</v>
      </c>
      <c r="Q627" s="11">
        <v>2.0999999999999999E-3</v>
      </c>
      <c r="R627" s="12">
        <f t="shared" si="185"/>
        <v>4.3546740896844446E-2</v>
      </c>
      <c r="S627" s="12">
        <f t="shared" si="186"/>
        <v>4.9331386910949598E-2</v>
      </c>
      <c r="T627" s="12">
        <f t="shared" si="187"/>
        <v>-0.18314734862389365</v>
      </c>
      <c r="U627" s="12">
        <f t="shared" si="169"/>
        <v>1.2763549756865108E-2</v>
      </c>
      <c r="V627" s="12">
        <f t="shared" si="156"/>
        <v>1.4459029503599329E-2</v>
      </c>
      <c r="W627" s="12">
        <f t="shared" si="157"/>
        <v>-5.3680487881663234E-2</v>
      </c>
      <c r="X627" s="12">
        <f t="shared" si="158"/>
        <v>9.144815588337333E-5</v>
      </c>
      <c r="Y627" s="12">
        <f t="shared" si="159"/>
        <v>1.0359591251299415E-4</v>
      </c>
      <c r="Z627" s="12">
        <f t="shared" si="160"/>
        <v>-3.8460943211017664E-4</v>
      </c>
    </row>
    <row r="628" spans="1:26" ht="13">
      <c r="A628" s="22" t="str">
        <f t="shared" ref="A628:A631" si="201">A627</f>
        <v>MSN</v>
      </c>
      <c r="B628" s="9">
        <v>2018</v>
      </c>
      <c r="C628" s="19">
        <v>5621.51</v>
      </c>
      <c r="D628" s="19">
        <v>30498.94</v>
      </c>
      <c r="E628" s="19">
        <v>64578.61</v>
      </c>
      <c r="F628" s="19">
        <v>12499.62</v>
      </c>
      <c r="G628" s="19">
        <v>15795.52</v>
      </c>
      <c r="H628" s="10">
        <f t="shared" si="188"/>
        <v>8.704910186205618E-2</v>
      </c>
      <c r="I628" s="10">
        <f t="shared" si="189"/>
        <v>0.47227619176070834</v>
      </c>
      <c r="J628" s="10">
        <f t="shared" si="190"/>
        <v>0.7913395697007759</v>
      </c>
      <c r="K628" s="4">
        <f t="shared" si="196"/>
        <v>-2.0029120236220179</v>
      </c>
      <c r="L628" s="10">
        <f t="shared" si="182"/>
        <v>0.47227619176070834</v>
      </c>
      <c r="M628" s="19">
        <v>4391.13</v>
      </c>
      <c r="N628" s="19">
        <v>-3866.6</v>
      </c>
      <c r="O628" s="19">
        <v>-3357</v>
      </c>
      <c r="P628" s="11">
        <v>0.40210000000000001</v>
      </c>
      <c r="Q628" s="11">
        <v>2.5999999999999999E-3</v>
      </c>
      <c r="R628" s="12">
        <f t="shared" si="185"/>
        <v>6.7996663291452084E-2</v>
      </c>
      <c r="S628" s="12">
        <f t="shared" si="186"/>
        <v>-5.9874314420827572E-2</v>
      </c>
      <c r="T628" s="12">
        <f t="shared" si="187"/>
        <v>-5.1983156652024562E-2</v>
      </c>
      <c r="U628" s="12">
        <f t="shared" si="169"/>
        <v>2.7341458309492885E-2</v>
      </c>
      <c r="V628" s="12">
        <f t="shared" si="156"/>
        <v>-2.4075461828614766E-2</v>
      </c>
      <c r="W628" s="12">
        <f t="shared" si="157"/>
        <v>-2.0902427289779077E-2</v>
      </c>
      <c r="X628" s="12">
        <f t="shared" si="158"/>
        <v>1.7679132455777541E-4</v>
      </c>
      <c r="Y628" s="12">
        <f t="shared" si="159"/>
        <v>-1.5567321749415167E-4</v>
      </c>
      <c r="Z628" s="12">
        <f t="shared" si="160"/>
        <v>-1.3515620729526385E-4</v>
      </c>
    </row>
    <row r="629" spans="1:26" ht="13">
      <c r="A629" s="22" t="str">
        <f t="shared" si="201"/>
        <v>MSN</v>
      </c>
      <c r="B629" s="9">
        <v>2019</v>
      </c>
      <c r="C629" s="19">
        <v>6364.62</v>
      </c>
      <c r="D629" s="19">
        <v>45408.84</v>
      </c>
      <c r="E629" s="19">
        <v>97297.25</v>
      </c>
      <c r="F629" s="19">
        <v>24261.89</v>
      </c>
      <c r="G629" s="19">
        <v>30492.19</v>
      </c>
      <c r="H629" s="10">
        <f t="shared" si="188"/>
        <v>6.5414181798560594E-2</v>
      </c>
      <c r="I629" s="10">
        <f t="shared" si="189"/>
        <v>0.46670219353578851</v>
      </c>
      <c r="J629" s="10">
        <f t="shared" si="190"/>
        <v>0.79567554839452337</v>
      </c>
      <c r="K629" s="4">
        <f t="shared" si="196"/>
        <v>-1.937344017133106</v>
      </c>
      <c r="L629" s="10">
        <f t="shared" si="182"/>
        <v>0.46670219353578851</v>
      </c>
      <c r="M629" s="19">
        <v>5104.13</v>
      </c>
      <c r="N629" s="19">
        <v>-6011.44</v>
      </c>
      <c r="O629" s="19">
        <v>3116.9</v>
      </c>
      <c r="P629" s="11">
        <v>0.38979999999999998</v>
      </c>
      <c r="Q629" s="11">
        <v>3.0999999999999999E-3</v>
      </c>
      <c r="R629" s="12">
        <f t="shared" si="185"/>
        <v>5.2459139389859424E-2</v>
      </c>
      <c r="S629" s="12">
        <f t="shared" si="186"/>
        <v>-6.1784274478466759E-2</v>
      </c>
      <c r="T629" s="12">
        <f t="shared" si="187"/>
        <v>3.203482112803805E-2</v>
      </c>
      <c r="U629" s="12">
        <f t="shared" si="169"/>
        <v>2.0448572534167202E-2</v>
      </c>
      <c r="V629" s="12">
        <f t="shared" si="156"/>
        <v>-2.4083510191706341E-2</v>
      </c>
      <c r="W629" s="12">
        <f t="shared" si="157"/>
        <v>1.2487173275709232E-2</v>
      </c>
      <c r="X629" s="12">
        <f t="shared" si="158"/>
        <v>1.6262333210856421E-4</v>
      </c>
      <c r="Y629" s="12">
        <f t="shared" si="159"/>
        <v>-1.9153125088324695E-4</v>
      </c>
      <c r="Z629" s="12">
        <f t="shared" si="160"/>
        <v>9.9307945496917958E-5</v>
      </c>
    </row>
    <row r="630" spans="1:26" ht="13">
      <c r="A630" s="22" t="str">
        <f t="shared" si="201"/>
        <v>MSN</v>
      </c>
      <c r="B630" s="9">
        <v>2020</v>
      </c>
      <c r="C630" s="19">
        <v>1395.01</v>
      </c>
      <c r="D630" s="19">
        <v>90706.28</v>
      </c>
      <c r="E630" s="19">
        <v>115736.56</v>
      </c>
      <c r="F630" s="19">
        <v>29760.69</v>
      </c>
      <c r="G630" s="19">
        <v>38874.660000000003</v>
      </c>
      <c r="H630" s="10">
        <f t="shared" si="188"/>
        <v>1.2053321785268198E-2</v>
      </c>
      <c r="I630" s="10">
        <f t="shared" si="189"/>
        <v>0.783730568802114</v>
      </c>
      <c r="J630" s="10">
        <f t="shared" si="190"/>
        <v>0.76555499134912042</v>
      </c>
      <c r="K630" s="4">
        <f t="shared" si="196"/>
        <v>0.10996207417294677</v>
      </c>
      <c r="L630" s="10">
        <f t="shared" si="182"/>
        <v>0.783730568802114</v>
      </c>
      <c r="M630" s="19">
        <v>1351.3</v>
      </c>
      <c r="N630" s="19">
        <v>-33757.29</v>
      </c>
      <c r="O630" s="19">
        <v>33330.959999999999</v>
      </c>
      <c r="P630" s="11">
        <v>0.33589999999999998</v>
      </c>
      <c r="Q630" s="11">
        <v>4.5100000000000001E-3</v>
      </c>
      <c r="R630" s="12">
        <f t="shared" si="185"/>
        <v>1.1675653743294254E-2</v>
      </c>
      <c r="S630" s="12">
        <f t="shared" si="186"/>
        <v>-0.29167352131426749</v>
      </c>
      <c r="T630" s="12">
        <f t="shared" si="187"/>
        <v>0.28798989705586547</v>
      </c>
      <c r="U630" s="12">
        <f t="shared" si="169"/>
        <v>3.9218520923725393E-3</v>
      </c>
      <c r="V630" s="12">
        <f t="shared" si="156"/>
        <v>-9.7973135809462444E-2</v>
      </c>
      <c r="W630" s="12">
        <f t="shared" si="157"/>
        <v>9.6735806421065204E-2</v>
      </c>
      <c r="X630" s="12">
        <f t="shared" si="158"/>
        <v>5.2657198382257088E-5</v>
      </c>
      <c r="Y630" s="12">
        <f t="shared" si="159"/>
        <v>-1.3154475811273465E-3</v>
      </c>
      <c r="Z630" s="12">
        <f t="shared" si="160"/>
        <v>1.2988344357219533E-3</v>
      </c>
    </row>
    <row r="631" spans="1:26" ht="13">
      <c r="A631" s="22" t="str">
        <f t="shared" si="201"/>
        <v>MSN</v>
      </c>
      <c r="B631" s="9">
        <v>2021</v>
      </c>
      <c r="C631" s="19">
        <v>10101.379999999999</v>
      </c>
      <c r="D631" s="19">
        <v>83756.820000000007</v>
      </c>
      <c r="E631" s="19">
        <v>126093.47</v>
      </c>
      <c r="F631" s="19">
        <v>43630.18</v>
      </c>
      <c r="G631" s="19">
        <v>34547.839999999997</v>
      </c>
      <c r="H631" s="10">
        <f t="shared" si="188"/>
        <v>8.0110254718186433E-2</v>
      </c>
      <c r="I631" s="10">
        <f t="shared" si="189"/>
        <v>0.66424391366182567</v>
      </c>
      <c r="J631" s="10">
        <f t="shared" si="190"/>
        <v>1.2628916887423354</v>
      </c>
      <c r="K631" s="4">
        <f t="shared" si="196"/>
        <v>-0.87935740511440108</v>
      </c>
      <c r="L631" s="10">
        <f t="shared" si="182"/>
        <v>0.66424391366182567</v>
      </c>
      <c r="M631" s="19">
        <v>1143.9100000000001</v>
      </c>
      <c r="N631" s="19">
        <v>6346.22</v>
      </c>
      <c r="O631" s="19">
        <v>7095.69</v>
      </c>
      <c r="P631" s="11">
        <v>0.31680000000000003</v>
      </c>
      <c r="Q631" s="11">
        <v>4.8999999999999998E-3</v>
      </c>
      <c r="R631" s="12">
        <f t="shared" si="185"/>
        <v>9.0719210122459162E-3</v>
      </c>
      <c r="S631" s="12">
        <f t="shared" si="186"/>
        <v>5.0329489703154338E-2</v>
      </c>
      <c r="T631" s="12">
        <f t="shared" si="187"/>
        <v>5.6273255070226867E-2</v>
      </c>
      <c r="U631" s="12">
        <f t="shared" si="169"/>
        <v>2.8739845766795067E-3</v>
      </c>
      <c r="V631" s="12">
        <f t="shared" si="156"/>
        <v>1.5944382337959296E-2</v>
      </c>
      <c r="W631" s="12">
        <f t="shared" si="157"/>
        <v>1.7827367206247873E-2</v>
      </c>
      <c r="X631" s="12">
        <f t="shared" si="158"/>
        <v>4.4452412960004985E-5</v>
      </c>
      <c r="Y631" s="12">
        <f t="shared" si="159"/>
        <v>2.4661449954545625E-4</v>
      </c>
      <c r="Z631" s="12">
        <f t="shared" si="160"/>
        <v>2.7573894984411166E-4</v>
      </c>
    </row>
    <row r="632" spans="1:26" ht="13">
      <c r="A632" s="21" t="s">
        <v>144</v>
      </c>
      <c r="B632" s="9">
        <v>2017</v>
      </c>
      <c r="C632" s="19">
        <v>65.48</v>
      </c>
      <c r="D632" s="19">
        <v>391.6</v>
      </c>
      <c r="E632" s="19">
        <v>871.79</v>
      </c>
      <c r="F632" s="19">
        <v>579.23</v>
      </c>
      <c r="G632" s="19">
        <v>273.37</v>
      </c>
      <c r="H632" s="10">
        <f t="shared" si="188"/>
        <v>7.5109831496117191E-2</v>
      </c>
      <c r="I632" s="10">
        <f t="shared" si="189"/>
        <v>0.44919074547769539</v>
      </c>
      <c r="J632" s="10">
        <f t="shared" si="190"/>
        <v>2.1188499103778762</v>
      </c>
      <c r="K632" s="4">
        <f t="shared" si="196"/>
        <v>-2.0860823921511753</v>
      </c>
      <c r="L632" s="10">
        <f t="shared" ref="L632:L671" si="202">D632/E632</f>
        <v>0.44919074547769539</v>
      </c>
      <c r="M632" s="19">
        <v>4.2</v>
      </c>
      <c r="N632" s="19">
        <v>-119.22</v>
      </c>
      <c r="O632" s="19">
        <v>82.89</v>
      </c>
      <c r="P632" s="11">
        <v>0.14000000000000001</v>
      </c>
      <c r="Q632" s="11">
        <v>0.29850100000000002</v>
      </c>
      <c r="R632" s="12">
        <f t="shared" si="185"/>
        <v>4.8176739811193071E-3</v>
      </c>
      <c r="S632" s="12">
        <f t="shared" si="186"/>
        <v>-0.13675311714977231</v>
      </c>
      <c r="T632" s="12">
        <f t="shared" si="187"/>
        <v>9.5080237213090307E-2</v>
      </c>
      <c r="U632" s="12">
        <f t="shared" si="169"/>
        <v>6.7447435735670303E-4</v>
      </c>
      <c r="V632" s="12">
        <f t="shared" si="156"/>
        <v>-1.9145436400968125E-2</v>
      </c>
      <c r="W632" s="12">
        <f t="shared" si="157"/>
        <v>1.3311233209832645E-2</v>
      </c>
      <c r="X632" s="12">
        <f t="shared" si="158"/>
        <v>1.4380805010380943E-3</v>
      </c>
      <c r="Y632" s="12">
        <f t="shared" si="159"/>
        <v>-4.0820942222324186E-2</v>
      </c>
      <c r="Z632" s="12">
        <f t="shared" si="160"/>
        <v>2.838154588834467E-2</v>
      </c>
    </row>
    <row r="633" spans="1:26" ht="13">
      <c r="A633" s="22" t="str">
        <f t="shared" ref="A633:A636" si="203">A632</f>
        <v>NAF</v>
      </c>
      <c r="B633" s="9">
        <v>2018</v>
      </c>
      <c r="C633" s="19">
        <v>40.43</v>
      </c>
      <c r="D633" s="19">
        <v>559.94000000000005</v>
      </c>
      <c r="E633" s="19">
        <v>1055.77</v>
      </c>
      <c r="F633" s="19">
        <v>595.15</v>
      </c>
      <c r="G633" s="19">
        <v>351.29</v>
      </c>
      <c r="H633" s="10">
        <f t="shared" si="188"/>
        <v>3.8294325468615324E-2</v>
      </c>
      <c r="I633" s="10">
        <f t="shared" si="189"/>
        <v>0.53036172651240332</v>
      </c>
      <c r="J633" s="10">
        <f t="shared" si="190"/>
        <v>1.6941842921802497</v>
      </c>
      <c r="K633" s="4">
        <f t="shared" si="196"/>
        <v>-1.4560393606567907</v>
      </c>
      <c r="L633" s="10">
        <f t="shared" si="202"/>
        <v>0.53036172651240332</v>
      </c>
      <c r="M633" s="19">
        <v>61.37</v>
      </c>
      <c r="N633" s="19">
        <v>-129.76</v>
      </c>
      <c r="O633" s="19">
        <v>71.3</v>
      </c>
      <c r="P633" s="11">
        <v>5.8200000000000002E-2</v>
      </c>
      <c r="Q633" s="11">
        <v>0.30719999999999997</v>
      </c>
      <c r="R633" s="12">
        <f t="shared" si="185"/>
        <v>5.8128190799132388E-2</v>
      </c>
      <c r="S633" s="12">
        <f t="shared" si="186"/>
        <v>-0.12290555708156131</v>
      </c>
      <c r="T633" s="12">
        <f t="shared" si="187"/>
        <v>6.7533648427214266E-2</v>
      </c>
      <c r="U633" s="12">
        <f t="shared" si="169"/>
        <v>3.3830607045095052E-3</v>
      </c>
      <c r="V633" s="12">
        <f t="shared" si="156"/>
        <v>-7.1531034221468687E-3</v>
      </c>
      <c r="W633" s="12">
        <f t="shared" si="157"/>
        <v>3.9304583384638702E-3</v>
      </c>
      <c r="X633" s="12">
        <f t="shared" si="158"/>
        <v>1.7856980213493467E-2</v>
      </c>
      <c r="Y633" s="12">
        <f t="shared" si="159"/>
        <v>-3.7756587135455634E-2</v>
      </c>
      <c r="Z633" s="12">
        <f t="shared" si="160"/>
        <v>2.0746336796840219E-2</v>
      </c>
    </row>
    <row r="634" spans="1:26" ht="13">
      <c r="A634" s="22" t="str">
        <f t="shared" si="203"/>
        <v>NAF</v>
      </c>
      <c r="B634" s="9">
        <v>2019</v>
      </c>
      <c r="C634" s="19">
        <v>47.92</v>
      </c>
      <c r="D634" s="19">
        <v>589.54</v>
      </c>
      <c r="E634" s="19">
        <v>1271.53</v>
      </c>
      <c r="F634" s="19">
        <v>819.55</v>
      </c>
      <c r="G634" s="19">
        <v>464.56</v>
      </c>
      <c r="H634" s="10">
        <f t="shared" si="188"/>
        <v>3.7686881158918786E-2</v>
      </c>
      <c r="I634" s="10">
        <f t="shared" si="189"/>
        <v>0.46364615856487851</v>
      </c>
      <c r="J634" s="10">
        <f t="shared" si="190"/>
        <v>1.7641424143275357</v>
      </c>
      <c r="K634" s="4">
        <f t="shared" si="196"/>
        <v>-1.8338644310526373</v>
      </c>
      <c r="L634" s="10">
        <f t="shared" si="202"/>
        <v>0.46364615856487851</v>
      </c>
      <c r="M634" s="19">
        <v>-289.41000000000003</v>
      </c>
      <c r="N634" s="19">
        <v>-23.47</v>
      </c>
      <c r="O634" s="19">
        <v>320.68</v>
      </c>
      <c r="P634" s="11">
        <v>0.27500000000000002</v>
      </c>
      <c r="Q634" s="11">
        <v>0.53239999999999998</v>
      </c>
      <c r="R634" s="12">
        <f t="shared" si="185"/>
        <v>-0.22760768522960531</v>
      </c>
      <c r="S634" s="12">
        <f t="shared" si="186"/>
        <v>-1.8458078063435388E-2</v>
      </c>
      <c r="T634" s="12">
        <f t="shared" si="187"/>
        <v>0.25220010538485133</v>
      </c>
      <c r="U634" s="12">
        <f t="shared" si="169"/>
        <v>-6.2592113438141472E-2</v>
      </c>
      <c r="V634" s="12">
        <f t="shared" si="156"/>
        <v>-5.0759714674447325E-3</v>
      </c>
      <c r="W634" s="12">
        <f t="shared" si="157"/>
        <v>6.9355028980834121E-2</v>
      </c>
      <c r="X634" s="12">
        <f t="shared" si="158"/>
        <v>-0.12117833161624186</v>
      </c>
      <c r="Y634" s="12">
        <f t="shared" si="159"/>
        <v>-9.8270807609730001E-3</v>
      </c>
      <c r="Z634" s="12">
        <f t="shared" si="160"/>
        <v>0.13427133610689485</v>
      </c>
    </row>
    <row r="635" spans="1:26" ht="13">
      <c r="A635" s="22" t="str">
        <f t="shared" si="203"/>
        <v>NAF</v>
      </c>
      <c r="B635" s="9">
        <v>2020</v>
      </c>
      <c r="C635" s="19">
        <v>61.31</v>
      </c>
      <c r="D635" s="19">
        <v>782.47</v>
      </c>
      <c r="E635" s="19">
        <v>1533.38</v>
      </c>
      <c r="F635" s="19">
        <v>972.42</v>
      </c>
      <c r="G635" s="19">
        <v>594.80999999999995</v>
      </c>
      <c r="H635" s="10">
        <f t="shared" si="188"/>
        <v>3.9983565717565117E-2</v>
      </c>
      <c r="I635" s="10">
        <f t="shared" si="189"/>
        <v>0.51029099114374776</v>
      </c>
      <c r="J635" s="10">
        <f t="shared" si="190"/>
        <v>1.6348413779189994</v>
      </c>
      <c r="K635" s="4">
        <f t="shared" si="196"/>
        <v>-1.5778067617213563</v>
      </c>
      <c r="L635" s="10">
        <f t="shared" si="202"/>
        <v>0.51029099114374776</v>
      </c>
      <c r="M635" s="19">
        <v>39.1</v>
      </c>
      <c r="N635" s="19">
        <v>-85.39</v>
      </c>
      <c r="O635" s="19">
        <v>59.24</v>
      </c>
      <c r="P635" s="11">
        <v>0.2586</v>
      </c>
      <c r="Q635" s="11">
        <v>0.4884</v>
      </c>
      <c r="R635" s="12">
        <f t="shared" si="185"/>
        <v>2.5499223936662797E-2</v>
      </c>
      <c r="S635" s="12">
        <f t="shared" si="186"/>
        <v>-5.5687435599786089E-2</v>
      </c>
      <c r="T635" s="12">
        <f t="shared" si="187"/>
        <v>3.86336068032712E-2</v>
      </c>
      <c r="U635" s="12">
        <f t="shared" si="169"/>
        <v>6.5940993100209993E-3</v>
      </c>
      <c r="V635" s="12">
        <f t="shared" si="156"/>
        <v>-1.4400770846104683E-2</v>
      </c>
      <c r="W635" s="12">
        <f t="shared" si="157"/>
        <v>9.9906507193259324E-3</v>
      </c>
      <c r="X635" s="12">
        <f t="shared" si="158"/>
        <v>1.2453820970666111E-2</v>
      </c>
      <c r="Y635" s="12">
        <f t="shared" si="159"/>
        <v>-2.7197743546935525E-2</v>
      </c>
      <c r="Z635" s="12">
        <f t="shared" si="160"/>
        <v>1.8868653562717653E-2</v>
      </c>
    </row>
    <row r="636" spans="1:26" ht="13">
      <c r="A636" s="22" t="str">
        <f t="shared" si="203"/>
        <v>NAF</v>
      </c>
      <c r="B636" s="9">
        <v>2021</v>
      </c>
      <c r="C636" s="19">
        <v>77.61</v>
      </c>
      <c r="D636" s="19">
        <v>817.66</v>
      </c>
      <c r="E636" s="19">
        <v>1654.06</v>
      </c>
      <c r="F636" s="19">
        <v>1029.32</v>
      </c>
      <c r="G636" s="19">
        <v>700.84</v>
      </c>
      <c r="H636" s="10">
        <f t="shared" si="188"/>
        <v>4.6920909761435502E-2</v>
      </c>
      <c r="I636" s="10">
        <f t="shared" si="189"/>
        <v>0.49433515108279025</v>
      </c>
      <c r="J636" s="10">
        <f t="shared" si="190"/>
        <v>1.4686947092060954</v>
      </c>
      <c r="K636" s="4">
        <f t="shared" si="196"/>
        <v>-1.6993085115913793</v>
      </c>
      <c r="L636" s="10">
        <f t="shared" si="202"/>
        <v>0.49433515108279025</v>
      </c>
      <c r="M636" s="19">
        <v>107.89</v>
      </c>
      <c r="N636" s="19">
        <v>-140.19999999999999</v>
      </c>
      <c r="O636" s="19">
        <v>57.16</v>
      </c>
      <c r="P636" s="11">
        <v>0.25</v>
      </c>
      <c r="Q636" s="11">
        <v>1.9099999999999999E-2</v>
      </c>
      <c r="R636" s="12">
        <f t="shared" si="185"/>
        <v>6.5227379901575525E-2</v>
      </c>
      <c r="S636" s="12">
        <f t="shared" si="186"/>
        <v>-8.4761133211612633E-2</v>
      </c>
      <c r="T636" s="12">
        <f t="shared" si="187"/>
        <v>3.4557392113949918E-2</v>
      </c>
      <c r="U636" s="12">
        <f t="shared" si="169"/>
        <v>1.6306844975393881E-2</v>
      </c>
      <c r="V636" s="12">
        <f t="shared" si="156"/>
        <v>-2.1190283302903158E-2</v>
      </c>
      <c r="W636" s="12">
        <f t="shared" si="157"/>
        <v>8.6393480284874796E-3</v>
      </c>
      <c r="X636" s="12">
        <f t="shared" si="158"/>
        <v>1.2458429561200924E-3</v>
      </c>
      <c r="Y636" s="12">
        <f t="shared" si="159"/>
        <v>-1.6189376443418012E-3</v>
      </c>
      <c r="Z636" s="12">
        <f t="shared" si="160"/>
        <v>6.6004618937644342E-4</v>
      </c>
    </row>
    <row r="637" spans="1:26" ht="13">
      <c r="A637" s="21" t="s">
        <v>145</v>
      </c>
      <c r="B637" s="9">
        <v>2017</v>
      </c>
      <c r="C637" s="19">
        <v>73.42</v>
      </c>
      <c r="D637" s="19">
        <v>3057.68</v>
      </c>
      <c r="E637" s="19">
        <v>4981.45</v>
      </c>
      <c r="F637" s="19">
        <v>4492.33</v>
      </c>
      <c r="G637" s="19">
        <v>2306.87</v>
      </c>
      <c r="H637" s="10">
        <f t="shared" si="188"/>
        <v>1.4738680504672336E-2</v>
      </c>
      <c r="I637" s="10">
        <f t="shared" si="189"/>
        <v>0.6138132471469151</v>
      </c>
      <c r="J637" s="10">
        <f t="shared" si="190"/>
        <v>1.9473702462644189</v>
      </c>
      <c r="K637" s="4">
        <f t="shared" si="196"/>
        <v>-0.87537803451866691</v>
      </c>
      <c r="L637" s="10">
        <f t="shared" si="202"/>
        <v>0.6138132471469151</v>
      </c>
      <c r="M637" s="19">
        <v>147.58000000000001</v>
      </c>
      <c r="N637" s="19">
        <v>146.19999999999999</v>
      </c>
      <c r="O637" s="19">
        <v>-159.69999999999999</v>
      </c>
      <c r="P637" s="11">
        <v>0.35210000000000002</v>
      </c>
      <c r="Q637" s="11">
        <v>3.2500000000000001E-2</v>
      </c>
      <c r="R637" s="12">
        <f t="shared" si="185"/>
        <v>2.9625912134017208E-2</v>
      </c>
      <c r="S637" s="12">
        <f t="shared" si="186"/>
        <v>2.9348884360979231E-2</v>
      </c>
      <c r="T637" s="12">
        <f t="shared" si="187"/>
        <v>-3.2058938662437642E-2</v>
      </c>
      <c r="U637" s="12">
        <f t="shared" si="169"/>
        <v>1.043128366238746E-2</v>
      </c>
      <c r="V637" s="12">
        <f t="shared" si="156"/>
        <v>1.0333742183500787E-2</v>
      </c>
      <c r="W637" s="12">
        <f t="shared" si="157"/>
        <v>-1.1287952303044295E-2</v>
      </c>
      <c r="X637" s="12">
        <f t="shared" si="158"/>
        <v>9.6284214435555929E-4</v>
      </c>
      <c r="Y637" s="12">
        <f t="shared" si="159"/>
        <v>9.5383874173182509E-4</v>
      </c>
      <c r="Z637" s="12">
        <f t="shared" si="160"/>
        <v>-1.0419155065292233E-3</v>
      </c>
    </row>
    <row r="638" spans="1:26" ht="13">
      <c r="A638" s="22" t="str">
        <f t="shared" ref="A638:A641" si="204">A637</f>
        <v>NBB</v>
      </c>
      <c r="B638" s="9">
        <v>2018</v>
      </c>
      <c r="C638" s="19">
        <v>154.46</v>
      </c>
      <c r="D638" s="19">
        <v>3048.02</v>
      </c>
      <c r="E638" s="19">
        <v>5118.67</v>
      </c>
      <c r="F638" s="19">
        <v>4692.6099999999997</v>
      </c>
      <c r="G638" s="19">
        <v>2437.6999999999998</v>
      </c>
      <c r="H638" s="10">
        <f t="shared" si="188"/>
        <v>3.0175807387465885E-2</v>
      </c>
      <c r="I638" s="10">
        <f t="shared" si="189"/>
        <v>0.59547108916964753</v>
      </c>
      <c r="J638" s="10">
        <f t="shared" si="190"/>
        <v>1.9250153833531607</v>
      </c>
      <c r="K638" s="4">
        <f t="shared" si="196"/>
        <v>-1.0493059865100183</v>
      </c>
      <c r="L638" s="10">
        <f t="shared" si="202"/>
        <v>0.59547108916964753</v>
      </c>
      <c r="M638" s="19">
        <v>239.11</v>
      </c>
      <c r="N638" s="19">
        <v>17.3</v>
      </c>
      <c r="O638" s="19">
        <v>-371.94</v>
      </c>
      <c r="P638" s="11">
        <v>0.34389999999999998</v>
      </c>
      <c r="Q638" s="11">
        <v>3.2399999999999998E-2</v>
      </c>
      <c r="R638" s="12">
        <f t="shared" si="185"/>
        <v>4.6713306386229239E-2</v>
      </c>
      <c r="S638" s="12">
        <f t="shared" si="186"/>
        <v>3.3797842017555344E-3</v>
      </c>
      <c r="T638" s="12">
        <f t="shared" si="187"/>
        <v>-7.2663406705257422E-2</v>
      </c>
      <c r="U638" s="12">
        <f t="shared" si="169"/>
        <v>1.6064706066224236E-2</v>
      </c>
      <c r="V638" s="12">
        <f t="shared" si="156"/>
        <v>1.1623077869837282E-3</v>
      </c>
      <c r="W638" s="12">
        <f t="shared" si="157"/>
        <v>-2.4988945565938028E-2</v>
      </c>
      <c r="X638" s="12">
        <f t="shared" si="158"/>
        <v>1.5135111269138273E-3</v>
      </c>
      <c r="Y638" s="12">
        <f t="shared" si="159"/>
        <v>1.095050081368793E-4</v>
      </c>
      <c r="Z638" s="12">
        <f t="shared" si="160"/>
        <v>-2.3542943772503402E-3</v>
      </c>
    </row>
    <row r="639" spans="1:26" ht="13">
      <c r="A639" s="22" t="str">
        <f t="shared" si="204"/>
        <v>NBB</v>
      </c>
      <c r="B639" s="9">
        <v>2019</v>
      </c>
      <c r="C639" s="19">
        <v>346.91</v>
      </c>
      <c r="D639" s="19">
        <v>3507.84</v>
      </c>
      <c r="E639" s="19">
        <v>5670.18</v>
      </c>
      <c r="F639" s="19">
        <v>5243.79</v>
      </c>
      <c r="G639" s="19">
        <v>3154.56</v>
      </c>
      <c r="H639" s="10">
        <f t="shared" si="188"/>
        <v>6.118147924757239E-2</v>
      </c>
      <c r="I639" s="10">
        <f t="shared" si="189"/>
        <v>0.61864702707850538</v>
      </c>
      <c r="J639" s="10">
        <f t="shared" si="190"/>
        <v>1.6622888770541693</v>
      </c>
      <c r="K639" s="4">
        <f t="shared" si="196"/>
        <v>-1.0556777577748118</v>
      </c>
      <c r="L639" s="10">
        <f t="shared" si="202"/>
        <v>0.61864702707850538</v>
      </c>
      <c r="M639" s="19">
        <v>237.19</v>
      </c>
      <c r="N639" s="19">
        <v>-44.95</v>
      </c>
      <c r="O639" s="19">
        <v>-183.36</v>
      </c>
      <c r="P639" s="11">
        <v>0.11799999999999999</v>
      </c>
      <c r="Q639" s="11">
        <v>1.6000000000000001E-3</v>
      </c>
      <c r="R639" s="12">
        <f t="shared" si="185"/>
        <v>4.1831123526942703E-2</v>
      </c>
      <c r="S639" s="12">
        <f t="shared" si="186"/>
        <v>-7.9274379296600823E-3</v>
      </c>
      <c r="T639" s="12">
        <f t="shared" si="187"/>
        <v>-3.2337597748219635E-2</v>
      </c>
      <c r="U639" s="12">
        <f t="shared" si="169"/>
        <v>4.9360725761792386E-3</v>
      </c>
      <c r="V639" s="12">
        <f t="shared" si="156"/>
        <v>-9.3543767569988971E-4</v>
      </c>
      <c r="W639" s="12">
        <f t="shared" si="157"/>
        <v>-3.8158365342899165E-3</v>
      </c>
      <c r="X639" s="12">
        <f t="shared" si="158"/>
        <v>6.6929797643108324E-5</v>
      </c>
      <c r="Y639" s="12">
        <f t="shared" si="159"/>
        <v>-1.2683900687456132E-5</v>
      </c>
      <c r="Z639" s="12">
        <f t="shared" si="160"/>
        <v>-5.1740156397151417E-5</v>
      </c>
    </row>
    <row r="640" spans="1:26" ht="13">
      <c r="A640" s="22" t="str">
        <f t="shared" si="204"/>
        <v>NBB</v>
      </c>
      <c r="B640" s="9">
        <v>2020</v>
      </c>
      <c r="C640" s="19">
        <v>327.29000000000002</v>
      </c>
      <c r="D640" s="19">
        <v>2324.06</v>
      </c>
      <c r="E640" s="19">
        <v>4090.71</v>
      </c>
      <c r="F640" s="19">
        <v>3665.09</v>
      </c>
      <c r="G640" s="19">
        <v>2093.65</v>
      </c>
      <c r="H640" s="10">
        <f t="shared" si="188"/>
        <v>8.0008115950531825E-2</v>
      </c>
      <c r="I640" s="10">
        <f t="shared" si="189"/>
        <v>0.5681312046075131</v>
      </c>
      <c r="J640" s="10">
        <f t="shared" si="190"/>
        <v>1.7505743557901272</v>
      </c>
      <c r="K640" s="4">
        <f t="shared" si="196"/>
        <v>-1.4286909529377285</v>
      </c>
      <c r="L640" s="10">
        <f t="shared" si="202"/>
        <v>0.5681312046075131</v>
      </c>
      <c r="M640" s="19">
        <v>306.49</v>
      </c>
      <c r="N640" s="19">
        <v>-24.65</v>
      </c>
      <c r="O640" s="19">
        <v>-353.82</v>
      </c>
      <c r="P640" s="11">
        <v>1.0500000000000001E-2</v>
      </c>
      <c r="Q640" s="11">
        <v>5.0000000000000001E-4</v>
      </c>
      <c r="R640" s="12">
        <f t="shared" si="185"/>
        <v>7.49234240510816E-2</v>
      </c>
      <c r="S640" s="12">
        <f t="shared" si="186"/>
        <v>-6.0258488135311473E-3</v>
      </c>
      <c r="T640" s="12">
        <f t="shared" si="187"/>
        <v>-8.6493542685744038E-2</v>
      </c>
      <c r="U640" s="12">
        <f t="shared" si="169"/>
        <v>7.8669595253635688E-4</v>
      </c>
      <c r="V640" s="12">
        <f t="shared" si="156"/>
        <v>-6.3271412542077049E-5</v>
      </c>
      <c r="W640" s="12">
        <f t="shared" si="157"/>
        <v>-9.081821982003125E-4</v>
      </c>
      <c r="X640" s="12">
        <f t="shared" si="158"/>
        <v>3.7461712025540802E-5</v>
      </c>
      <c r="Y640" s="12">
        <f t="shared" si="159"/>
        <v>-3.0129244067655736E-6</v>
      </c>
      <c r="Z640" s="12">
        <f t="shared" si="160"/>
        <v>-4.324677134287202E-5</v>
      </c>
    </row>
    <row r="641" spans="1:26" ht="13">
      <c r="A641" s="22" t="str">
        <f t="shared" si="204"/>
        <v>NBB</v>
      </c>
      <c r="B641" s="9">
        <v>2021</v>
      </c>
      <c r="C641" s="19">
        <v>313.08999999999997</v>
      </c>
      <c r="D641" s="19">
        <v>2543.4499999999998</v>
      </c>
      <c r="E641" s="19">
        <v>4373.6499999999996</v>
      </c>
      <c r="F641" s="19">
        <v>1773.89</v>
      </c>
      <c r="G641" s="19">
        <v>2181.87</v>
      </c>
      <c r="H641" s="10">
        <f t="shared" si="188"/>
        <v>7.1585517816926361E-2</v>
      </c>
      <c r="I641" s="10">
        <f t="shared" si="189"/>
        <v>0.58153944645776412</v>
      </c>
      <c r="J641" s="10">
        <f t="shared" si="190"/>
        <v>0.8130136075934864</v>
      </c>
      <c r="K641" s="4">
        <f t="shared" si="196"/>
        <v>-1.3106120397972869</v>
      </c>
      <c r="L641" s="10">
        <f t="shared" si="202"/>
        <v>0.58153944645776412</v>
      </c>
      <c r="M641" s="19">
        <v>-103.18</v>
      </c>
      <c r="N641" s="19">
        <v>-477.38</v>
      </c>
      <c r="O641" s="19">
        <v>543.25</v>
      </c>
      <c r="P641" s="11">
        <v>1.3100000000000001E-2</v>
      </c>
      <c r="Q641" s="11">
        <v>0</v>
      </c>
      <c r="R641" s="12">
        <f t="shared" si="185"/>
        <v>-2.3591279594846415E-2</v>
      </c>
      <c r="S641" s="12">
        <f t="shared" si="186"/>
        <v>-0.10914910886787924</v>
      </c>
      <c r="T641" s="12">
        <f t="shared" si="187"/>
        <v>0.12420975615332733</v>
      </c>
      <c r="U641" s="12">
        <f t="shared" si="169"/>
        <v>-3.0904576269248803E-4</v>
      </c>
      <c r="V641" s="12">
        <f t="shared" si="156"/>
        <v>-1.429853326169218E-3</v>
      </c>
      <c r="W641" s="12">
        <f t="shared" si="157"/>
        <v>1.6271478056085881E-3</v>
      </c>
      <c r="X641" s="12">
        <f t="shared" si="158"/>
        <v>0</v>
      </c>
      <c r="Y641" s="12">
        <f t="shared" si="159"/>
        <v>0</v>
      </c>
      <c r="Z641" s="12">
        <f t="shared" si="160"/>
        <v>0</v>
      </c>
    </row>
    <row r="642" spans="1:26" ht="13">
      <c r="A642" s="21" t="s">
        <v>146</v>
      </c>
      <c r="B642" s="9">
        <v>2017</v>
      </c>
      <c r="C642" s="19">
        <v>707.52</v>
      </c>
      <c r="D642" s="19">
        <v>7234</v>
      </c>
      <c r="E642" s="19">
        <v>10174.450000000001</v>
      </c>
      <c r="F642" s="19">
        <v>6128.66</v>
      </c>
      <c r="G642" s="19">
        <v>5556.56</v>
      </c>
      <c r="H642" s="10">
        <f t="shared" si="188"/>
        <v>6.9538893994269949E-2</v>
      </c>
      <c r="I642" s="10">
        <f t="shared" si="189"/>
        <v>0.71099666321029631</v>
      </c>
      <c r="J642" s="10">
        <f t="shared" si="190"/>
        <v>1.1029593849432022</v>
      </c>
      <c r="K642" s="4">
        <f t="shared" si="196"/>
        <v>-0.56465588021529811</v>
      </c>
      <c r="L642" s="10">
        <f t="shared" si="202"/>
        <v>0.71099666321029631</v>
      </c>
      <c r="M642" s="19">
        <v>-1456.26</v>
      </c>
      <c r="N642" s="19">
        <v>-1440.43</v>
      </c>
      <c r="O642" s="19">
        <v>2815.67</v>
      </c>
      <c r="P642" s="11">
        <v>0.38629999999999998</v>
      </c>
      <c r="Q642" s="11">
        <v>1.77E-2</v>
      </c>
      <c r="R642" s="12">
        <f t="shared" ref="R642:R705" si="205">M642/E642</f>
        <v>-0.14312911263016673</v>
      </c>
      <c r="S642" s="12">
        <f t="shared" ref="S642:S705" si="206">N642/E642</f>
        <v>-0.14157325457395731</v>
      </c>
      <c r="T642" s="12">
        <f t="shared" ref="T642:T705" si="207">O642/E642</f>
        <v>0.27673928320449753</v>
      </c>
      <c r="U642" s="12">
        <f t="shared" si="169"/>
        <v>-5.5290776209033402E-2</v>
      </c>
      <c r="V642" s="12">
        <f t="shared" si="156"/>
        <v>-5.4689748241919703E-2</v>
      </c>
      <c r="W642" s="12">
        <f t="shared" si="157"/>
        <v>0.10690438510189738</v>
      </c>
      <c r="X642" s="12">
        <f t="shared" si="158"/>
        <v>-2.5333852935539511E-3</v>
      </c>
      <c r="Y642" s="12">
        <f t="shared" si="159"/>
        <v>-2.5058466059590446E-3</v>
      </c>
      <c r="Z642" s="12">
        <f t="shared" si="160"/>
        <v>4.8982853127196068E-3</v>
      </c>
    </row>
    <row r="643" spans="1:26" ht="13">
      <c r="A643" s="22" t="str">
        <f t="shared" ref="A643:A646" si="208">A642</f>
        <v>NKG</v>
      </c>
      <c r="B643" s="9">
        <v>2018</v>
      </c>
      <c r="C643" s="19">
        <v>57.33</v>
      </c>
      <c r="D643" s="19">
        <v>5150.84</v>
      </c>
      <c r="E643" s="19">
        <v>8122.02</v>
      </c>
      <c r="F643" s="19">
        <v>4102.01</v>
      </c>
      <c r="G643" s="19">
        <v>3924.41</v>
      </c>
      <c r="H643" s="10">
        <f t="shared" ref="H643:H706" si="209">C643/E643</f>
        <v>7.0585888732113437E-3</v>
      </c>
      <c r="I643" s="10">
        <f t="shared" ref="I643:I706" si="210">D643/E643</f>
        <v>0.63418213695607739</v>
      </c>
      <c r="J643" s="10">
        <f t="shared" ref="J643:J706" si="211">F643/G643</f>
        <v>1.0452552103373502</v>
      </c>
      <c r="K643" s="4">
        <f t="shared" si="196"/>
        <v>-0.72110649012115935</v>
      </c>
      <c r="L643" s="10">
        <f t="shared" si="202"/>
        <v>0.63418213695607739</v>
      </c>
      <c r="M643" s="19">
        <v>2335.85</v>
      </c>
      <c r="N643" s="19">
        <v>-194.57</v>
      </c>
      <c r="O643" s="19">
        <v>-1772.61</v>
      </c>
      <c r="P643" s="11">
        <v>0.40820000000000001</v>
      </c>
      <c r="Q643" s="11">
        <v>1.54E-2</v>
      </c>
      <c r="R643" s="12">
        <f t="shared" si="205"/>
        <v>0.28759471166039974</v>
      </c>
      <c r="S643" s="12">
        <f t="shared" si="206"/>
        <v>-2.395586319659395E-2</v>
      </c>
      <c r="T643" s="12">
        <f t="shared" si="207"/>
        <v>-0.21824743105779101</v>
      </c>
      <c r="U643" s="12">
        <f t="shared" si="169"/>
        <v>0.11739616129977518</v>
      </c>
      <c r="V643" s="12">
        <f t="shared" si="156"/>
        <v>-9.7787833568496515E-3</v>
      </c>
      <c r="W643" s="12">
        <f t="shared" si="157"/>
        <v>-8.9088601357790287E-2</v>
      </c>
      <c r="X643" s="12">
        <f t="shared" si="158"/>
        <v>4.428958559570156E-3</v>
      </c>
      <c r="Y643" s="12">
        <f t="shared" si="159"/>
        <v>-3.6892029322754686E-4</v>
      </c>
      <c r="Z643" s="12">
        <f t="shared" si="160"/>
        <v>-3.3610104382899818E-3</v>
      </c>
    </row>
    <row r="644" spans="1:26" ht="13">
      <c r="A644" s="22" t="str">
        <f t="shared" si="208"/>
        <v>NKG</v>
      </c>
      <c r="B644" s="9">
        <v>2019</v>
      </c>
      <c r="C644" s="19">
        <v>47.33</v>
      </c>
      <c r="D644" s="19">
        <v>5047.54</v>
      </c>
      <c r="E644" s="19">
        <v>8064.36</v>
      </c>
      <c r="F644" s="19">
        <v>4435.47</v>
      </c>
      <c r="G644" s="19">
        <v>4342.5</v>
      </c>
      <c r="H644" s="10">
        <f t="shared" si="209"/>
        <v>5.8690336244909703E-3</v>
      </c>
      <c r="I644" s="10">
        <f t="shared" si="210"/>
        <v>0.6259070775610216</v>
      </c>
      <c r="J644" s="10">
        <f t="shared" si="211"/>
        <v>1.0214093264248705</v>
      </c>
      <c r="K644" s="4">
        <f t="shared" si="196"/>
        <v>-0.76282594651808577</v>
      </c>
      <c r="L644" s="10">
        <f t="shared" si="202"/>
        <v>0.6259070775610216</v>
      </c>
      <c r="M644" s="19">
        <v>1180.98</v>
      </c>
      <c r="N644" s="19">
        <v>-229.71</v>
      </c>
      <c r="O644" s="19">
        <v>-1336.23</v>
      </c>
      <c r="P644" s="11">
        <v>0.4163</v>
      </c>
      <c r="Q644" s="11">
        <v>0.12</v>
      </c>
      <c r="R644" s="12">
        <f t="shared" si="205"/>
        <v>0.14644435516271595</v>
      </c>
      <c r="S644" s="12">
        <f t="shared" si="206"/>
        <v>-2.84845914616907E-2</v>
      </c>
      <c r="T644" s="12">
        <f t="shared" si="207"/>
        <v>-0.16569572786929157</v>
      </c>
      <c r="U644" s="12">
        <f t="shared" si="169"/>
        <v>6.0964785054238649E-2</v>
      </c>
      <c r="V644" s="12">
        <f t="shared" si="156"/>
        <v>-1.1858135425501839E-2</v>
      </c>
      <c r="W644" s="12">
        <f t="shared" si="157"/>
        <v>-6.8979131511986078E-2</v>
      </c>
      <c r="X644" s="12">
        <f t="shared" si="158"/>
        <v>1.7573322619525912E-2</v>
      </c>
      <c r="Y644" s="12">
        <f t="shared" si="159"/>
        <v>-3.4181509754028839E-3</v>
      </c>
      <c r="Z644" s="12">
        <f t="shared" si="160"/>
        <v>-1.9883487344314988E-2</v>
      </c>
    </row>
    <row r="645" spans="1:26" ht="13">
      <c r="A645" s="22" t="str">
        <f t="shared" si="208"/>
        <v>NKG</v>
      </c>
      <c r="B645" s="9">
        <v>2020</v>
      </c>
      <c r="C645" s="19">
        <v>295.27</v>
      </c>
      <c r="D645" s="19">
        <v>4582.07</v>
      </c>
      <c r="E645" s="19">
        <v>7763.09</v>
      </c>
      <c r="F645" s="19">
        <v>4492.26</v>
      </c>
      <c r="G645" s="19">
        <v>4097.9799999999996</v>
      </c>
      <c r="H645" s="10">
        <f t="shared" si="209"/>
        <v>3.8035112307083903E-2</v>
      </c>
      <c r="I645" s="10">
        <f t="shared" si="210"/>
        <v>0.59023790784339736</v>
      </c>
      <c r="J645" s="10">
        <f t="shared" si="211"/>
        <v>1.0962132562872442</v>
      </c>
      <c r="K645" s="4">
        <f t="shared" si="196"/>
        <v>-1.111186783699661</v>
      </c>
      <c r="L645" s="10">
        <f t="shared" si="202"/>
        <v>0.59023790784339736</v>
      </c>
      <c r="M645" s="19">
        <v>15.58</v>
      </c>
      <c r="N645" s="19">
        <v>345.74</v>
      </c>
      <c r="O645" s="19">
        <v>-218.2</v>
      </c>
      <c r="P645" s="11">
        <v>0.15210000000000001</v>
      </c>
      <c r="Q645" s="11">
        <v>0.1235</v>
      </c>
      <c r="R645" s="12">
        <f t="shared" si="205"/>
        <v>2.0069328063953913E-3</v>
      </c>
      <c r="S645" s="12">
        <f t="shared" si="206"/>
        <v>4.453638950469465E-2</v>
      </c>
      <c r="T645" s="12">
        <f t="shared" si="207"/>
        <v>-2.8107364464407855E-2</v>
      </c>
      <c r="U645" s="12">
        <f t="shared" si="169"/>
        <v>3.0525447985273906E-4</v>
      </c>
      <c r="V645" s="12">
        <f t="shared" si="156"/>
        <v>6.7739848436640564E-3</v>
      </c>
      <c r="W645" s="12">
        <f t="shared" si="157"/>
        <v>-4.2751301350364354E-3</v>
      </c>
      <c r="X645" s="12">
        <f t="shared" si="158"/>
        <v>2.4785620158983084E-4</v>
      </c>
      <c r="Y645" s="12">
        <f t="shared" si="159"/>
        <v>5.500244103829789E-3</v>
      </c>
      <c r="Z645" s="12">
        <f t="shared" si="160"/>
        <v>-3.4712595113543703E-3</v>
      </c>
    </row>
    <row r="646" spans="1:26" ht="13">
      <c r="A646" s="22" t="str">
        <f t="shared" si="208"/>
        <v>NKG</v>
      </c>
      <c r="B646" s="9">
        <v>2021</v>
      </c>
      <c r="C646" s="19">
        <v>2225.2600000000002</v>
      </c>
      <c r="D646" s="19">
        <v>9674.7099999999991</v>
      </c>
      <c r="E646" s="19">
        <v>15397.92</v>
      </c>
      <c r="F646" s="19">
        <v>12215.6</v>
      </c>
      <c r="G646" s="19">
        <v>9598.19</v>
      </c>
      <c r="H646" s="10">
        <f t="shared" si="209"/>
        <v>0.14451692176605674</v>
      </c>
      <c r="I646" s="10">
        <f t="shared" si="210"/>
        <v>0.62831278510344246</v>
      </c>
      <c r="J646" s="10">
        <f t="shared" si="211"/>
        <v>1.2726982899900918</v>
      </c>
      <c r="K646" s="4">
        <f t="shared" si="196"/>
        <v>-1.3740340660175931</v>
      </c>
      <c r="L646" s="10">
        <f t="shared" si="202"/>
        <v>0.62831278510344246</v>
      </c>
      <c r="M646" s="19">
        <v>-308.27</v>
      </c>
      <c r="N646" s="19">
        <v>-308.74</v>
      </c>
      <c r="O646" s="19">
        <v>1149.99</v>
      </c>
      <c r="P646" s="11">
        <v>8.5900000000000004E-2</v>
      </c>
      <c r="Q646" s="11">
        <v>4.0070000000000001E-2</v>
      </c>
      <c r="R646" s="12">
        <f t="shared" si="205"/>
        <v>-2.0020236499475253E-2</v>
      </c>
      <c r="S646" s="12">
        <f t="shared" si="206"/>
        <v>-2.0050760102663219E-2</v>
      </c>
      <c r="T646" s="12">
        <f t="shared" si="207"/>
        <v>7.4684762617288569E-2</v>
      </c>
      <c r="U646" s="12">
        <f t="shared" si="169"/>
        <v>-1.7197383153049243E-3</v>
      </c>
      <c r="V646" s="12">
        <f t="shared" si="156"/>
        <v>-1.7223602928187706E-3</v>
      </c>
      <c r="W646" s="12">
        <f t="shared" si="157"/>
        <v>6.415421108825088E-3</v>
      </c>
      <c r="X646" s="12">
        <f t="shared" si="158"/>
        <v>-8.0221087653397347E-4</v>
      </c>
      <c r="Y646" s="12">
        <f t="shared" si="159"/>
        <v>-8.0343395731371527E-4</v>
      </c>
      <c r="Z646" s="12">
        <f t="shared" si="160"/>
        <v>2.992618438074753E-3</v>
      </c>
    </row>
    <row r="647" spans="1:26" ht="13">
      <c r="A647" s="21" t="s">
        <v>147</v>
      </c>
      <c r="B647" s="9">
        <v>2017</v>
      </c>
      <c r="C647" s="19">
        <v>756.16</v>
      </c>
      <c r="D647" s="19">
        <v>4183.2</v>
      </c>
      <c r="E647" s="19">
        <v>7905.95</v>
      </c>
      <c r="F647" s="19">
        <v>6778.56</v>
      </c>
      <c r="G647" s="19">
        <v>3060.69</v>
      </c>
      <c r="H647" s="10">
        <f t="shared" si="209"/>
        <v>9.5644419709206355E-2</v>
      </c>
      <c r="I647" s="10">
        <f t="shared" si="210"/>
        <v>0.52912047255548034</v>
      </c>
      <c r="J647" s="10">
        <f t="shared" si="211"/>
        <v>2.2147162894641403</v>
      </c>
      <c r="K647" s="4">
        <f t="shared" si="196"/>
        <v>-1.7232720602830467</v>
      </c>
      <c r="L647" s="10">
        <f t="shared" si="202"/>
        <v>0.52912047255548034</v>
      </c>
      <c r="M647" s="19">
        <v>2260.98</v>
      </c>
      <c r="N647" s="19">
        <v>-786.49</v>
      </c>
      <c r="O647" s="19">
        <v>-323.95999999999998</v>
      </c>
      <c r="P647" s="11">
        <v>0.43819999999999998</v>
      </c>
      <c r="Q647" s="11">
        <v>2.0000000000000002E-5</v>
      </c>
      <c r="R647" s="12">
        <f t="shared" si="205"/>
        <v>0.28598460653052449</v>
      </c>
      <c r="S647" s="12">
        <f t="shared" si="206"/>
        <v>-9.9480770811856897E-2</v>
      </c>
      <c r="T647" s="12">
        <f t="shared" si="207"/>
        <v>-4.0976732713968594E-2</v>
      </c>
      <c r="U647" s="12">
        <f t="shared" si="169"/>
        <v>0.12531845458167581</v>
      </c>
      <c r="V647" s="12">
        <f t="shared" si="156"/>
        <v>-4.3592473769755689E-2</v>
      </c>
      <c r="W647" s="12">
        <f t="shared" si="157"/>
        <v>-1.7956004275261037E-2</v>
      </c>
      <c r="X647" s="12">
        <f t="shared" si="158"/>
        <v>5.7196921306104902E-6</v>
      </c>
      <c r="Y647" s="12">
        <f t="shared" si="159"/>
        <v>-1.9896154162371383E-6</v>
      </c>
      <c r="Z647" s="12">
        <f t="shared" si="160"/>
        <v>-8.1953465427937198E-7</v>
      </c>
    </row>
    <row r="648" spans="1:26" ht="13">
      <c r="A648" s="22" t="str">
        <f t="shared" ref="A648:A651" si="212">A647</f>
        <v>NLG</v>
      </c>
      <c r="B648" s="9">
        <v>2018</v>
      </c>
      <c r="C648" s="19">
        <v>887.19</v>
      </c>
      <c r="D648" s="19">
        <v>4289.8999999999996</v>
      </c>
      <c r="E648" s="19">
        <v>9574.4</v>
      </c>
      <c r="F648" s="19">
        <v>7320.03</v>
      </c>
      <c r="G648" s="19">
        <v>2693.61</v>
      </c>
      <c r="H648" s="10">
        <f t="shared" si="209"/>
        <v>9.2662725601604282E-2</v>
      </c>
      <c r="I648" s="10">
        <f t="shared" si="210"/>
        <v>0.44805940842245989</v>
      </c>
      <c r="J648" s="10">
        <f t="shared" si="211"/>
        <v>2.717553766135409</v>
      </c>
      <c r="K648" s="4">
        <f t="shared" si="196"/>
        <v>-2.1739138522637393</v>
      </c>
      <c r="L648" s="10">
        <f t="shared" si="202"/>
        <v>0.44805940842245989</v>
      </c>
      <c r="M648" s="19">
        <v>991.46</v>
      </c>
      <c r="N648" s="19">
        <v>-1829.57</v>
      </c>
      <c r="O648" s="19">
        <v>840.2</v>
      </c>
      <c r="P648" s="11">
        <v>0.38600000000000001</v>
      </c>
      <c r="Q648" s="11">
        <v>2.0000000000000002E-5</v>
      </c>
      <c r="R648" s="12">
        <f t="shared" si="205"/>
        <v>0.10355322526737969</v>
      </c>
      <c r="S648" s="12">
        <f t="shared" si="206"/>
        <v>-0.19108978108288771</v>
      </c>
      <c r="T648" s="12">
        <f t="shared" si="207"/>
        <v>8.7754846256684504E-2</v>
      </c>
      <c r="U648" s="12">
        <f t="shared" si="169"/>
        <v>3.9971544953208558E-2</v>
      </c>
      <c r="V648" s="12">
        <f t="shared" si="156"/>
        <v>-7.3760655497994654E-2</v>
      </c>
      <c r="W648" s="12">
        <f t="shared" si="157"/>
        <v>3.3873370655080219E-2</v>
      </c>
      <c r="X648" s="12">
        <f t="shared" si="158"/>
        <v>2.0710645053475938E-6</v>
      </c>
      <c r="Y648" s="12">
        <f t="shared" si="159"/>
        <v>-3.8217956216577546E-6</v>
      </c>
      <c r="Z648" s="12">
        <f t="shared" si="160"/>
        <v>1.7550969251336903E-6</v>
      </c>
    </row>
    <row r="649" spans="1:26" ht="13">
      <c r="A649" s="22" t="str">
        <f t="shared" si="212"/>
        <v>NLG</v>
      </c>
      <c r="B649" s="9">
        <v>2019</v>
      </c>
      <c r="C649" s="19">
        <v>1007.27</v>
      </c>
      <c r="D649" s="19">
        <v>4704.46</v>
      </c>
      <c r="E649" s="19">
        <v>10904.39</v>
      </c>
      <c r="F649" s="19">
        <v>7923.24</v>
      </c>
      <c r="G649" s="19">
        <v>3024.34</v>
      </c>
      <c r="H649" s="10">
        <f t="shared" si="209"/>
        <v>9.2372888350471694E-2</v>
      </c>
      <c r="I649" s="10">
        <f t="shared" si="210"/>
        <v>0.43142807621517576</v>
      </c>
      <c r="J649" s="10">
        <f t="shared" si="211"/>
        <v>2.6198244906326669</v>
      </c>
      <c r="K649" s="4">
        <f t="shared" si="196"/>
        <v>-2.2670172611131516</v>
      </c>
      <c r="L649" s="10">
        <f t="shared" si="202"/>
        <v>0.43142807621517576</v>
      </c>
      <c r="M649" s="19">
        <v>325.27999999999997</v>
      </c>
      <c r="N649" s="19">
        <v>-377.43</v>
      </c>
      <c r="O649" s="19">
        <v>-131.37</v>
      </c>
      <c r="P649" s="11">
        <v>0.3901</v>
      </c>
      <c r="Q649" s="11">
        <v>6.4799999999999996E-3</v>
      </c>
      <c r="R649" s="12">
        <f t="shared" si="205"/>
        <v>2.9830187658365117E-2</v>
      </c>
      <c r="S649" s="12">
        <f t="shared" si="206"/>
        <v>-3.4612665174301359E-2</v>
      </c>
      <c r="T649" s="12">
        <f t="shared" si="207"/>
        <v>-1.2047441443308613E-2</v>
      </c>
      <c r="U649" s="12">
        <f t="shared" si="169"/>
        <v>1.1636756205528231E-2</v>
      </c>
      <c r="V649" s="12">
        <f t="shared" si="156"/>
        <v>-1.350240068449496E-2</v>
      </c>
      <c r="W649" s="12">
        <f t="shared" si="157"/>
        <v>-4.6997069070346901E-3</v>
      </c>
      <c r="X649" s="12">
        <f t="shared" si="158"/>
        <v>1.9329961602620595E-4</v>
      </c>
      <c r="Y649" s="12">
        <f t="shared" si="159"/>
        <v>-2.242900703294728E-4</v>
      </c>
      <c r="Z649" s="12">
        <f t="shared" si="160"/>
        <v>-7.8067420552639801E-5</v>
      </c>
    </row>
    <row r="650" spans="1:26" ht="13">
      <c r="A650" s="22" t="str">
        <f t="shared" si="212"/>
        <v>NLG</v>
      </c>
      <c r="B650" s="9">
        <v>2020</v>
      </c>
      <c r="C650" s="19">
        <v>850.33</v>
      </c>
      <c r="D650" s="19">
        <v>6922.37</v>
      </c>
      <c r="E650" s="19">
        <v>13642.71</v>
      </c>
      <c r="F650" s="19">
        <v>9569.57</v>
      </c>
      <c r="G650" s="19">
        <v>4439.1400000000003</v>
      </c>
      <c r="H650" s="10">
        <f t="shared" si="209"/>
        <v>6.2328525637501644E-2</v>
      </c>
      <c r="I650" s="10">
        <f t="shared" si="210"/>
        <v>0.50740432069581487</v>
      </c>
      <c r="J650" s="10">
        <f t="shared" si="211"/>
        <v>2.1557261091112241</v>
      </c>
      <c r="K650" s="4">
        <f t="shared" si="196"/>
        <v>-1.696896641839057</v>
      </c>
      <c r="L650" s="10">
        <f t="shared" si="202"/>
        <v>0.50740432069581487</v>
      </c>
      <c r="M650" s="19">
        <v>-1110.9100000000001</v>
      </c>
      <c r="N650" s="19">
        <v>-1042.54</v>
      </c>
      <c r="O650" s="19">
        <v>1325.97</v>
      </c>
      <c r="P650" s="11">
        <v>0.47670000000000001</v>
      </c>
      <c r="Q650" s="11">
        <v>1.0120000000000001E-2</v>
      </c>
      <c r="R650" s="12">
        <f t="shared" si="205"/>
        <v>-8.1428836352894704E-2</v>
      </c>
      <c r="S650" s="12">
        <f t="shared" si="206"/>
        <v>-7.6417368689945031E-2</v>
      </c>
      <c r="T650" s="12">
        <f t="shared" si="207"/>
        <v>9.7192566579513903E-2</v>
      </c>
      <c r="U650" s="12">
        <f t="shared" si="169"/>
        <v>-3.8817126289424908E-2</v>
      </c>
      <c r="V650" s="12">
        <f t="shared" si="156"/>
        <v>-3.6428159654496799E-2</v>
      </c>
      <c r="W650" s="12">
        <f t="shared" si="157"/>
        <v>4.6331696488454276E-2</v>
      </c>
      <c r="X650" s="12">
        <f t="shared" si="158"/>
        <v>-8.2405982389129441E-4</v>
      </c>
      <c r="Y650" s="12">
        <f t="shared" si="159"/>
        <v>-7.7334377114224371E-4</v>
      </c>
      <c r="Z650" s="12">
        <f t="shared" si="160"/>
        <v>9.8358877378468073E-4</v>
      </c>
    </row>
    <row r="651" spans="1:26" ht="13">
      <c r="A651" s="22" t="str">
        <f t="shared" si="212"/>
        <v>NLG</v>
      </c>
      <c r="B651" s="9">
        <v>2021</v>
      </c>
      <c r="C651" s="19">
        <v>1477.96</v>
      </c>
      <c r="D651" s="19">
        <v>10089.969999999999</v>
      </c>
      <c r="E651" s="19">
        <v>23617.64</v>
      </c>
      <c r="F651" s="19">
        <v>21784.17</v>
      </c>
      <c r="G651" s="19">
        <v>6317.59</v>
      </c>
      <c r="H651" s="10">
        <f t="shared" si="209"/>
        <v>6.2578648840442994E-2</v>
      </c>
      <c r="I651" s="10">
        <f t="shared" si="210"/>
        <v>0.42722177152331897</v>
      </c>
      <c r="J651" s="10">
        <f t="shared" si="211"/>
        <v>3.4481772321407367</v>
      </c>
      <c r="K651" s="4">
        <f t="shared" si="196"/>
        <v>-2.160232531027638</v>
      </c>
      <c r="L651" s="10">
        <f t="shared" si="202"/>
        <v>0.42722177152331897</v>
      </c>
      <c r="M651" s="19">
        <v>1295.54</v>
      </c>
      <c r="N651" s="19">
        <v>-2005.6</v>
      </c>
      <c r="O651" s="19">
        <v>2748.51</v>
      </c>
      <c r="P651" s="11">
        <v>0.32</v>
      </c>
      <c r="Q651" s="11">
        <v>8.7600000000000004E-3</v>
      </c>
      <c r="R651" s="12">
        <f t="shared" si="205"/>
        <v>5.4854761102294723E-2</v>
      </c>
      <c r="S651" s="12">
        <f t="shared" si="206"/>
        <v>-8.491957706189103E-2</v>
      </c>
      <c r="T651" s="12">
        <f t="shared" si="207"/>
        <v>0.11637530252811036</v>
      </c>
      <c r="U651" s="12">
        <f t="shared" si="169"/>
        <v>1.7553523552734311E-2</v>
      </c>
      <c r="V651" s="12">
        <f t="shared" si="156"/>
        <v>-2.7174264659805131E-2</v>
      </c>
      <c r="W651" s="12">
        <f t="shared" si="157"/>
        <v>3.7240096808995315E-2</v>
      </c>
      <c r="X651" s="12">
        <f t="shared" si="158"/>
        <v>4.8052770725610179E-4</v>
      </c>
      <c r="Y651" s="12">
        <f t="shared" si="159"/>
        <v>-7.4389549506216548E-4</v>
      </c>
      <c r="Z651" s="12">
        <f t="shared" si="160"/>
        <v>1.0194476501462469E-3</v>
      </c>
    </row>
    <row r="652" spans="1:26" ht="13">
      <c r="A652" s="21" t="s">
        <v>148</v>
      </c>
      <c r="B652" s="9">
        <v>2017</v>
      </c>
      <c r="C652" s="19">
        <v>190.64</v>
      </c>
      <c r="D652" s="19">
        <v>100.38</v>
      </c>
      <c r="E652" s="19">
        <v>569.33000000000004</v>
      </c>
      <c r="F652" s="19">
        <v>411.66</v>
      </c>
      <c r="G652" s="19">
        <v>95.41</v>
      </c>
      <c r="H652" s="10">
        <f t="shared" si="209"/>
        <v>0.33484973565418996</v>
      </c>
      <c r="I652" s="10">
        <f t="shared" si="210"/>
        <v>0.17631250768447121</v>
      </c>
      <c r="J652" s="10">
        <f t="shared" si="211"/>
        <v>4.3146420710617344</v>
      </c>
      <c r="K652" s="4">
        <f t="shared" si="196"/>
        <v>-4.8191010849266158</v>
      </c>
      <c r="L652" s="10">
        <f t="shared" si="202"/>
        <v>0.17631250768447121</v>
      </c>
      <c r="M652" s="19">
        <v>119.76</v>
      </c>
      <c r="N652" s="19">
        <v>19.61</v>
      </c>
      <c r="O652" s="19">
        <v>-114.5</v>
      </c>
      <c r="P652" s="11">
        <v>0.2127</v>
      </c>
      <c r="Q652" s="11">
        <v>2.3999999999999998E-3</v>
      </c>
      <c r="R652" s="12">
        <f t="shared" si="205"/>
        <v>0.21035251962833507</v>
      </c>
      <c r="S652" s="12">
        <f t="shared" si="206"/>
        <v>3.4443995573744571E-2</v>
      </c>
      <c r="T652" s="12">
        <f t="shared" si="207"/>
        <v>-0.20111358965801907</v>
      </c>
      <c r="U652" s="12">
        <f t="shared" si="169"/>
        <v>4.474198092494687E-2</v>
      </c>
      <c r="V652" s="12">
        <f t="shared" si="156"/>
        <v>7.3262378585354703E-3</v>
      </c>
      <c r="W652" s="12">
        <f t="shared" si="157"/>
        <v>-4.2776860520260654E-2</v>
      </c>
      <c r="X652" s="12">
        <f t="shared" si="158"/>
        <v>5.0484604710800411E-4</v>
      </c>
      <c r="Y652" s="12">
        <f t="shared" si="159"/>
        <v>8.2665589376986962E-5</v>
      </c>
      <c r="Z652" s="12">
        <f t="shared" si="160"/>
        <v>-4.8267261517924572E-4</v>
      </c>
    </row>
    <row r="653" spans="1:26" ht="13">
      <c r="A653" s="22" t="str">
        <f t="shared" ref="A653:A656" si="213">A652</f>
        <v>NNC</v>
      </c>
      <c r="B653" s="9">
        <v>2018</v>
      </c>
      <c r="C653" s="19">
        <v>185.81</v>
      </c>
      <c r="D653" s="19">
        <v>113.98</v>
      </c>
      <c r="E653" s="19">
        <v>446.98</v>
      </c>
      <c r="F653" s="19">
        <v>287.67</v>
      </c>
      <c r="G653" s="19">
        <v>107.99</v>
      </c>
      <c r="H653" s="10">
        <f t="shared" si="209"/>
        <v>0.41570092621593807</v>
      </c>
      <c r="I653" s="10">
        <f t="shared" si="210"/>
        <v>0.25500022372365655</v>
      </c>
      <c r="J653" s="10">
        <f t="shared" si="211"/>
        <v>2.6638577646078345</v>
      </c>
      <c r="K653" s="4">
        <f t="shared" si="196"/>
        <v>-4.7278083238053101</v>
      </c>
      <c r="L653" s="10">
        <f t="shared" si="202"/>
        <v>0.25500022372365655</v>
      </c>
      <c r="M653" s="19">
        <v>171.32</v>
      </c>
      <c r="N653" s="19">
        <v>150.59</v>
      </c>
      <c r="O653" s="19">
        <v>-301.11</v>
      </c>
      <c r="P653" s="11">
        <v>0.2167</v>
      </c>
      <c r="Q653" s="11">
        <v>2.3999999999999998E-3</v>
      </c>
      <c r="R653" s="12">
        <f t="shared" si="205"/>
        <v>0.38328336838337285</v>
      </c>
      <c r="S653" s="12">
        <f t="shared" si="206"/>
        <v>0.33690545438274644</v>
      </c>
      <c r="T653" s="12">
        <f t="shared" si="207"/>
        <v>-0.67365430220591527</v>
      </c>
      <c r="U653" s="12">
        <f t="shared" si="169"/>
        <v>8.3057505928676903E-2</v>
      </c>
      <c r="V653" s="12">
        <f t="shared" si="156"/>
        <v>7.3007411964741156E-2</v>
      </c>
      <c r="W653" s="12">
        <f t="shared" si="157"/>
        <v>-0.14598088728802183</v>
      </c>
      <c r="X653" s="12">
        <f t="shared" si="158"/>
        <v>9.1988008412009477E-4</v>
      </c>
      <c r="Y653" s="12">
        <f t="shared" si="159"/>
        <v>8.0857309051859136E-4</v>
      </c>
      <c r="Z653" s="12">
        <f t="shared" si="160"/>
        <v>-1.6167703252941965E-3</v>
      </c>
    </row>
    <row r="654" spans="1:26" ht="13">
      <c r="A654" s="22" t="str">
        <f t="shared" si="213"/>
        <v>NNC</v>
      </c>
      <c r="B654" s="9">
        <v>2019</v>
      </c>
      <c r="C654" s="19">
        <v>122.73</v>
      </c>
      <c r="D654" s="19">
        <v>94.43</v>
      </c>
      <c r="E654" s="19">
        <v>386.95</v>
      </c>
      <c r="F654" s="19">
        <v>211.23</v>
      </c>
      <c r="G654" s="19">
        <v>88.25</v>
      </c>
      <c r="H654" s="10">
        <f t="shared" si="209"/>
        <v>0.31717276133867428</v>
      </c>
      <c r="I654" s="10">
        <f t="shared" si="210"/>
        <v>0.24403669724770644</v>
      </c>
      <c r="J654" s="10">
        <f t="shared" si="211"/>
        <v>2.393541076487252</v>
      </c>
      <c r="K654" s="4">
        <f t="shared" si="196"/>
        <v>-4.3458424160180558</v>
      </c>
      <c r="L654" s="10">
        <f t="shared" si="202"/>
        <v>0.24403669724770644</v>
      </c>
      <c r="M654" s="19">
        <v>92.75</v>
      </c>
      <c r="N654" s="19">
        <v>10.78</v>
      </c>
      <c r="O654" s="19">
        <v>-152.72</v>
      </c>
      <c r="P654" s="11">
        <v>0.1797</v>
      </c>
      <c r="Q654" s="11">
        <v>2.3999999999999998E-3</v>
      </c>
      <c r="R654" s="12">
        <f t="shared" si="205"/>
        <v>0.23969505104018607</v>
      </c>
      <c r="S654" s="12">
        <f t="shared" si="206"/>
        <v>2.7858896498255587E-2</v>
      </c>
      <c r="T654" s="12">
        <f t="shared" si="207"/>
        <v>-0.39467631476935006</v>
      </c>
      <c r="U654" s="12">
        <f t="shared" si="169"/>
        <v>4.3073200671921434E-2</v>
      </c>
      <c r="V654" s="12">
        <f t="shared" si="156"/>
        <v>5.0062437007365292E-3</v>
      </c>
      <c r="W654" s="12">
        <f t="shared" si="157"/>
        <v>-7.0923333764052202E-2</v>
      </c>
      <c r="X654" s="12">
        <f t="shared" si="158"/>
        <v>5.7526812249644656E-4</v>
      </c>
      <c r="Y654" s="12">
        <f t="shared" si="159"/>
        <v>6.68613515958134E-5</v>
      </c>
      <c r="Z654" s="12">
        <f t="shared" si="160"/>
        <v>-9.4722315544644008E-4</v>
      </c>
    </row>
    <row r="655" spans="1:26" ht="13">
      <c r="A655" s="22" t="str">
        <f t="shared" si="213"/>
        <v>NNC</v>
      </c>
      <c r="B655" s="9">
        <v>2020</v>
      </c>
      <c r="C655" s="19">
        <v>110.75</v>
      </c>
      <c r="D655" s="19">
        <v>94.79</v>
      </c>
      <c r="E655" s="19">
        <v>379.61</v>
      </c>
      <c r="F655" s="19">
        <v>210.17</v>
      </c>
      <c r="G655" s="19">
        <v>91.81</v>
      </c>
      <c r="H655" s="10">
        <f t="shared" si="209"/>
        <v>0.29174679276099152</v>
      </c>
      <c r="I655" s="10">
        <f t="shared" si="210"/>
        <v>0.249703643212771</v>
      </c>
      <c r="J655" s="10">
        <f t="shared" si="211"/>
        <v>2.2891841847293319</v>
      </c>
      <c r="K655" s="4">
        <f t="shared" si="196"/>
        <v>-4.1987065378505841</v>
      </c>
      <c r="L655" s="10">
        <f t="shared" si="202"/>
        <v>0.249703643212771</v>
      </c>
      <c r="M655" s="19">
        <v>113.94</v>
      </c>
      <c r="N655" s="19">
        <v>13.79</v>
      </c>
      <c r="O655" s="19">
        <v>-109.25</v>
      </c>
      <c r="P655" s="11">
        <v>0.1174</v>
      </c>
      <c r="Q655" s="11">
        <v>2.3999999999999998E-3</v>
      </c>
      <c r="R655" s="12">
        <f t="shared" si="205"/>
        <v>0.30015015410552937</v>
      </c>
      <c r="S655" s="12">
        <f t="shared" si="206"/>
        <v>3.6326756407892305E-2</v>
      </c>
      <c r="T655" s="12">
        <f t="shared" si="207"/>
        <v>-0.28779536893127156</v>
      </c>
      <c r="U655" s="12">
        <f t="shared" si="169"/>
        <v>3.5237628091989145E-2</v>
      </c>
      <c r="V655" s="12">
        <f t="shared" si="156"/>
        <v>4.264761202286557E-3</v>
      </c>
      <c r="W655" s="12">
        <f t="shared" si="157"/>
        <v>-3.3787176312531281E-2</v>
      </c>
      <c r="X655" s="12">
        <f t="shared" si="158"/>
        <v>7.2036036985327037E-4</v>
      </c>
      <c r="Y655" s="12">
        <f t="shared" si="159"/>
        <v>8.7184215378941526E-5</v>
      </c>
      <c r="Z655" s="12">
        <f t="shared" si="160"/>
        <v>-6.9070888543505172E-4</v>
      </c>
    </row>
    <row r="656" spans="1:26" ht="13">
      <c r="A656" s="22" t="str">
        <f t="shared" si="213"/>
        <v>NNC</v>
      </c>
      <c r="B656" s="9">
        <v>2021</v>
      </c>
      <c r="C656" s="19">
        <v>38.619999999999997</v>
      </c>
      <c r="D656" s="19">
        <v>52.94</v>
      </c>
      <c r="E656" s="19">
        <v>354.49</v>
      </c>
      <c r="F656" s="19">
        <v>191.28</v>
      </c>
      <c r="G656" s="19">
        <v>49.7</v>
      </c>
      <c r="H656" s="10">
        <f t="shared" si="209"/>
        <v>0.10894524528195434</v>
      </c>
      <c r="I656" s="10">
        <f t="shared" si="210"/>
        <v>0.14934130723010522</v>
      </c>
      <c r="J656" s="10">
        <f t="shared" si="211"/>
        <v>3.8486921529175047</v>
      </c>
      <c r="K656" s="4">
        <f t="shared" si="196"/>
        <v>-3.9544029211688652</v>
      </c>
      <c r="L656" s="10">
        <f t="shared" si="202"/>
        <v>0.14934130723010522</v>
      </c>
      <c r="M656" s="19">
        <v>66.12</v>
      </c>
      <c r="N656" s="19">
        <v>4.3</v>
      </c>
      <c r="O656" s="19">
        <v>-39.25</v>
      </c>
      <c r="P656" s="11">
        <v>8.3000000000000004E-2</v>
      </c>
      <c r="Q656" s="11">
        <v>2.3999999999999998E-3</v>
      </c>
      <c r="R656" s="12">
        <f t="shared" si="205"/>
        <v>0.18652148156506532</v>
      </c>
      <c r="S656" s="12">
        <f t="shared" si="206"/>
        <v>1.2130102400631892E-2</v>
      </c>
      <c r="T656" s="12">
        <f t="shared" si="207"/>
        <v>-0.11072244633134926</v>
      </c>
      <c r="U656" s="12">
        <f t="shared" si="169"/>
        <v>1.5481282969900423E-2</v>
      </c>
      <c r="V656" s="12">
        <f t="shared" si="156"/>
        <v>1.006798499252447E-3</v>
      </c>
      <c r="W656" s="12">
        <f t="shared" si="157"/>
        <v>-9.1899630455019882E-3</v>
      </c>
      <c r="X656" s="12">
        <f t="shared" si="158"/>
        <v>4.4765155575615673E-4</v>
      </c>
      <c r="Y656" s="12">
        <f t="shared" si="159"/>
        <v>2.911224576151654E-5</v>
      </c>
      <c r="Z656" s="12">
        <f t="shared" si="160"/>
        <v>-2.6573387119523817E-4</v>
      </c>
    </row>
    <row r="657" spans="1:27" ht="13">
      <c r="A657" s="21" t="s">
        <v>149</v>
      </c>
      <c r="B657" s="9">
        <v>2017</v>
      </c>
      <c r="C657" s="19">
        <v>234.62</v>
      </c>
      <c r="D657" s="19">
        <v>502.15</v>
      </c>
      <c r="E657" s="19">
        <v>1561.42</v>
      </c>
      <c r="F657" s="19">
        <v>872.05</v>
      </c>
      <c r="G657" s="19">
        <v>461.45</v>
      </c>
      <c r="H657" s="10">
        <f t="shared" si="209"/>
        <v>0.15026066016830833</v>
      </c>
      <c r="I657" s="10">
        <f t="shared" si="210"/>
        <v>0.32159828873717511</v>
      </c>
      <c r="J657" s="10">
        <f t="shared" si="211"/>
        <v>1.889803879076823</v>
      </c>
      <c r="K657" s="4">
        <f t="shared" si="196"/>
        <v>-3.1506219404717961</v>
      </c>
      <c r="L657" s="10">
        <f t="shared" si="202"/>
        <v>0.32159828873717511</v>
      </c>
      <c r="M657" s="19">
        <v>251.27</v>
      </c>
      <c r="N657" s="19">
        <v>-108.32</v>
      </c>
      <c r="O657" s="19">
        <v>-132.26</v>
      </c>
      <c r="P657" s="11">
        <v>0.154</v>
      </c>
      <c r="Q657" s="11">
        <v>6.6E-3</v>
      </c>
      <c r="R657" s="12">
        <f t="shared" si="205"/>
        <v>0.16092403069001293</v>
      </c>
      <c r="S657" s="12">
        <f t="shared" si="206"/>
        <v>-6.9372750445107656E-2</v>
      </c>
      <c r="T657" s="12">
        <f t="shared" si="207"/>
        <v>-8.4704948060099136E-2</v>
      </c>
      <c r="U657" s="12">
        <f t="shared" si="169"/>
        <v>2.4782300726261992E-2</v>
      </c>
      <c r="V657" s="12">
        <f t="shared" si="156"/>
        <v>-1.0683403568546579E-2</v>
      </c>
      <c r="W657" s="12">
        <f t="shared" si="157"/>
        <v>-1.3044562001255268E-2</v>
      </c>
      <c r="X657" s="12">
        <f t="shared" si="158"/>
        <v>1.0620986025540854E-3</v>
      </c>
      <c r="Y657" s="12">
        <f t="shared" si="159"/>
        <v>-4.5786015293771055E-4</v>
      </c>
      <c r="Z657" s="12">
        <f t="shared" si="160"/>
        <v>-5.5905265719665429E-4</v>
      </c>
    </row>
    <row r="658" spans="1:27" ht="13">
      <c r="A658" s="22" t="str">
        <f t="shared" ref="A658:A661" si="214">A657</f>
        <v>NSC</v>
      </c>
      <c r="B658" s="9">
        <v>2018</v>
      </c>
      <c r="C658" s="19">
        <v>252.7</v>
      </c>
      <c r="D658" s="19">
        <v>508.6</v>
      </c>
      <c r="E658" s="19">
        <v>1561.2</v>
      </c>
      <c r="F658" s="19">
        <v>876.65</v>
      </c>
      <c r="G658" s="19">
        <v>397.69</v>
      </c>
      <c r="H658" s="10">
        <f t="shared" si="209"/>
        <v>0.16186266974122468</v>
      </c>
      <c r="I658" s="10">
        <f t="shared" si="210"/>
        <v>0.32577504483730463</v>
      </c>
      <c r="J658" s="10">
        <f t="shared" si="211"/>
        <v>2.2043551509970079</v>
      </c>
      <c r="K658" s="4">
        <f t="shared" si="196"/>
        <v>-3.1802816788668626</v>
      </c>
      <c r="L658" s="10">
        <f t="shared" si="202"/>
        <v>0.32577504483730463</v>
      </c>
      <c r="M658" s="19">
        <v>340.59</v>
      </c>
      <c r="N658" s="19">
        <v>-227.15</v>
      </c>
      <c r="O658" s="19">
        <v>-16.84</v>
      </c>
      <c r="P658" s="11">
        <v>9.74E-2</v>
      </c>
      <c r="Q658" s="11">
        <v>4.7999999999999996E-3</v>
      </c>
      <c r="R658" s="12">
        <f t="shared" si="205"/>
        <v>0.21815910837817062</v>
      </c>
      <c r="S658" s="12">
        <f t="shared" si="206"/>
        <v>-0.14549705354855239</v>
      </c>
      <c r="T658" s="12">
        <f t="shared" si="207"/>
        <v>-1.0786574429925698E-2</v>
      </c>
      <c r="U658" s="12">
        <f t="shared" si="169"/>
        <v>2.1248697156033818E-2</v>
      </c>
      <c r="V658" s="12">
        <f t="shared" si="156"/>
        <v>-1.4171413015629002E-2</v>
      </c>
      <c r="W658" s="12">
        <f t="shared" si="157"/>
        <v>-1.050612349474763E-3</v>
      </c>
      <c r="X658" s="12">
        <f t="shared" si="158"/>
        <v>1.0471637202152189E-3</v>
      </c>
      <c r="Y658" s="12">
        <f t="shared" si="159"/>
        <v>-6.9838585703305134E-4</v>
      </c>
      <c r="Z658" s="12">
        <f t="shared" si="160"/>
        <v>-5.1775557263643343E-5</v>
      </c>
    </row>
    <row r="659" spans="1:27" ht="13">
      <c r="A659" s="22" t="str">
        <f t="shared" si="214"/>
        <v>NSC</v>
      </c>
      <c r="B659" s="9">
        <v>2019</v>
      </c>
      <c r="C659" s="19">
        <v>207.46</v>
      </c>
      <c r="D659" s="19">
        <v>639.11</v>
      </c>
      <c r="E659" s="19">
        <v>1767.69</v>
      </c>
      <c r="F659" s="19">
        <v>858.45</v>
      </c>
      <c r="G659" s="19">
        <v>544.62</v>
      </c>
      <c r="H659" s="10">
        <f t="shared" si="209"/>
        <v>0.11736220717433486</v>
      </c>
      <c r="I659" s="10">
        <f t="shared" si="210"/>
        <v>0.36155095067574067</v>
      </c>
      <c r="J659" s="10">
        <f t="shared" si="211"/>
        <v>1.5762366420623555</v>
      </c>
      <c r="K659" s="4">
        <f t="shared" si="196"/>
        <v>-2.7735944600010343</v>
      </c>
      <c r="L659" s="10">
        <f t="shared" si="202"/>
        <v>0.36155095067574067</v>
      </c>
      <c r="M659" s="19">
        <v>231.86</v>
      </c>
      <c r="N659" s="19">
        <v>-244.62</v>
      </c>
      <c r="O659" s="19">
        <v>35.69</v>
      </c>
      <c r="P659" s="11">
        <v>0.1067</v>
      </c>
      <c r="Q659" s="11">
        <v>4.5999999999999999E-3</v>
      </c>
      <c r="R659" s="12">
        <f t="shared" si="205"/>
        <v>0.13116553241801449</v>
      </c>
      <c r="S659" s="12">
        <f t="shared" si="206"/>
        <v>-0.13838399266839774</v>
      </c>
      <c r="T659" s="12">
        <f t="shared" si="207"/>
        <v>2.0190191719136271E-2</v>
      </c>
      <c r="U659" s="12">
        <f t="shared" si="169"/>
        <v>1.3995362309002146E-2</v>
      </c>
      <c r="V659" s="12">
        <f t="shared" si="156"/>
        <v>-1.4765572017718038E-2</v>
      </c>
      <c r="W659" s="12">
        <f t="shared" si="157"/>
        <v>2.1542934564318401E-3</v>
      </c>
      <c r="X659" s="12">
        <f t="shared" si="158"/>
        <v>6.0336144912286668E-4</v>
      </c>
      <c r="Y659" s="12">
        <f t="shared" si="159"/>
        <v>-6.3656636627462963E-4</v>
      </c>
      <c r="Z659" s="12">
        <f t="shared" si="160"/>
        <v>9.287488190802685E-5</v>
      </c>
    </row>
    <row r="660" spans="1:27" ht="13">
      <c r="A660" s="22" t="str">
        <f t="shared" si="214"/>
        <v>NSC</v>
      </c>
      <c r="B660" s="9">
        <v>2020</v>
      </c>
      <c r="C660" s="19">
        <v>194.82</v>
      </c>
      <c r="D660" s="19">
        <v>600.11</v>
      </c>
      <c r="E660" s="19">
        <v>1801.55</v>
      </c>
      <c r="F660" s="19">
        <v>866.66</v>
      </c>
      <c r="G660" s="19">
        <v>534.53</v>
      </c>
      <c r="H660" s="10">
        <f t="shared" si="209"/>
        <v>0.10814021259471011</v>
      </c>
      <c r="I660" s="10">
        <f t="shared" si="210"/>
        <v>0.33310760178734977</v>
      </c>
      <c r="J660" s="10">
        <f t="shared" si="211"/>
        <v>1.6213495968420857</v>
      </c>
      <c r="K660" s="4">
        <f t="shared" si="196"/>
        <v>-2.8944030248756696</v>
      </c>
      <c r="L660" s="10">
        <f t="shared" si="202"/>
        <v>0.33310760178734977</v>
      </c>
      <c r="M660" s="19">
        <v>173.73</v>
      </c>
      <c r="N660" s="19">
        <v>-103.35</v>
      </c>
      <c r="O660" s="19">
        <v>-116.1</v>
      </c>
      <c r="P660" s="11">
        <v>7.3200000000000001E-2</v>
      </c>
      <c r="Q660" s="11">
        <v>2.0999999999999999E-3</v>
      </c>
      <c r="R660" s="12">
        <f t="shared" si="205"/>
        <v>9.6433626599317257E-2</v>
      </c>
      <c r="S660" s="12">
        <f t="shared" si="206"/>
        <v>-5.7367267075573811E-2</v>
      </c>
      <c r="T660" s="12">
        <f t="shared" si="207"/>
        <v>-6.4444506119730224E-2</v>
      </c>
      <c r="U660" s="12">
        <f t="shared" si="169"/>
        <v>7.0589414670700233E-3</v>
      </c>
      <c r="V660" s="12">
        <f t="shared" si="156"/>
        <v>-4.1992839499320027E-3</v>
      </c>
      <c r="W660" s="12">
        <f t="shared" si="157"/>
        <v>-4.7173378479642529E-3</v>
      </c>
      <c r="X660" s="12">
        <f t="shared" si="158"/>
        <v>2.0251061585856622E-4</v>
      </c>
      <c r="Y660" s="12">
        <f t="shared" si="159"/>
        <v>-1.2047126085870499E-4</v>
      </c>
      <c r="Z660" s="12">
        <f t="shared" si="160"/>
        <v>-1.3533346285143346E-4</v>
      </c>
    </row>
    <row r="661" spans="1:27" ht="13">
      <c r="A661" s="22" t="str">
        <f t="shared" si="214"/>
        <v>NSC</v>
      </c>
      <c r="B661" s="9">
        <v>2021</v>
      </c>
      <c r="C661" s="19">
        <v>225.63</v>
      </c>
      <c r="D661" s="19">
        <v>627.33000000000004</v>
      </c>
      <c r="E661" s="19">
        <v>1931.96</v>
      </c>
      <c r="F661" s="19">
        <v>1043.93</v>
      </c>
      <c r="G661" s="19">
        <v>595.38</v>
      </c>
      <c r="H661" s="10">
        <f t="shared" si="209"/>
        <v>0.11678813225946706</v>
      </c>
      <c r="I661" s="10">
        <f t="shared" si="210"/>
        <v>0.32471169175345249</v>
      </c>
      <c r="J661" s="10">
        <f t="shared" si="211"/>
        <v>1.7533843931606705</v>
      </c>
      <c r="K661" s="4">
        <f t="shared" si="196"/>
        <v>-2.981703489745565</v>
      </c>
      <c r="L661" s="10">
        <f t="shared" si="202"/>
        <v>0.32471169175345249</v>
      </c>
      <c r="M661" s="19">
        <v>133.35</v>
      </c>
      <c r="N661" s="19">
        <v>-23.65</v>
      </c>
      <c r="O661" s="19">
        <v>-60.03</v>
      </c>
      <c r="P661" s="11">
        <v>7.6300000000000007E-2</v>
      </c>
      <c r="Q661" s="11">
        <v>2.0999999999999999E-3</v>
      </c>
      <c r="R661" s="12">
        <f t="shared" si="205"/>
        <v>6.9023168181535852E-2</v>
      </c>
      <c r="S661" s="12">
        <f t="shared" si="206"/>
        <v>-1.2241454274415619E-2</v>
      </c>
      <c r="T661" s="12">
        <f t="shared" si="207"/>
        <v>-3.1072071885546285E-2</v>
      </c>
      <c r="U661" s="12">
        <f t="shared" si="169"/>
        <v>5.2664677322511863E-3</v>
      </c>
      <c r="V661" s="12">
        <f t="shared" si="156"/>
        <v>-9.3402296113791184E-4</v>
      </c>
      <c r="W661" s="12">
        <f t="shared" si="157"/>
        <v>-2.3707990848671817E-3</v>
      </c>
      <c r="X661" s="12">
        <f t="shared" si="158"/>
        <v>1.4494865318122528E-4</v>
      </c>
      <c r="Y661" s="12">
        <f t="shared" si="159"/>
        <v>-2.5707053976272799E-5</v>
      </c>
      <c r="Z661" s="12">
        <f t="shared" si="160"/>
        <v>-6.5251350959647197E-5</v>
      </c>
    </row>
    <row r="662" spans="1:27" ht="13">
      <c r="A662" s="21" t="s">
        <v>150</v>
      </c>
      <c r="B662" s="9">
        <v>2017</v>
      </c>
      <c r="C662" s="19">
        <v>810.41</v>
      </c>
      <c r="D662" s="19">
        <v>4978.8900000000003</v>
      </c>
      <c r="E662" s="19">
        <v>9964.11</v>
      </c>
      <c r="F662" s="19">
        <v>3101.04</v>
      </c>
      <c r="G662" s="19">
        <v>2283.9899999999998</v>
      </c>
      <c r="H662" s="10">
        <f t="shared" si="209"/>
        <v>8.1332903791708433E-2</v>
      </c>
      <c r="I662" s="10">
        <f t="shared" si="210"/>
        <v>0.49968235999000415</v>
      </c>
      <c r="J662" s="10">
        <f t="shared" si="211"/>
        <v>1.3577292369931568</v>
      </c>
      <c r="K662" s="4">
        <f t="shared" si="196"/>
        <v>-1.8232395320676367</v>
      </c>
      <c r="L662" s="10">
        <f t="shared" si="202"/>
        <v>0.49968235999000415</v>
      </c>
      <c r="M662" s="19">
        <v>1784.97</v>
      </c>
      <c r="N662" s="19">
        <v>-847.75</v>
      </c>
      <c r="O662" s="19">
        <v>-2189.71</v>
      </c>
      <c r="P662" s="11">
        <v>0.21529999999999999</v>
      </c>
      <c r="Q662" s="11">
        <v>1.7899999999999999E-3</v>
      </c>
      <c r="R662" s="12">
        <f t="shared" si="205"/>
        <v>0.17913993322032776</v>
      </c>
      <c r="S662" s="12">
        <f t="shared" si="206"/>
        <v>-8.5080353388310645E-2</v>
      </c>
      <c r="T662" s="12">
        <f t="shared" si="207"/>
        <v>-0.21975971762656171</v>
      </c>
      <c r="U662" s="12">
        <f t="shared" si="169"/>
        <v>3.8568827622336564E-2</v>
      </c>
      <c r="V662" s="12">
        <f t="shared" si="156"/>
        <v>-1.8317800084503282E-2</v>
      </c>
      <c r="W662" s="12">
        <f t="shared" si="157"/>
        <v>-4.7314267204998733E-2</v>
      </c>
      <c r="X662" s="12">
        <f t="shared" si="158"/>
        <v>3.2066048046438666E-4</v>
      </c>
      <c r="Y662" s="12">
        <f t="shared" si="159"/>
        <v>-1.5229383256507606E-4</v>
      </c>
      <c r="Z662" s="12">
        <f t="shared" si="160"/>
        <v>-3.9336989455154544E-4</v>
      </c>
    </row>
    <row r="663" spans="1:27" ht="13">
      <c r="A663" s="22" t="str">
        <f t="shared" ref="A663:A666" si="215">A662</f>
        <v>NT2</v>
      </c>
      <c r="B663" s="9">
        <v>2018</v>
      </c>
      <c r="C663" s="19">
        <v>782.16</v>
      </c>
      <c r="D663" s="19">
        <v>5168.7700000000004</v>
      </c>
      <c r="E663" s="19">
        <v>8852.25</v>
      </c>
      <c r="F663" s="19">
        <v>2847.18</v>
      </c>
      <c r="G663" s="19">
        <v>3572.25</v>
      </c>
      <c r="H663" s="10">
        <f t="shared" si="209"/>
        <v>8.8357197322714562E-2</v>
      </c>
      <c r="I663" s="10">
        <f t="shared" si="210"/>
        <v>0.58389336044508466</v>
      </c>
      <c r="J663" s="10">
        <f t="shared" si="211"/>
        <v>0.79702708377073272</v>
      </c>
      <c r="K663" s="4">
        <f t="shared" si="196"/>
        <v>-1.3726033417503158</v>
      </c>
      <c r="L663" s="10">
        <f t="shared" si="202"/>
        <v>0.58389336044508466</v>
      </c>
      <c r="M663" s="19">
        <v>1520.02</v>
      </c>
      <c r="N663" s="19">
        <v>943.08</v>
      </c>
      <c r="O663" s="19">
        <v>-2543.96</v>
      </c>
      <c r="P663" s="11">
        <v>0.21820000000000001</v>
      </c>
      <c r="Q663" s="11">
        <v>1.8000000000000001E-4</v>
      </c>
      <c r="R663" s="12">
        <f t="shared" si="205"/>
        <v>0.17171001722725859</v>
      </c>
      <c r="S663" s="12">
        <f t="shared" si="206"/>
        <v>0.10653562653562654</v>
      </c>
      <c r="T663" s="12">
        <f t="shared" si="207"/>
        <v>-0.28738004462142391</v>
      </c>
      <c r="U663" s="12">
        <f t="shared" si="169"/>
        <v>3.7467125758987828E-2</v>
      </c>
      <c r="V663" s="12">
        <f t="shared" si="156"/>
        <v>2.3246073710073711E-2</v>
      </c>
      <c r="W663" s="12">
        <f t="shared" si="157"/>
        <v>-6.2706325736394702E-2</v>
      </c>
      <c r="X663" s="12">
        <f t="shared" si="158"/>
        <v>3.0907803100906551E-5</v>
      </c>
      <c r="Y663" s="12">
        <f t="shared" si="159"/>
        <v>1.9176412776412779E-5</v>
      </c>
      <c r="Z663" s="12">
        <f t="shared" si="160"/>
        <v>-5.1728408031856306E-5</v>
      </c>
    </row>
    <row r="664" spans="1:27" ht="13">
      <c r="A664" s="22" t="str">
        <f t="shared" si="215"/>
        <v>NT2</v>
      </c>
      <c r="B664" s="9">
        <v>2019</v>
      </c>
      <c r="C664" s="19">
        <v>754.17</v>
      </c>
      <c r="D664" s="19">
        <v>3437.17</v>
      </c>
      <c r="E664" s="19">
        <v>7564.11</v>
      </c>
      <c r="F664" s="19">
        <v>2416.1</v>
      </c>
      <c r="G664" s="19">
        <v>2943.85</v>
      </c>
      <c r="H664" s="10">
        <f t="shared" si="209"/>
        <v>9.9703732494635849E-2</v>
      </c>
      <c r="I664" s="10">
        <f t="shared" si="210"/>
        <v>0.45440507872043112</v>
      </c>
      <c r="J664" s="10">
        <f t="shared" si="211"/>
        <v>0.82072795828591805</v>
      </c>
      <c r="K664" s="4">
        <f t="shared" si="196"/>
        <v>-2.1618407593525473</v>
      </c>
      <c r="L664" s="10">
        <f t="shared" si="202"/>
        <v>0.45440507872043112</v>
      </c>
      <c r="M664" s="19">
        <v>1917.48</v>
      </c>
      <c r="N664" s="19">
        <v>-187.4</v>
      </c>
      <c r="O664" s="19">
        <v>-1344.22</v>
      </c>
      <c r="P664" s="11">
        <v>0.1855</v>
      </c>
      <c r="Q664" s="11">
        <v>1.8000000000000001E-4</v>
      </c>
      <c r="R664" s="12">
        <f t="shared" si="205"/>
        <v>0.25349710673165782</v>
      </c>
      <c r="S664" s="12">
        <f t="shared" si="206"/>
        <v>-2.4774890899259796E-2</v>
      </c>
      <c r="T664" s="12">
        <f t="shared" si="207"/>
        <v>-0.17771026597973855</v>
      </c>
      <c r="U664" s="12">
        <f t="shared" si="169"/>
        <v>4.7023713298722528E-2</v>
      </c>
      <c r="V664" s="12">
        <f t="shared" si="156"/>
        <v>-4.5957422618126921E-3</v>
      </c>
      <c r="W664" s="12">
        <f t="shared" si="157"/>
        <v>-3.2965254339241502E-2</v>
      </c>
      <c r="X664" s="12">
        <f t="shared" si="158"/>
        <v>4.5629479211698413E-5</v>
      </c>
      <c r="Y664" s="12">
        <f t="shared" si="159"/>
        <v>-4.4594803618667634E-6</v>
      </c>
      <c r="Z664" s="12">
        <f t="shared" si="160"/>
        <v>-3.1987847876352939E-5</v>
      </c>
    </row>
    <row r="665" spans="1:27" ht="13">
      <c r="A665" s="22" t="str">
        <f t="shared" si="215"/>
        <v>NT2</v>
      </c>
      <c r="B665" s="9">
        <v>2020</v>
      </c>
      <c r="C665" s="19">
        <v>625.24</v>
      </c>
      <c r="D665" s="19">
        <v>2083.7800000000002</v>
      </c>
      <c r="E665" s="19">
        <v>6381.32</v>
      </c>
      <c r="F665" s="19">
        <v>1885.72</v>
      </c>
      <c r="G665" s="19">
        <v>2083.2399999999998</v>
      </c>
      <c r="H665" s="10">
        <f t="shared" si="209"/>
        <v>9.7979728332069235E-2</v>
      </c>
      <c r="I665" s="10">
        <f t="shared" si="210"/>
        <v>0.32654372449587238</v>
      </c>
      <c r="J665" s="10">
        <f t="shared" si="211"/>
        <v>0.90518615233962496</v>
      </c>
      <c r="K665" s="4">
        <f t="shared" si="196"/>
        <v>-2.8832302924771978</v>
      </c>
      <c r="L665" s="10">
        <f t="shared" si="202"/>
        <v>0.32654372449587238</v>
      </c>
      <c r="M665" s="19">
        <v>1222.32</v>
      </c>
      <c r="N665" s="19">
        <v>218.09</v>
      </c>
      <c r="O665" s="19">
        <v>-1829.68</v>
      </c>
      <c r="P665" s="11">
        <v>0.18260000000000001</v>
      </c>
      <c r="Q665" s="11">
        <v>1.8000000000000001E-4</v>
      </c>
      <c r="R665" s="12">
        <f t="shared" si="205"/>
        <v>0.19154657657036475</v>
      </c>
      <c r="S665" s="12">
        <f t="shared" si="206"/>
        <v>3.4176314618292139E-2</v>
      </c>
      <c r="T665" s="12">
        <f t="shared" si="207"/>
        <v>-0.28672437677471119</v>
      </c>
      <c r="U665" s="12">
        <f t="shared" si="169"/>
        <v>3.4976404881748607E-2</v>
      </c>
      <c r="V665" s="12">
        <f t="shared" si="156"/>
        <v>6.2405950493001454E-3</v>
      </c>
      <c r="W665" s="12">
        <f t="shared" si="157"/>
        <v>-5.2355871199062265E-2</v>
      </c>
      <c r="X665" s="12">
        <f t="shared" si="158"/>
        <v>3.4478383782665659E-5</v>
      </c>
      <c r="Y665" s="12">
        <f t="shared" si="159"/>
        <v>6.151736631292585E-6</v>
      </c>
      <c r="Z665" s="12">
        <f t="shared" si="160"/>
        <v>-5.1610387819448019E-5</v>
      </c>
    </row>
    <row r="666" spans="1:27" ht="13">
      <c r="A666" s="22" t="str">
        <f t="shared" si="215"/>
        <v>NT2</v>
      </c>
      <c r="B666" s="9">
        <v>2021</v>
      </c>
      <c r="C666" s="19">
        <v>533.79</v>
      </c>
      <c r="D666" s="19">
        <v>2390.4899999999998</v>
      </c>
      <c r="E666" s="19">
        <v>6624.06</v>
      </c>
      <c r="F666" s="19">
        <v>2581.04</v>
      </c>
      <c r="G666" s="19">
        <v>2390.4899999999998</v>
      </c>
      <c r="H666" s="10">
        <f t="shared" si="209"/>
        <v>8.0583509207344126E-2</v>
      </c>
      <c r="I666" s="10">
        <f t="shared" si="210"/>
        <v>0.36087988333439003</v>
      </c>
      <c r="J666" s="10">
        <f t="shared" si="211"/>
        <v>1.0797116909085587</v>
      </c>
      <c r="K666" s="4">
        <f t="shared" si="196"/>
        <v>-2.6099293031906594</v>
      </c>
      <c r="L666" s="10">
        <f t="shared" si="202"/>
        <v>0.36087988333439003</v>
      </c>
      <c r="M666" s="19">
        <v>1073.97</v>
      </c>
      <c r="N666" s="19">
        <v>8.6</v>
      </c>
      <c r="O666" s="19">
        <v>-1143.27</v>
      </c>
      <c r="P666" s="11">
        <v>0.13600000000000001</v>
      </c>
      <c r="Q666" s="11">
        <v>1.8000000000000001E-4</v>
      </c>
      <c r="R666" s="12">
        <f t="shared" si="205"/>
        <v>0.16213168358982255</v>
      </c>
      <c r="S666" s="12">
        <f t="shared" si="206"/>
        <v>1.2982974188035735E-3</v>
      </c>
      <c r="T666" s="12">
        <f t="shared" si="207"/>
        <v>-0.17259354534832111</v>
      </c>
      <c r="U666" s="12">
        <f t="shared" si="169"/>
        <v>2.2049908968215869E-2</v>
      </c>
      <c r="V666" s="12">
        <f t="shared" si="156"/>
        <v>1.76568448957286E-4</v>
      </c>
      <c r="W666" s="12">
        <f t="shared" si="157"/>
        <v>-2.3472722167371673E-2</v>
      </c>
      <c r="X666" s="12">
        <f t="shared" si="158"/>
        <v>2.9183703046168061E-5</v>
      </c>
      <c r="Y666" s="12">
        <f t="shared" si="159"/>
        <v>2.3369353538464326E-7</v>
      </c>
      <c r="Z666" s="12">
        <f t="shared" si="160"/>
        <v>-3.10668381626978E-5</v>
      </c>
    </row>
    <row r="667" spans="1:27" ht="13">
      <c r="A667" s="21" t="s">
        <v>151</v>
      </c>
      <c r="B667" s="9">
        <v>2017</v>
      </c>
      <c r="C667" s="19">
        <v>91.6</v>
      </c>
      <c r="D667" s="19">
        <v>628.6</v>
      </c>
      <c r="E667" s="19">
        <v>1597.6</v>
      </c>
      <c r="F667" s="19">
        <v>1480.72</v>
      </c>
      <c r="G667" s="19">
        <v>472.94</v>
      </c>
      <c r="H667" s="10">
        <f t="shared" si="209"/>
        <v>5.7336004006009016E-2</v>
      </c>
      <c r="I667" s="10">
        <f t="shared" si="210"/>
        <v>0.39346519779669509</v>
      </c>
      <c r="J667" s="10">
        <f t="shared" si="211"/>
        <v>3.130883410157737</v>
      </c>
      <c r="K667" s="4">
        <f t="shared" si="196"/>
        <v>-2.3277839242265093</v>
      </c>
      <c r="L667" s="10">
        <f t="shared" si="202"/>
        <v>0.39346519779669509</v>
      </c>
      <c r="M667" s="19">
        <v>-125.44</v>
      </c>
      <c r="N667" s="19">
        <v>108.41</v>
      </c>
      <c r="O667" s="19">
        <v>105.14</v>
      </c>
      <c r="P667" s="11">
        <v>0.10290000000000001</v>
      </c>
      <c r="Q667" s="11">
        <v>9.69E-2</v>
      </c>
      <c r="R667" s="12">
        <f t="shared" si="205"/>
        <v>-7.8517776664997499E-2</v>
      </c>
      <c r="S667" s="12">
        <f t="shared" si="206"/>
        <v>6.7858037055583381E-2</v>
      </c>
      <c r="T667" s="12">
        <f t="shared" si="207"/>
        <v>6.5811216825237856E-2</v>
      </c>
      <c r="U667" s="12">
        <f t="shared" si="169"/>
        <v>-8.0794792188282425E-3</v>
      </c>
      <c r="V667" s="12">
        <f t="shared" si="156"/>
        <v>6.98259201301953E-3</v>
      </c>
      <c r="W667" s="12">
        <f t="shared" si="157"/>
        <v>6.7719742113169761E-3</v>
      </c>
      <c r="X667" s="12">
        <f t="shared" si="158"/>
        <v>-7.6083725588382573E-3</v>
      </c>
      <c r="Y667" s="12">
        <f t="shared" si="159"/>
        <v>6.5754437906860299E-3</v>
      </c>
      <c r="Z667" s="12">
        <f t="shared" si="160"/>
        <v>6.3771069103655481E-3</v>
      </c>
    </row>
    <row r="668" spans="1:27" ht="13">
      <c r="A668" s="22" t="str">
        <f t="shared" ref="A668:A671" si="216">A667</f>
        <v>NTL</v>
      </c>
      <c r="B668" s="9">
        <v>2018</v>
      </c>
      <c r="C668" s="19">
        <v>101.17</v>
      </c>
      <c r="D668" s="19">
        <v>686.06</v>
      </c>
      <c r="E668" s="19">
        <v>1680.05</v>
      </c>
      <c r="F668" s="19">
        <v>1573.08</v>
      </c>
      <c r="G668" s="19">
        <v>633.91</v>
      </c>
      <c r="H668" s="10">
        <f t="shared" si="209"/>
        <v>6.021844587958692E-2</v>
      </c>
      <c r="I668" s="10">
        <f t="shared" si="210"/>
        <v>0.40835689414005533</v>
      </c>
      <c r="J668" s="10">
        <f t="shared" si="211"/>
        <v>2.4815510088182866</v>
      </c>
      <c r="K668" s="4">
        <f t="shared" si="196"/>
        <v>-2.2532749138950985</v>
      </c>
      <c r="L668" s="10">
        <f t="shared" si="202"/>
        <v>0.40835689414005533</v>
      </c>
      <c r="M668" s="19">
        <v>2.64</v>
      </c>
      <c r="N668" s="19">
        <v>-22.77</v>
      </c>
      <c r="O668" s="19">
        <v>89.01</v>
      </c>
      <c r="P668" s="11">
        <v>4.3999999999999997E-2</v>
      </c>
      <c r="Q668" s="11">
        <v>0.1469</v>
      </c>
      <c r="R668" s="12">
        <f t="shared" si="205"/>
        <v>1.571381804112973E-3</v>
      </c>
      <c r="S668" s="12">
        <f t="shared" si="206"/>
        <v>-1.355316806047439E-2</v>
      </c>
      <c r="T668" s="12">
        <f t="shared" si="207"/>
        <v>5.2980566054581714E-2</v>
      </c>
      <c r="U668" s="12">
        <f t="shared" si="169"/>
        <v>6.9140799380970806E-5</v>
      </c>
      <c r="V668" s="12">
        <f t="shared" si="156"/>
        <v>-5.9633939466087308E-4</v>
      </c>
      <c r="W668" s="12">
        <f t="shared" si="157"/>
        <v>2.3311449064015951E-3</v>
      </c>
      <c r="X668" s="12">
        <f t="shared" si="158"/>
        <v>2.3083598702419573E-4</v>
      </c>
      <c r="Y668" s="12">
        <f t="shared" si="159"/>
        <v>-1.990960388083688E-3</v>
      </c>
      <c r="Z668" s="12">
        <f t="shared" si="160"/>
        <v>7.7828451534180543E-3</v>
      </c>
    </row>
    <row r="669" spans="1:27" ht="13">
      <c r="A669" s="22" t="str">
        <f t="shared" si="216"/>
        <v>NTL</v>
      </c>
      <c r="B669" s="9">
        <v>2019</v>
      </c>
      <c r="C669" s="19">
        <v>233.81</v>
      </c>
      <c r="D669" s="19">
        <v>555.20000000000005</v>
      </c>
      <c r="E669" s="19">
        <v>1623.39</v>
      </c>
      <c r="F669" s="19">
        <v>1476.19</v>
      </c>
      <c r="G669" s="19">
        <v>544.34</v>
      </c>
      <c r="H669" s="10">
        <f t="shared" si="209"/>
        <v>0.14402577322762861</v>
      </c>
      <c r="I669" s="10">
        <f t="shared" si="210"/>
        <v>0.342000381916853</v>
      </c>
      <c r="J669" s="10">
        <f t="shared" si="211"/>
        <v>2.7118896278061504</v>
      </c>
      <c r="K669" s="4">
        <f t="shared" si="196"/>
        <v>-3.0095613611094909</v>
      </c>
      <c r="L669" s="10">
        <f t="shared" si="202"/>
        <v>0.342000381916853</v>
      </c>
      <c r="M669" s="19">
        <v>173.12</v>
      </c>
      <c r="N669" s="19">
        <v>-8.02</v>
      </c>
      <c r="O669" s="19">
        <v>-206.56</v>
      </c>
      <c r="P669" s="11">
        <v>5.0799999999999998E-2</v>
      </c>
      <c r="Q669" s="11">
        <v>0.13450000000000001</v>
      </c>
      <c r="R669" s="12">
        <f t="shared" si="205"/>
        <v>0.10664104127781987</v>
      </c>
      <c r="S669" s="12">
        <f t="shared" si="206"/>
        <v>-4.9402792920986323E-3</v>
      </c>
      <c r="T669" s="12">
        <f t="shared" si="207"/>
        <v>-0.12723991154312889</v>
      </c>
      <c r="U669" s="12">
        <f t="shared" si="169"/>
        <v>5.4173648969132494E-3</v>
      </c>
      <c r="V669" s="12">
        <f t="shared" si="156"/>
        <v>-2.5096618803861049E-4</v>
      </c>
      <c r="W669" s="12">
        <f t="shared" si="157"/>
        <v>-6.4637875063909469E-3</v>
      </c>
      <c r="X669" s="12">
        <f t="shared" si="158"/>
        <v>1.4343220051866773E-2</v>
      </c>
      <c r="Y669" s="12">
        <f t="shared" si="159"/>
        <v>-6.6446756478726607E-4</v>
      </c>
      <c r="Z669" s="12">
        <f t="shared" si="160"/>
        <v>-1.7113768102550837E-2</v>
      </c>
    </row>
    <row r="670" spans="1:27" ht="13">
      <c r="A670" s="22" t="str">
        <f t="shared" si="216"/>
        <v>NTL</v>
      </c>
      <c r="B670" s="9">
        <v>2020</v>
      </c>
      <c r="C670" s="19">
        <v>295.39999999999998</v>
      </c>
      <c r="D670" s="19">
        <v>645.66999999999996</v>
      </c>
      <c r="E670" s="19">
        <v>1809.93</v>
      </c>
      <c r="F670" s="19">
        <v>1725.07</v>
      </c>
      <c r="G670" s="19">
        <v>634.80999999999995</v>
      </c>
      <c r="H670" s="10">
        <f t="shared" si="209"/>
        <v>0.1632107319067588</v>
      </c>
      <c r="I670" s="10">
        <f t="shared" si="210"/>
        <v>0.35673755338604252</v>
      </c>
      <c r="J670" s="10">
        <f t="shared" si="211"/>
        <v>2.7174587671901831</v>
      </c>
      <c r="K670" s="4">
        <f t="shared" si="196"/>
        <v>-3.0119140743487329</v>
      </c>
      <c r="L670" s="10">
        <f t="shared" si="202"/>
        <v>0.35673755338604252</v>
      </c>
      <c r="M670" s="19">
        <v>335.62</v>
      </c>
      <c r="N670" s="19">
        <v>4.13</v>
      </c>
      <c r="O670" s="19">
        <v>-194.52</v>
      </c>
      <c r="P670" s="11">
        <v>4.6199999999999998E-2</v>
      </c>
      <c r="Q670" s="11">
        <v>0.13730000000000001</v>
      </c>
      <c r="R670" s="12">
        <f t="shared" si="205"/>
        <v>0.18543258579061067</v>
      </c>
      <c r="S670" s="12">
        <f t="shared" si="206"/>
        <v>2.2818562043835948E-3</v>
      </c>
      <c r="T670" s="12">
        <f t="shared" si="207"/>
        <v>-0.1074737697038007</v>
      </c>
      <c r="U670" s="12">
        <f t="shared" si="169"/>
        <v>8.5669854635262131E-3</v>
      </c>
      <c r="V670" s="12">
        <f t="shared" si="156"/>
        <v>1.0542175664252207E-4</v>
      </c>
      <c r="W670" s="12">
        <f t="shared" si="157"/>
        <v>-4.9652881603155915E-3</v>
      </c>
      <c r="X670" s="12">
        <f t="shared" si="158"/>
        <v>2.5459894029050845E-2</v>
      </c>
      <c r="Y670" s="12">
        <f t="shared" si="159"/>
        <v>3.1329885686186759E-4</v>
      </c>
      <c r="Z670" s="12">
        <f t="shared" si="160"/>
        <v>-1.4756148580331837E-2</v>
      </c>
    </row>
    <row r="671" spans="1:27" ht="13">
      <c r="A671" s="22" t="str">
        <f t="shared" si="216"/>
        <v>NTL</v>
      </c>
      <c r="B671" s="9">
        <v>2021</v>
      </c>
      <c r="C671" s="19">
        <v>237.96</v>
      </c>
      <c r="D671" s="19">
        <v>647.91999999999996</v>
      </c>
      <c r="E671" s="19">
        <v>1876.99</v>
      </c>
      <c r="F671" s="19">
        <v>1827.83</v>
      </c>
      <c r="G671" s="19">
        <v>637.05999999999995</v>
      </c>
      <c r="H671" s="10">
        <f t="shared" si="209"/>
        <v>0.12677744686972228</v>
      </c>
      <c r="I671" s="10">
        <f t="shared" si="210"/>
        <v>0.34519097064981696</v>
      </c>
      <c r="J671" s="10">
        <f t="shared" si="211"/>
        <v>2.869164599880702</v>
      </c>
      <c r="K671" s="4">
        <f t="shared" si="196"/>
        <v>-2.9143866366093163</v>
      </c>
      <c r="L671" s="10">
        <f t="shared" si="202"/>
        <v>0.34519097064981696</v>
      </c>
      <c r="M671" s="19">
        <v>327.95</v>
      </c>
      <c r="N671" s="19">
        <v>30.39</v>
      </c>
      <c r="O671" s="19">
        <v>-275.51</v>
      </c>
      <c r="P671" s="11">
        <v>0.11070000000000001</v>
      </c>
      <c r="Q671" s="11">
        <v>0.14330000000000001</v>
      </c>
      <c r="R671" s="12">
        <f t="shared" si="205"/>
        <v>0.17472122920207353</v>
      </c>
      <c r="S671" s="12">
        <f t="shared" si="206"/>
        <v>1.6190816147129181E-2</v>
      </c>
      <c r="T671" s="12">
        <f t="shared" si="207"/>
        <v>-0.1467828811021902</v>
      </c>
      <c r="U671" s="12">
        <f t="shared" si="169"/>
        <v>1.9341640072669541E-2</v>
      </c>
      <c r="V671" s="12">
        <f t="shared" si="156"/>
        <v>1.7923233474872004E-3</v>
      </c>
      <c r="W671" s="12">
        <f t="shared" si="157"/>
        <v>-1.6248864938012458E-2</v>
      </c>
      <c r="X671" s="12">
        <f t="shared" si="158"/>
        <v>2.5037552144657138E-2</v>
      </c>
      <c r="Y671" s="12">
        <f t="shared" si="159"/>
        <v>2.3201439538836116E-3</v>
      </c>
      <c r="Z671" s="12">
        <f t="shared" si="160"/>
        <v>-2.1033986861943858E-2</v>
      </c>
    </row>
    <row r="672" spans="1:27" ht="13" hidden="1">
      <c r="A672" s="40" t="e">
        <f>#REF!</f>
        <v>#REF!</v>
      </c>
      <c r="B672" s="48" t="e">
        <f>#REF!</f>
        <v>#REF!</v>
      </c>
      <c r="C672" s="41" t="e">
        <f>#REF!</f>
        <v>#REF!</v>
      </c>
      <c r="D672" s="42" t="e">
        <f>#REF!</f>
        <v>#REF!</v>
      </c>
      <c r="E672" s="42" t="e">
        <f>#REF!</f>
        <v>#REF!</v>
      </c>
      <c r="F672" s="42" t="e">
        <f>#REF!</f>
        <v>#REF!</v>
      </c>
      <c r="G672" s="42" t="e">
        <f>#REF!</f>
        <v>#REF!</v>
      </c>
      <c r="H672" s="10" t="e">
        <f t="shared" si="209"/>
        <v>#REF!</v>
      </c>
      <c r="I672" s="10" t="e">
        <f t="shared" si="210"/>
        <v>#REF!</v>
      </c>
      <c r="J672" s="10" t="e">
        <f t="shared" si="211"/>
        <v>#REF!</v>
      </c>
      <c r="K672" s="43" t="e">
        <f>#REF!</f>
        <v>#REF!</v>
      </c>
      <c r="L672" s="44" t="e">
        <f>#REF!</f>
        <v>#REF!</v>
      </c>
      <c r="M672" s="42" t="e">
        <f>#REF!</f>
        <v>#REF!</v>
      </c>
      <c r="N672" s="42" t="e">
        <f>#REF!</f>
        <v>#REF!</v>
      </c>
      <c r="O672" s="42" t="e">
        <f>#REF!</f>
        <v>#REF!</v>
      </c>
      <c r="P672" s="45" t="e">
        <f>#REF!</f>
        <v>#REF!</v>
      </c>
      <c r="Q672" s="46" t="e">
        <f>#REF!</f>
        <v>#REF!</v>
      </c>
      <c r="R672" s="12" t="e">
        <f t="shared" si="205"/>
        <v>#REF!</v>
      </c>
      <c r="S672" s="12" t="e">
        <f t="shared" si="206"/>
        <v>#REF!</v>
      </c>
      <c r="T672" s="12" t="e">
        <f t="shared" si="207"/>
        <v>#REF!</v>
      </c>
      <c r="U672" s="12" t="e">
        <f t="shared" si="169"/>
        <v>#REF!</v>
      </c>
      <c r="V672" s="12" t="e">
        <f t="shared" si="156"/>
        <v>#REF!</v>
      </c>
      <c r="W672" s="12" t="e">
        <f t="shared" si="157"/>
        <v>#REF!</v>
      </c>
      <c r="X672" s="12" t="e">
        <f t="shared" si="158"/>
        <v>#REF!</v>
      </c>
      <c r="Y672" s="12" t="e">
        <f t="shared" si="159"/>
        <v>#REF!</v>
      </c>
      <c r="Z672" s="12" t="e">
        <f t="shared" si="160"/>
        <v>#REF!</v>
      </c>
      <c r="AA672" s="47"/>
    </row>
    <row r="673" spans="1:27" ht="13" hidden="1">
      <c r="A673" s="40" t="e">
        <f t="shared" ref="A673:Q676" si="217">A672</f>
        <v>#REF!</v>
      </c>
      <c r="B673" s="48" t="e">
        <f t="shared" si="217"/>
        <v>#REF!</v>
      </c>
      <c r="C673" s="41" t="e">
        <f t="shared" si="217"/>
        <v>#REF!</v>
      </c>
      <c r="D673" s="42" t="e">
        <f t="shared" si="217"/>
        <v>#REF!</v>
      </c>
      <c r="E673" s="42" t="e">
        <f t="shared" si="217"/>
        <v>#REF!</v>
      </c>
      <c r="F673" s="42" t="e">
        <f t="shared" si="217"/>
        <v>#REF!</v>
      </c>
      <c r="G673" s="42" t="e">
        <f t="shared" si="217"/>
        <v>#REF!</v>
      </c>
      <c r="H673" s="10" t="e">
        <f t="shared" si="209"/>
        <v>#REF!</v>
      </c>
      <c r="I673" s="10" t="e">
        <f t="shared" si="210"/>
        <v>#REF!</v>
      </c>
      <c r="J673" s="10" t="e">
        <f t="shared" si="211"/>
        <v>#REF!</v>
      </c>
      <c r="K673" s="43" t="e">
        <f t="shared" si="217"/>
        <v>#REF!</v>
      </c>
      <c r="L673" s="44" t="e">
        <f t="shared" si="217"/>
        <v>#REF!</v>
      </c>
      <c r="M673" s="42" t="e">
        <f t="shared" si="217"/>
        <v>#REF!</v>
      </c>
      <c r="N673" s="42" t="e">
        <f t="shared" si="217"/>
        <v>#REF!</v>
      </c>
      <c r="O673" s="42" t="e">
        <f t="shared" si="217"/>
        <v>#REF!</v>
      </c>
      <c r="P673" s="45" t="e">
        <f t="shared" si="217"/>
        <v>#REF!</v>
      </c>
      <c r="Q673" s="46" t="e">
        <f t="shared" si="217"/>
        <v>#REF!</v>
      </c>
      <c r="R673" s="12" t="e">
        <f t="shared" si="205"/>
        <v>#REF!</v>
      </c>
      <c r="S673" s="12" t="e">
        <f t="shared" si="206"/>
        <v>#REF!</v>
      </c>
      <c r="T673" s="12" t="e">
        <f t="shared" si="207"/>
        <v>#REF!</v>
      </c>
      <c r="U673" s="12" t="e">
        <f t="shared" si="169"/>
        <v>#REF!</v>
      </c>
      <c r="V673" s="12" t="e">
        <f t="shared" si="156"/>
        <v>#REF!</v>
      </c>
      <c r="W673" s="12" t="e">
        <f t="shared" si="157"/>
        <v>#REF!</v>
      </c>
      <c r="X673" s="12" t="e">
        <f t="shared" si="158"/>
        <v>#REF!</v>
      </c>
      <c r="Y673" s="12" t="e">
        <f t="shared" si="159"/>
        <v>#REF!</v>
      </c>
      <c r="Z673" s="12" t="e">
        <f t="shared" si="160"/>
        <v>#REF!</v>
      </c>
      <c r="AA673" s="47"/>
    </row>
    <row r="674" spans="1:27" ht="13" hidden="1">
      <c r="A674" s="40" t="e">
        <f t="shared" si="217"/>
        <v>#REF!</v>
      </c>
      <c r="B674" s="48" t="e">
        <f t="shared" si="217"/>
        <v>#REF!</v>
      </c>
      <c r="C674" s="41" t="e">
        <f t="shared" si="217"/>
        <v>#REF!</v>
      </c>
      <c r="D674" s="42" t="e">
        <f t="shared" si="217"/>
        <v>#REF!</v>
      </c>
      <c r="E674" s="42" t="e">
        <f t="shared" si="217"/>
        <v>#REF!</v>
      </c>
      <c r="F674" s="42" t="e">
        <f t="shared" si="217"/>
        <v>#REF!</v>
      </c>
      <c r="G674" s="42" t="e">
        <f t="shared" si="217"/>
        <v>#REF!</v>
      </c>
      <c r="H674" s="10" t="e">
        <f t="shared" si="209"/>
        <v>#REF!</v>
      </c>
      <c r="I674" s="10" t="e">
        <f t="shared" si="210"/>
        <v>#REF!</v>
      </c>
      <c r="J674" s="10" t="e">
        <f t="shared" si="211"/>
        <v>#REF!</v>
      </c>
      <c r="K674" s="43" t="e">
        <f t="shared" si="217"/>
        <v>#REF!</v>
      </c>
      <c r="L674" s="44" t="e">
        <f t="shared" si="217"/>
        <v>#REF!</v>
      </c>
      <c r="M674" s="42" t="e">
        <f t="shared" si="217"/>
        <v>#REF!</v>
      </c>
      <c r="N674" s="42" t="e">
        <f t="shared" si="217"/>
        <v>#REF!</v>
      </c>
      <c r="O674" s="42" t="e">
        <f t="shared" si="217"/>
        <v>#REF!</v>
      </c>
      <c r="P674" s="45" t="e">
        <f t="shared" si="217"/>
        <v>#REF!</v>
      </c>
      <c r="Q674" s="46" t="e">
        <f t="shared" si="217"/>
        <v>#REF!</v>
      </c>
      <c r="R674" s="12" t="e">
        <f t="shared" si="205"/>
        <v>#REF!</v>
      </c>
      <c r="S674" s="12" t="e">
        <f t="shared" si="206"/>
        <v>#REF!</v>
      </c>
      <c r="T674" s="12" t="e">
        <f t="shared" si="207"/>
        <v>#REF!</v>
      </c>
      <c r="U674" s="12" t="e">
        <f t="shared" si="169"/>
        <v>#REF!</v>
      </c>
      <c r="V674" s="12" t="e">
        <f t="shared" si="156"/>
        <v>#REF!</v>
      </c>
      <c r="W674" s="12" t="e">
        <f t="shared" si="157"/>
        <v>#REF!</v>
      </c>
      <c r="X674" s="12" t="e">
        <f t="shared" si="158"/>
        <v>#REF!</v>
      </c>
      <c r="Y674" s="12" t="e">
        <f t="shared" si="159"/>
        <v>#REF!</v>
      </c>
      <c r="Z674" s="12" t="e">
        <f t="shared" si="160"/>
        <v>#REF!</v>
      </c>
      <c r="AA674" s="47"/>
    </row>
    <row r="675" spans="1:27" ht="13" hidden="1">
      <c r="A675" s="40" t="e">
        <f t="shared" si="217"/>
        <v>#REF!</v>
      </c>
      <c r="B675" s="48" t="e">
        <f t="shared" si="217"/>
        <v>#REF!</v>
      </c>
      <c r="C675" s="41" t="e">
        <f t="shared" si="217"/>
        <v>#REF!</v>
      </c>
      <c r="D675" s="42" t="e">
        <f t="shared" si="217"/>
        <v>#REF!</v>
      </c>
      <c r="E675" s="42" t="e">
        <f t="shared" si="217"/>
        <v>#REF!</v>
      </c>
      <c r="F675" s="42" t="e">
        <f t="shared" si="217"/>
        <v>#REF!</v>
      </c>
      <c r="G675" s="42" t="e">
        <f t="shared" si="217"/>
        <v>#REF!</v>
      </c>
      <c r="H675" s="10" t="e">
        <f t="shared" si="209"/>
        <v>#REF!</v>
      </c>
      <c r="I675" s="10" t="e">
        <f t="shared" si="210"/>
        <v>#REF!</v>
      </c>
      <c r="J675" s="10" t="e">
        <f t="shared" si="211"/>
        <v>#REF!</v>
      </c>
      <c r="K675" s="43" t="e">
        <f t="shared" si="217"/>
        <v>#REF!</v>
      </c>
      <c r="L675" s="44" t="e">
        <f t="shared" si="217"/>
        <v>#REF!</v>
      </c>
      <c r="M675" s="42" t="e">
        <f t="shared" si="217"/>
        <v>#REF!</v>
      </c>
      <c r="N675" s="42" t="e">
        <f t="shared" si="217"/>
        <v>#REF!</v>
      </c>
      <c r="O675" s="42" t="e">
        <f t="shared" si="217"/>
        <v>#REF!</v>
      </c>
      <c r="P675" s="45" t="e">
        <f t="shared" si="217"/>
        <v>#REF!</v>
      </c>
      <c r="Q675" s="46" t="e">
        <f t="shared" si="217"/>
        <v>#REF!</v>
      </c>
      <c r="R675" s="12" t="e">
        <f t="shared" si="205"/>
        <v>#REF!</v>
      </c>
      <c r="S675" s="12" t="e">
        <f t="shared" si="206"/>
        <v>#REF!</v>
      </c>
      <c r="T675" s="12" t="e">
        <f t="shared" si="207"/>
        <v>#REF!</v>
      </c>
      <c r="U675" s="12" t="e">
        <f t="shared" si="169"/>
        <v>#REF!</v>
      </c>
      <c r="V675" s="12" t="e">
        <f t="shared" si="156"/>
        <v>#REF!</v>
      </c>
      <c r="W675" s="12" t="e">
        <f t="shared" si="157"/>
        <v>#REF!</v>
      </c>
      <c r="X675" s="12" t="e">
        <f t="shared" si="158"/>
        <v>#REF!</v>
      </c>
      <c r="Y675" s="12" t="e">
        <f t="shared" si="159"/>
        <v>#REF!</v>
      </c>
      <c r="Z675" s="12" t="e">
        <f t="shared" si="160"/>
        <v>#REF!</v>
      </c>
      <c r="AA675" s="47"/>
    </row>
    <row r="676" spans="1:27" ht="13" hidden="1">
      <c r="A676" s="40" t="e">
        <f t="shared" si="217"/>
        <v>#REF!</v>
      </c>
      <c r="B676" s="48" t="e">
        <f t="shared" si="217"/>
        <v>#REF!</v>
      </c>
      <c r="C676" s="41" t="e">
        <f t="shared" si="217"/>
        <v>#REF!</v>
      </c>
      <c r="D676" s="42" t="e">
        <f t="shared" si="217"/>
        <v>#REF!</v>
      </c>
      <c r="E676" s="42" t="e">
        <f t="shared" si="217"/>
        <v>#REF!</v>
      </c>
      <c r="F676" s="42" t="e">
        <f t="shared" si="217"/>
        <v>#REF!</v>
      </c>
      <c r="G676" s="42" t="e">
        <f t="shared" si="217"/>
        <v>#REF!</v>
      </c>
      <c r="H676" s="10" t="e">
        <f t="shared" si="209"/>
        <v>#REF!</v>
      </c>
      <c r="I676" s="10" t="e">
        <f t="shared" si="210"/>
        <v>#REF!</v>
      </c>
      <c r="J676" s="10" t="e">
        <f t="shared" si="211"/>
        <v>#REF!</v>
      </c>
      <c r="K676" s="43" t="e">
        <f t="shared" si="217"/>
        <v>#REF!</v>
      </c>
      <c r="L676" s="44" t="e">
        <f t="shared" si="217"/>
        <v>#REF!</v>
      </c>
      <c r="M676" s="42" t="e">
        <f t="shared" si="217"/>
        <v>#REF!</v>
      </c>
      <c r="N676" s="42" t="e">
        <f t="shared" si="217"/>
        <v>#REF!</v>
      </c>
      <c r="O676" s="42" t="e">
        <f t="shared" si="217"/>
        <v>#REF!</v>
      </c>
      <c r="P676" s="45" t="e">
        <f t="shared" si="217"/>
        <v>#REF!</v>
      </c>
      <c r="Q676" s="46" t="e">
        <f t="shared" si="217"/>
        <v>#REF!</v>
      </c>
      <c r="R676" s="12" t="e">
        <f t="shared" si="205"/>
        <v>#REF!</v>
      </c>
      <c r="S676" s="12" t="e">
        <f t="shared" si="206"/>
        <v>#REF!</v>
      </c>
      <c r="T676" s="12" t="e">
        <f t="shared" si="207"/>
        <v>#REF!</v>
      </c>
      <c r="U676" s="12" t="e">
        <f t="shared" si="169"/>
        <v>#REF!</v>
      </c>
      <c r="V676" s="12" t="e">
        <f t="shared" si="156"/>
        <v>#REF!</v>
      </c>
      <c r="W676" s="12" t="e">
        <f t="shared" si="157"/>
        <v>#REF!</v>
      </c>
      <c r="X676" s="12" t="e">
        <f t="shared" si="158"/>
        <v>#REF!</v>
      </c>
      <c r="Y676" s="12" t="e">
        <f t="shared" si="159"/>
        <v>#REF!</v>
      </c>
      <c r="Z676" s="12" t="e">
        <f t="shared" si="160"/>
        <v>#REF!</v>
      </c>
      <c r="AA676" s="47"/>
    </row>
    <row r="677" spans="1:27" ht="13">
      <c r="A677" s="21" t="s">
        <v>152</v>
      </c>
      <c r="B677" s="9">
        <v>2017</v>
      </c>
      <c r="C677" s="19">
        <v>-471.45</v>
      </c>
      <c r="D677" s="19">
        <v>4510.55</v>
      </c>
      <c r="E677" s="19">
        <v>5354.71</v>
      </c>
      <c r="F677" s="19">
        <v>2163.17</v>
      </c>
      <c r="G677" s="19">
        <v>2640.29</v>
      </c>
      <c r="H677" s="10">
        <f t="shared" si="209"/>
        <v>-8.8043983707801171E-2</v>
      </c>
      <c r="I677" s="10">
        <f t="shared" si="210"/>
        <v>0.84235187339743889</v>
      </c>
      <c r="J677" s="10">
        <f t="shared" si="211"/>
        <v>0.81929257770926678</v>
      </c>
      <c r="K677" s="4">
        <f t="shared" ref="K677:K740" si="218">-4.3 -4.5*(C677/E677)+5.7*(D677/E677)-0.004*(F677/G677)</f>
        <v>0.89432643473967055</v>
      </c>
      <c r="L677" s="10">
        <f t="shared" ref="L677:L740" si="219">D677/E677</f>
        <v>0.84235187339743889</v>
      </c>
      <c r="M677" s="19">
        <v>343.31</v>
      </c>
      <c r="N677" s="19">
        <v>-60.17</v>
      </c>
      <c r="O677" s="19">
        <v>-70.55</v>
      </c>
      <c r="P677" s="11">
        <v>7.7000000000000002E-3</v>
      </c>
      <c r="Q677" s="11">
        <v>3.8E-3</v>
      </c>
      <c r="R677" s="12">
        <f t="shared" si="205"/>
        <v>6.4113649478683254E-2</v>
      </c>
      <c r="S677" s="12">
        <f t="shared" si="206"/>
        <v>-1.123683635528348E-2</v>
      </c>
      <c r="T677" s="12">
        <f t="shared" si="207"/>
        <v>-1.3175316683816676E-2</v>
      </c>
      <c r="U677" s="12">
        <f t="shared" si="169"/>
        <v>4.9367510098586112E-4</v>
      </c>
      <c r="V677" s="12">
        <f t="shared" si="156"/>
        <v>-8.6523639935682798E-5</v>
      </c>
      <c r="W677" s="12">
        <f t="shared" si="157"/>
        <v>-1.0144993846538841E-4</v>
      </c>
      <c r="X677" s="12">
        <f t="shared" si="158"/>
        <v>2.4363186801899637E-4</v>
      </c>
      <c r="Y677" s="12">
        <f t="shared" si="159"/>
        <v>-4.2699978150077224E-5</v>
      </c>
      <c r="Z677" s="12">
        <f t="shared" si="160"/>
        <v>-5.0066203398503367E-5</v>
      </c>
    </row>
    <row r="678" spans="1:27" ht="13">
      <c r="A678" s="23" t="str">
        <f t="shared" ref="A678:A681" si="220">A677</f>
        <v>OGC</v>
      </c>
      <c r="B678" s="9">
        <v>2018</v>
      </c>
      <c r="C678" s="19">
        <v>48.32</v>
      </c>
      <c r="D678" s="19">
        <v>3840.17</v>
      </c>
      <c r="E678" s="19">
        <v>4714.93</v>
      </c>
      <c r="F678" s="19">
        <v>2044.48</v>
      </c>
      <c r="G678" s="19">
        <v>2329.54</v>
      </c>
      <c r="H678" s="10">
        <f t="shared" si="209"/>
        <v>1.024829636919318E-2</v>
      </c>
      <c r="I678" s="10">
        <f t="shared" si="210"/>
        <v>0.81447020422360461</v>
      </c>
      <c r="J678" s="10">
        <f t="shared" si="211"/>
        <v>0.87763249396876641</v>
      </c>
      <c r="K678" s="4">
        <f t="shared" si="218"/>
        <v>0.29285230043730248</v>
      </c>
      <c r="L678" s="10">
        <f t="shared" si="219"/>
        <v>0.81447020422360461</v>
      </c>
      <c r="M678" s="19">
        <v>143.97</v>
      </c>
      <c r="N678" s="19">
        <v>208.61</v>
      </c>
      <c r="O678" s="19">
        <v>-403.12</v>
      </c>
      <c r="P678" s="11">
        <v>6.1999999999999998E-3</v>
      </c>
      <c r="Q678" s="11">
        <v>0</v>
      </c>
      <c r="R678" s="12">
        <f t="shared" si="205"/>
        <v>3.0534917803657739E-2</v>
      </c>
      <c r="S678" s="12">
        <f t="shared" si="206"/>
        <v>4.4244559304167826E-2</v>
      </c>
      <c r="T678" s="12">
        <f t="shared" si="207"/>
        <v>-8.5498618219146408E-2</v>
      </c>
      <c r="U678" s="12">
        <f t="shared" si="169"/>
        <v>1.8931649038267799E-4</v>
      </c>
      <c r="V678" s="12">
        <f t="shared" si="156"/>
        <v>2.7431626768584049E-4</v>
      </c>
      <c r="W678" s="12">
        <f t="shared" si="157"/>
        <v>-5.3009143295870774E-4</v>
      </c>
      <c r="X678" s="12">
        <f t="shared" si="158"/>
        <v>0</v>
      </c>
      <c r="Y678" s="12">
        <f t="shared" si="159"/>
        <v>0</v>
      </c>
      <c r="Z678" s="12">
        <f t="shared" si="160"/>
        <v>0</v>
      </c>
    </row>
    <row r="679" spans="1:27" ht="13">
      <c r="A679" s="23" t="str">
        <f t="shared" si="220"/>
        <v>OGC</v>
      </c>
      <c r="B679" s="9">
        <v>2019</v>
      </c>
      <c r="C679" s="19">
        <v>82.67</v>
      </c>
      <c r="D679" s="19">
        <v>3503.07</v>
      </c>
      <c r="E679" s="19">
        <v>4263.8599999999997</v>
      </c>
      <c r="F679" s="19">
        <v>1802.74</v>
      </c>
      <c r="G679" s="19">
        <v>2188.04</v>
      </c>
      <c r="H679" s="10">
        <f t="shared" si="209"/>
        <v>1.9388535270857862E-2</v>
      </c>
      <c r="I679" s="10">
        <f t="shared" si="210"/>
        <v>0.82157247189166638</v>
      </c>
      <c r="J679" s="10">
        <f t="shared" si="211"/>
        <v>0.82390632712381862</v>
      </c>
      <c r="K679" s="4">
        <f t="shared" si="218"/>
        <v>0.29241905575514338</v>
      </c>
      <c r="L679" s="10">
        <f t="shared" si="219"/>
        <v>0.82157247189166638</v>
      </c>
      <c r="M679" s="19">
        <v>79.53</v>
      </c>
      <c r="N679" s="19">
        <v>21.07</v>
      </c>
      <c r="O679" s="19">
        <v>-242.73</v>
      </c>
      <c r="P679" s="11">
        <v>5.4000000000000003E-3</v>
      </c>
      <c r="Q679" s="11">
        <v>3.3999999999999998E-3</v>
      </c>
      <c r="R679" s="12">
        <f t="shared" si="205"/>
        <v>1.8652113343308647E-2</v>
      </c>
      <c r="S679" s="12">
        <f t="shared" si="206"/>
        <v>4.9415318514210134E-3</v>
      </c>
      <c r="T679" s="12">
        <f t="shared" si="207"/>
        <v>-5.6927291233764714E-2</v>
      </c>
      <c r="U679" s="12">
        <f t="shared" si="169"/>
        <v>1.0072141205386669E-4</v>
      </c>
      <c r="V679" s="12">
        <f t="shared" si="156"/>
        <v>2.6684271997673473E-5</v>
      </c>
      <c r="W679" s="12">
        <f t="shared" si="157"/>
        <v>-3.0740737266232948E-4</v>
      </c>
      <c r="X679" s="12">
        <f t="shared" si="158"/>
        <v>6.3417185367249402E-5</v>
      </c>
      <c r="Y679" s="12">
        <f t="shared" si="159"/>
        <v>1.6801208294831443E-5</v>
      </c>
      <c r="Z679" s="12">
        <f t="shared" si="160"/>
        <v>-1.9355279019480002E-4</v>
      </c>
    </row>
    <row r="680" spans="1:27" ht="13">
      <c r="A680" s="23" t="str">
        <f t="shared" si="220"/>
        <v>OGC</v>
      </c>
      <c r="B680" s="9">
        <v>2020</v>
      </c>
      <c r="C680" s="19">
        <v>204.96</v>
      </c>
      <c r="D680" s="19">
        <v>2525.4499999999998</v>
      </c>
      <c r="E680" s="19">
        <v>3760.34</v>
      </c>
      <c r="F680" s="19">
        <v>1839.07</v>
      </c>
      <c r="G680" s="19">
        <v>1290.18</v>
      </c>
      <c r="H680" s="10">
        <f t="shared" si="209"/>
        <v>5.4505709590090261E-2</v>
      </c>
      <c r="I680" s="10">
        <f t="shared" si="210"/>
        <v>0.6716015041193083</v>
      </c>
      <c r="J680" s="10">
        <f t="shared" si="211"/>
        <v>1.4254367607620642</v>
      </c>
      <c r="K680" s="4">
        <f t="shared" si="218"/>
        <v>-0.72284886671839677</v>
      </c>
      <c r="L680" s="10">
        <f t="shared" si="219"/>
        <v>0.6716015041193083</v>
      </c>
      <c r="M680" s="19">
        <v>41.86</v>
      </c>
      <c r="N680" s="19">
        <v>30.09</v>
      </c>
      <c r="O680" s="19">
        <v>-6.96</v>
      </c>
      <c r="P680" s="11">
        <v>1.01E-2</v>
      </c>
      <c r="Q680" s="11">
        <v>9.9000000000000008E-3</v>
      </c>
      <c r="R680" s="12">
        <f t="shared" si="205"/>
        <v>1.1131972108905045E-2</v>
      </c>
      <c r="S680" s="12">
        <f t="shared" si="206"/>
        <v>8.0019359951493743E-3</v>
      </c>
      <c r="T680" s="12">
        <f t="shared" si="207"/>
        <v>-1.8508964614901843E-3</v>
      </c>
      <c r="U680" s="12">
        <f t="shared" si="169"/>
        <v>1.1243291829994095E-4</v>
      </c>
      <c r="V680" s="12">
        <f t="shared" si="156"/>
        <v>8.0819553551008674E-5</v>
      </c>
      <c r="W680" s="12">
        <f t="shared" si="157"/>
        <v>-1.869405426105086E-5</v>
      </c>
      <c r="X680" s="12">
        <f t="shared" si="158"/>
        <v>1.1020652387815995E-4</v>
      </c>
      <c r="Y680" s="12">
        <f t="shared" si="159"/>
        <v>7.9219166351978811E-5</v>
      </c>
      <c r="Z680" s="12">
        <f t="shared" si="160"/>
        <v>-1.8323874968752827E-5</v>
      </c>
    </row>
    <row r="681" spans="1:27" ht="13">
      <c r="A681" s="23" t="str">
        <f t="shared" si="220"/>
        <v>OGC</v>
      </c>
      <c r="B681" s="9">
        <v>2021</v>
      </c>
      <c r="C681" s="19">
        <v>-280.02999999999997</v>
      </c>
      <c r="D681" s="19">
        <v>1918.89</v>
      </c>
      <c r="E681" s="19">
        <v>2932.84</v>
      </c>
      <c r="F681" s="19">
        <v>1208.5999999999999</v>
      </c>
      <c r="G681" s="19">
        <v>764.39</v>
      </c>
      <c r="H681" s="10">
        <f t="shared" si="209"/>
        <v>-9.5480830867009439E-2</v>
      </c>
      <c r="I681" s="10">
        <f t="shared" si="210"/>
        <v>0.65427708296395304</v>
      </c>
      <c r="J681" s="10">
        <f t="shared" si="211"/>
        <v>1.5811300514135453</v>
      </c>
      <c r="K681" s="4">
        <f t="shared" si="218"/>
        <v>-0.14728140840957935</v>
      </c>
      <c r="L681" s="10">
        <f t="shared" si="219"/>
        <v>0.65427708296395304</v>
      </c>
      <c r="M681" s="19">
        <v>-109.94</v>
      </c>
      <c r="N681" s="19">
        <v>-28.91</v>
      </c>
      <c r="O681" s="19">
        <v>20</v>
      </c>
      <c r="P681" s="11">
        <v>1.01E-2</v>
      </c>
      <c r="Q681" s="11">
        <v>3.3E-3</v>
      </c>
      <c r="R681" s="12">
        <f t="shared" si="205"/>
        <v>-3.7485849892936539E-2</v>
      </c>
      <c r="S681" s="12">
        <f t="shared" si="206"/>
        <v>-9.8573396434854955E-3</v>
      </c>
      <c r="T681" s="12">
        <f t="shared" si="207"/>
        <v>6.8193287052822514E-3</v>
      </c>
      <c r="U681" s="12">
        <f t="shared" si="169"/>
        <v>-3.7860708391865901E-4</v>
      </c>
      <c r="V681" s="12">
        <f t="shared" si="156"/>
        <v>-9.9559130399203507E-5</v>
      </c>
      <c r="W681" s="12">
        <f t="shared" si="157"/>
        <v>6.8875219923350737E-5</v>
      </c>
      <c r="X681" s="12">
        <f t="shared" si="158"/>
        <v>-1.2370330464669057E-4</v>
      </c>
      <c r="Y681" s="12">
        <f t="shared" si="159"/>
        <v>-3.2529220823502136E-5</v>
      </c>
      <c r="Z681" s="12">
        <f t="shared" si="160"/>
        <v>2.250378472743143E-5</v>
      </c>
    </row>
    <row r="682" spans="1:27" ht="13">
      <c r="A682" s="24" t="s">
        <v>153</v>
      </c>
      <c r="B682" s="9">
        <v>2017</v>
      </c>
      <c r="C682" s="19">
        <v>135.81</v>
      </c>
      <c r="D682" s="19">
        <v>1110.3900000000001</v>
      </c>
      <c r="E682" s="19">
        <v>1780.65</v>
      </c>
      <c r="F682" s="19">
        <v>1055.5899999999999</v>
      </c>
      <c r="G682" s="19">
        <v>1108.6600000000001</v>
      </c>
      <c r="H682" s="10">
        <f t="shared" si="209"/>
        <v>7.6269901440485219E-2</v>
      </c>
      <c r="I682" s="10">
        <f t="shared" si="210"/>
        <v>0.62358689242692278</v>
      </c>
      <c r="J682" s="10">
        <f t="shared" si="211"/>
        <v>0.95213140187253065</v>
      </c>
      <c r="K682" s="4">
        <f t="shared" si="218"/>
        <v>-1.0925777952562137</v>
      </c>
      <c r="L682" s="10">
        <f t="shared" si="219"/>
        <v>0.62358689242692278</v>
      </c>
      <c r="M682" s="25">
        <v>-18.25</v>
      </c>
      <c r="N682" s="25">
        <v>-68.150000000000006</v>
      </c>
      <c r="O682" s="26">
        <v>15.5</v>
      </c>
      <c r="P682" s="11">
        <v>0.31</v>
      </c>
      <c r="Q682" s="11">
        <v>9.8999999999999999E-4</v>
      </c>
      <c r="R682" s="12">
        <f t="shared" si="205"/>
        <v>-1.0249066352174768E-2</v>
      </c>
      <c r="S682" s="12">
        <f t="shared" si="206"/>
        <v>-3.8272540926066329E-2</v>
      </c>
      <c r="T682" s="12">
        <f t="shared" si="207"/>
        <v>8.7046864908881579E-3</v>
      </c>
      <c r="U682" s="12">
        <f t="shared" si="169"/>
        <v>-3.177210569174178E-3</v>
      </c>
      <c r="V682" s="12">
        <f t="shared" si="156"/>
        <v>-1.1864487687080563E-2</v>
      </c>
      <c r="W682" s="12">
        <f t="shared" si="157"/>
        <v>2.6984528121753288E-3</v>
      </c>
      <c r="X682" s="12">
        <f t="shared" si="158"/>
        <v>-1.014657568865302E-5</v>
      </c>
      <c r="Y682" s="12">
        <f t="shared" si="159"/>
        <v>-3.7889815516805666E-5</v>
      </c>
      <c r="Z682" s="12">
        <f t="shared" si="160"/>
        <v>8.6176396259792763E-6</v>
      </c>
    </row>
    <row r="683" spans="1:27" ht="13">
      <c r="A683" s="24" t="str">
        <f t="shared" ref="A683:A686" si="221">A682</f>
        <v>PAC</v>
      </c>
      <c r="B683" s="9">
        <v>2018</v>
      </c>
      <c r="C683" s="19">
        <v>168.97</v>
      </c>
      <c r="D683" s="19">
        <v>1679.07</v>
      </c>
      <c r="E683" s="19">
        <v>2289.89</v>
      </c>
      <c r="F683" s="19">
        <v>1579.81</v>
      </c>
      <c r="G683" s="19">
        <v>1629.69</v>
      </c>
      <c r="H683" s="10">
        <f t="shared" si="209"/>
        <v>7.3789570678067504E-2</v>
      </c>
      <c r="I683" s="10">
        <f t="shared" si="210"/>
        <v>0.73325356239819384</v>
      </c>
      <c r="J683" s="10">
        <f t="shared" si="211"/>
        <v>0.96939295203382236</v>
      </c>
      <c r="K683" s="4">
        <f t="shared" si="218"/>
        <v>-0.45638533418973382</v>
      </c>
      <c r="L683" s="10">
        <f t="shared" si="219"/>
        <v>0.73325356239819384</v>
      </c>
      <c r="M683" s="25">
        <v>102.03</v>
      </c>
      <c r="N683" s="25">
        <v>-324.8</v>
      </c>
      <c r="O683" s="25">
        <v>293.08</v>
      </c>
      <c r="P683" s="11">
        <v>0.28149999999999997</v>
      </c>
      <c r="Q683" s="11">
        <v>9.1020000000000001E-4</v>
      </c>
      <c r="R683" s="12">
        <f t="shared" si="205"/>
        <v>4.4556725432226003E-2</v>
      </c>
      <c r="S683" s="12">
        <f t="shared" si="206"/>
        <v>-0.14184087445248464</v>
      </c>
      <c r="T683" s="12">
        <f t="shared" si="207"/>
        <v>0.12798868067898458</v>
      </c>
      <c r="U683" s="12">
        <f t="shared" si="169"/>
        <v>1.2542718209171619E-2</v>
      </c>
      <c r="V683" s="12">
        <f t="shared" si="156"/>
        <v>-3.9928206158374419E-2</v>
      </c>
      <c r="W683" s="12">
        <f t="shared" si="157"/>
        <v>3.6028813611134157E-2</v>
      </c>
      <c r="X683" s="12">
        <f t="shared" si="158"/>
        <v>4.0555531488412106E-5</v>
      </c>
      <c r="Y683" s="12">
        <f t="shared" si="159"/>
        <v>-1.2910356392665151E-4</v>
      </c>
      <c r="Z683" s="12">
        <f t="shared" si="160"/>
        <v>1.1649529715401177E-4</v>
      </c>
    </row>
    <row r="684" spans="1:27" ht="13">
      <c r="A684" s="24" t="str">
        <f t="shared" si="221"/>
        <v>PAC</v>
      </c>
      <c r="B684" s="9">
        <v>2019</v>
      </c>
      <c r="C684" s="19">
        <v>166.69</v>
      </c>
      <c r="D684" s="19">
        <v>1814.31</v>
      </c>
      <c r="E684" s="19">
        <v>2482.7399999999998</v>
      </c>
      <c r="F684" s="19">
        <v>1771.47</v>
      </c>
      <c r="G684" s="19">
        <v>1735.68</v>
      </c>
      <c r="H684" s="10">
        <f t="shared" si="209"/>
        <v>6.7139531324262716E-2</v>
      </c>
      <c r="I684" s="10">
        <f t="shared" si="210"/>
        <v>0.73076923076923084</v>
      </c>
      <c r="J684" s="10">
        <f t="shared" si="211"/>
        <v>1.0206201603982301</v>
      </c>
      <c r="K684" s="4">
        <f t="shared" si="218"/>
        <v>-0.44082575621615955</v>
      </c>
      <c r="L684" s="10">
        <f t="shared" si="219"/>
        <v>0.73076923076923084</v>
      </c>
      <c r="M684" s="25">
        <v>190.11</v>
      </c>
      <c r="N684" s="25">
        <v>-133.08000000000001</v>
      </c>
      <c r="O684" s="25">
        <v>22.99</v>
      </c>
      <c r="P684" s="11">
        <v>0.25</v>
      </c>
      <c r="Q684" s="11">
        <v>1.002E-4</v>
      </c>
      <c r="R684" s="12">
        <f t="shared" si="205"/>
        <v>7.6572657628265553E-2</v>
      </c>
      <c r="S684" s="12">
        <f t="shared" si="206"/>
        <v>-5.3602068682181793E-2</v>
      </c>
      <c r="T684" s="12">
        <f t="shared" si="207"/>
        <v>9.259930560590315E-3</v>
      </c>
      <c r="U684" s="12">
        <f t="shared" si="169"/>
        <v>1.9143164407066388E-2</v>
      </c>
      <c r="V684" s="12">
        <f t="shared" si="156"/>
        <v>-1.3400517170545448E-2</v>
      </c>
      <c r="W684" s="12">
        <f t="shared" si="157"/>
        <v>2.3149826401475788E-3</v>
      </c>
      <c r="X684" s="12">
        <f t="shared" si="158"/>
        <v>7.6725802943522081E-6</v>
      </c>
      <c r="Y684" s="12">
        <f t="shared" si="159"/>
        <v>-5.3709272819546153E-6</v>
      </c>
      <c r="Z684" s="12">
        <f t="shared" si="160"/>
        <v>9.2784504217114952E-7</v>
      </c>
    </row>
    <row r="685" spans="1:27" ht="13">
      <c r="A685" s="24" t="str">
        <f t="shared" si="221"/>
        <v>PAC</v>
      </c>
      <c r="B685" s="9">
        <v>2020</v>
      </c>
      <c r="C685" s="19">
        <v>148.58000000000001</v>
      </c>
      <c r="D685" s="19">
        <v>1669.93</v>
      </c>
      <c r="E685" s="19">
        <v>2400.23</v>
      </c>
      <c r="F685" s="19">
        <v>1728.17</v>
      </c>
      <c r="G685" s="19">
        <v>1601.46</v>
      </c>
      <c r="H685" s="10">
        <f t="shared" si="209"/>
        <v>6.1902401019902263E-2</v>
      </c>
      <c r="I685" s="10">
        <f t="shared" si="210"/>
        <v>0.69573749182370026</v>
      </c>
      <c r="J685" s="10">
        <f t="shared" si="211"/>
        <v>1.0791215515841794</v>
      </c>
      <c r="K685" s="4">
        <f t="shared" si="218"/>
        <v>-0.61717358740080508</v>
      </c>
      <c r="L685" s="10">
        <f t="shared" si="219"/>
        <v>0.69573749182370026</v>
      </c>
      <c r="M685" s="25">
        <v>224.89</v>
      </c>
      <c r="N685" s="25">
        <v>-59.06</v>
      </c>
      <c r="O685" s="25">
        <v>-202.26</v>
      </c>
      <c r="P685" s="11">
        <v>0.14000000000000001</v>
      </c>
      <c r="Q685" s="11">
        <v>0</v>
      </c>
      <c r="R685" s="12">
        <f t="shared" si="205"/>
        <v>9.3695187544526978E-2</v>
      </c>
      <c r="S685" s="12">
        <f t="shared" si="206"/>
        <v>-2.4605975260704183E-2</v>
      </c>
      <c r="T685" s="12">
        <f t="shared" si="207"/>
        <v>-8.4266924419743108E-2</v>
      </c>
      <c r="U685" s="12">
        <f t="shared" si="169"/>
        <v>1.3117326256233778E-2</v>
      </c>
      <c r="V685" s="12">
        <f t="shared" si="156"/>
        <v>-3.4448365364985857E-3</v>
      </c>
      <c r="W685" s="12">
        <f t="shared" si="157"/>
        <v>-1.1797369418764036E-2</v>
      </c>
      <c r="X685" s="12">
        <f t="shared" si="158"/>
        <v>0</v>
      </c>
      <c r="Y685" s="12">
        <f t="shared" si="159"/>
        <v>0</v>
      </c>
      <c r="Z685" s="12">
        <f t="shared" si="160"/>
        <v>0</v>
      </c>
    </row>
    <row r="686" spans="1:27" ht="13">
      <c r="A686" s="24" t="str">
        <f t="shared" si="221"/>
        <v>PAC</v>
      </c>
      <c r="B686" s="9">
        <v>2021</v>
      </c>
      <c r="C686" s="19">
        <v>173.83</v>
      </c>
      <c r="D686" s="19">
        <v>1612.32</v>
      </c>
      <c r="E686" s="19">
        <v>2479.65</v>
      </c>
      <c r="F686" s="19">
        <v>1809.38</v>
      </c>
      <c r="G686" s="19">
        <v>1544.67</v>
      </c>
      <c r="H686" s="10">
        <f t="shared" si="209"/>
        <v>7.0102635452584036E-2</v>
      </c>
      <c r="I686" s="10">
        <f t="shared" si="210"/>
        <v>0.65022079728994009</v>
      </c>
      <c r="J686" s="10">
        <f t="shared" si="211"/>
        <v>1.1713699366207668</v>
      </c>
      <c r="K686" s="4">
        <f t="shared" si="218"/>
        <v>-0.91388879473045281</v>
      </c>
      <c r="L686" s="10">
        <f t="shared" si="219"/>
        <v>0.65022079728994009</v>
      </c>
      <c r="M686" s="25">
        <v>242.38</v>
      </c>
      <c r="N686" s="25">
        <v>-160.56</v>
      </c>
      <c r="O686" s="25">
        <v>-111.49</v>
      </c>
      <c r="P686" s="11">
        <v>0.129</v>
      </c>
      <c r="Q686" s="11">
        <v>0</v>
      </c>
      <c r="R686" s="12">
        <f t="shared" si="205"/>
        <v>9.7747666001250177E-2</v>
      </c>
      <c r="S686" s="12">
        <f t="shared" si="206"/>
        <v>-6.4751073740245593E-2</v>
      </c>
      <c r="T686" s="12">
        <f t="shared" si="207"/>
        <v>-4.4961990603512587E-2</v>
      </c>
      <c r="U686" s="12">
        <f t="shared" si="169"/>
        <v>1.2609448914161273E-2</v>
      </c>
      <c r="V686" s="12">
        <f t="shared" si="156"/>
        <v>-8.3528885124916821E-3</v>
      </c>
      <c r="W686" s="12">
        <f t="shared" si="157"/>
        <v>-5.8000967878531241E-3</v>
      </c>
      <c r="X686" s="12">
        <f t="shared" si="158"/>
        <v>0</v>
      </c>
      <c r="Y686" s="12">
        <f t="shared" si="159"/>
        <v>0</v>
      </c>
      <c r="Z686" s="12">
        <f t="shared" si="160"/>
        <v>0</v>
      </c>
    </row>
    <row r="687" spans="1:27" ht="13">
      <c r="A687" s="24" t="s">
        <v>154</v>
      </c>
      <c r="B687" s="9">
        <v>2017</v>
      </c>
      <c r="C687" s="19">
        <v>502.92</v>
      </c>
      <c r="D687" s="19">
        <v>1816.51</v>
      </c>
      <c r="E687" s="19">
        <v>5982.46</v>
      </c>
      <c r="F687" s="19">
        <v>3021.96</v>
      </c>
      <c r="G687" s="19">
        <v>1382.64</v>
      </c>
      <c r="H687" s="10">
        <f t="shared" si="209"/>
        <v>8.4065752215643733E-2</v>
      </c>
      <c r="I687" s="10">
        <f t="shared" si="210"/>
        <v>0.3036393055699495</v>
      </c>
      <c r="J687" s="10">
        <f t="shared" si="211"/>
        <v>2.1856448533240758</v>
      </c>
      <c r="K687" s="4">
        <f t="shared" si="218"/>
        <v>-2.9562944226349805</v>
      </c>
      <c r="L687" s="10">
        <f t="shared" si="219"/>
        <v>0.3036393055699495</v>
      </c>
      <c r="M687" s="25">
        <v>219.78</v>
      </c>
      <c r="N687" s="25">
        <v>-353.05</v>
      </c>
      <c r="O687" s="25">
        <v>694.29</v>
      </c>
      <c r="P687" s="11">
        <v>0.45839999999999997</v>
      </c>
      <c r="Q687" s="11">
        <v>2.2000000000000001E-3</v>
      </c>
      <c r="R687" s="12">
        <f t="shared" si="205"/>
        <v>3.6737395653293127E-2</v>
      </c>
      <c r="S687" s="12">
        <f t="shared" si="206"/>
        <v>-5.9014184800232683E-2</v>
      </c>
      <c r="T687" s="12">
        <f t="shared" si="207"/>
        <v>0.11605426530223352</v>
      </c>
      <c r="U687" s="12">
        <f t="shared" si="169"/>
        <v>1.684042216746957E-2</v>
      </c>
      <c r="V687" s="12">
        <f t="shared" si="156"/>
        <v>-2.7052102312426659E-2</v>
      </c>
      <c r="W687" s="12">
        <f t="shared" si="157"/>
        <v>5.3199275214543845E-2</v>
      </c>
      <c r="X687" s="12">
        <f t="shared" si="158"/>
        <v>8.0822270437244884E-5</v>
      </c>
      <c r="Y687" s="12">
        <f t="shared" si="159"/>
        <v>-1.298312065605119E-4</v>
      </c>
      <c r="Z687" s="12">
        <f t="shared" si="160"/>
        <v>2.5531938366491375E-4</v>
      </c>
    </row>
    <row r="688" spans="1:27" ht="13">
      <c r="A688" s="24" t="str">
        <f t="shared" ref="A688:A691" si="222">A687</f>
        <v>PAN</v>
      </c>
      <c r="B688" s="9">
        <v>2018</v>
      </c>
      <c r="C688" s="19">
        <v>567.16</v>
      </c>
      <c r="D688" s="19">
        <v>3466.48</v>
      </c>
      <c r="E688" s="19">
        <v>9438.75</v>
      </c>
      <c r="F688" s="19">
        <v>5174.8500000000004</v>
      </c>
      <c r="G688" s="19">
        <v>1779.53</v>
      </c>
      <c r="H688" s="10">
        <f t="shared" si="209"/>
        <v>6.0088465103959737E-2</v>
      </c>
      <c r="I688" s="10">
        <f t="shared" si="210"/>
        <v>0.36726049529863597</v>
      </c>
      <c r="J688" s="10">
        <f t="shared" si="211"/>
        <v>2.9079869403718961</v>
      </c>
      <c r="K688" s="4">
        <f t="shared" si="218"/>
        <v>-2.4886452175270808</v>
      </c>
      <c r="L688" s="10">
        <f t="shared" si="219"/>
        <v>0.36726049529863597</v>
      </c>
      <c r="M688" s="25">
        <v>770.81</v>
      </c>
      <c r="N688" s="25">
        <v>-510.69</v>
      </c>
      <c r="O688" s="25">
        <v>1159.68</v>
      </c>
      <c r="P688" s="11">
        <v>0.45579999999999998</v>
      </c>
      <c r="Q688" s="11">
        <v>1.14E-2</v>
      </c>
      <c r="R688" s="12">
        <f t="shared" si="205"/>
        <v>8.1664415309230562E-2</v>
      </c>
      <c r="S688" s="12">
        <f t="shared" si="206"/>
        <v>-5.4105681366706397E-2</v>
      </c>
      <c r="T688" s="12">
        <f t="shared" si="207"/>
        <v>0.12286372665872071</v>
      </c>
      <c r="U688" s="12">
        <f t="shared" si="169"/>
        <v>3.7222640497947289E-2</v>
      </c>
      <c r="V688" s="12">
        <f t="shared" si="156"/>
        <v>-2.4661369566944775E-2</v>
      </c>
      <c r="W688" s="12">
        <f t="shared" si="157"/>
        <v>5.60012866110449E-2</v>
      </c>
      <c r="X688" s="12">
        <f t="shared" si="158"/>
        <v>9.3097433452522848E-4</v>
      </c>
      <c r="Y688" s="12">
        <f t="shared" si="159"/>
        <v>-6.1680476758045296E-4</v>
      </c>
      <c r="Z688" s="12">
        <f t="shared" si="160"/>
        <v>1.4006464839094162E-3</v>
      </c>
    </row>
    <row r="689" spans="1:26" ht="13">
      <c r="A689" s="24" t="str">
        <f t="shared" si="222"/>
        <v>PAN</v>
      </c>
      <c r="B689" s="9">
        <v>2019</v>
      </c>
      <c r="C689" s="19">
        <v>451.98</v>
      </c>
      <c r="D689" s="19">
        <v>4618.9799999999996</v>
      </c>
      <c r="E689" s="19">
        <v>10764.55</v>
      </c>
      <c r="F689" s="19">
        <v>5683.27</v>
      </c>
      <c r="G689" s="19">
        <v>3060.15</v>
      </c>
      <c r="H689" s="10">
        <f t="shared" si="209"/>
        <v>4.1987821135114803E-2</v>
      </c>
      <c r="I689" s="10">
        <f t="shared" si="210"/>
        <v>0.42909178739473547</v>
      </c>
      <c r="J689" s="10">
        <f t="shared" si="211"/>
        <v>1.8571867392121302</v>
      </c>
      <c r="K689" s="4">
        <f t="shared" si="218"/>
        <v>-2.0505507539148722</v>
      </c>
      <c r="L689" s="10">
        <f t="shared" si="219"/>
        <v>0.42909178739473547</v>
      </c>
      <c r="M689" s="25">
        <v>-4.04</v>
      </c>
      <c r="N689" s="25">
        <v>-1162.48</v>
      </c>
      <c r="O689" s="25">
        <v>822.37</v>
      </c>
      <c r="P689" s="11">
        <v>0.44429999999999997</v>
      </c>
      <c r="Q689" s="11">
        <v>1.55E-2</v>
      </c>
      <c r="R689" s="12">
        <f t="shared" si="205"/>
        <v>-3.753059812068317E-4</v>
      </c>
      <c r="S689" s="12">
        <f t="shared" si="206"/>
        <v>-0.10799150916666281</v>
      </c>
      <c r="T689" s="12">
        <f t="shared" si="207"/>
        <v>7.6396133605213412E-2</v>
      </c>
      <c r="U689" s="12">
        <f t="shared" si="169"/>
        <v>-1.6674844745019531E-4</v>
      </c>
      <c r="V689" s="12">
        <f t="shared" si="156"/>
        <v>-4.798062752274828E-2</v>
      </c>
      <c r="W689" s="12">
        <f t="shared" si="157"/>
        <v>3.3942802160796315E-2</v>
      </c>
      <c r="X689" s="12">
        <f t="shared" si="158"/>
        <v>-5.8172427087058913E-6</v>
      </c>
      <c r="Y689" s="12">
        <f t="shared" si="159"/>
        <v>-1.6738683920832734E-3</v>
      </c>
      <c r="Z689" s="12">
        <f t="shared" si="160"/>
        <v>1.1841400708808079E-3</v>
      </c>
    </row>
    <row r="690" spans="1:26" ht="13">
      <c r="A690" s="24" t="str">
        <f t="shared" si="222"/>
        <v>PAN</v>
      </c>
      <c r="B690" s="9">
        <v>2020</v>
      </c>
      <c r="C690" s="19">
        <v>333.22</v>
      </c>
      <c r="D690" s="19">
        <v>5163.1400000000003</v>
      </c>
      <c r="E690" s="19">
        <v>11336.3</v>
      </c>
      <c r="F690" s="19">
        <v>6169.05</v>
      </c>
      <c r="G690" s="19">
        <v>3639.46</v>
      </c>
      <c r="H690" s="10">
        <f t="shared" si="209"/>
        <v>2.9394070375695778E-2</v>
      </c>
      <c r="I690" s="10">
        <f t="shared" si="210"/>
        <v>0.45545195522348569</v>
      </c>
      <c r="J690" s="10">
        <f t="shared" si="211"/>
        <v>1.6950454188258699</v>
      </c>
      <c r="K690" s="4">
        <f t="shared" si="218"/>
        <v>-1.8429773535920655</v>
      </c>
      <c r="L690" s="10">
        <f t="shared" si="219"/>
        <v>0.45545195522348569</v>
      </c>
      <c r="M690" s="25">
        <v>-224.12</v>
      </c>
      <c r="N690" s="25">
        <v>-447.2</v>
      </c>
      <c r="O690" s="25">
        <v>503.11</v>
      </c>
      <c r="P690" s="11">
        <v>0.37619999999999998</v>
      </c>
      <c r="Q690" s="11">
        <v>1.3299999999999999E-2</v>
      </c>
      <c r="R690" s="12">
        <f t="shared" si="205"/>
        <v>-1.9770118998262223E-2</v>
      </c>
      <c r="S690" s="12">
        <f t="shared" si="206"/>
        <v>-3.9448497305117194E-2</v>
      </c>
      <c r="T690" s="12">
        <f t="shared" si="207"/>
        <v>4.4380441590289602E-2</v>
      </c>
      <c r="U690" s="12">
        <f t="shared" si="169"/>
        <v>-7.4375187671462473E-3</v>
      </c>
      <c r="V690" s="12">
        <f t="shared" si="156"/>
        <v>-1.4840524686185087E-2</v>
      </c>
      <c r="W690" s="12">
        <f t="shared" si="157"/>
        <v>1.6695922126266947E-2</v>
      </c>
      <c r="X690" s="12">
        <f t="shared" si="158"/>
        <v>-2.6294258267688754E-4</v>
      </c>
      <c r="Y690" s="12">
        <f t="shared" si="159"/>
        <v>-5.2466501415805863E-4</v>
      </c>
      <c r="Z690" s="12">
        <f t="shared" si="160"/>
        <v>5.9025987315085163E-4</v>
      </c>
    </row>
    <row r="691" spans="1:26" ht="13">
      <c r="A691" s="24" t="str">
        <f t="shared" si="222"/>
        <v>PAN</v>
      </c>
      <c r="B691" s="9">
        <v>2021</v>
      </c>
      <c r="C691" s="19">
        <v>510.75</v>
      </c>
      <c r="D691" s="19">
        <v>7444.25</v>
      </c>
      <c r="E691" s="19">
        <v>15023.9</v>
      </c>
      <c r="F691" s="19">
        <v>10058.959999999999</v>
      </c>
      <c r="G691" s="19">
        <v>5992.75</v>
      </c>
      <c r="H691" s="10">
        <f t="shared" si="209"/>
        <v>3.3995833305599743E-2</v>
      </c>
      <c r="I691" s="10">
        <f t="shared" si="210"/>
        <v>0.49549384647128908</v>
      </c>
      <c r="J691" s="10">
        <f t="shared" si="211"/>
        <v>1.6785215468691335</v>
      </c>
      <c r="K691" s="4">
        <f t="shared" si="218"/>
        <v>-1.6353804111763279</v>
      </c>
      <c r="L691" s="10">
        <f t="shared" si="219"/>
        <v>0.49549384647128908</v>
      </c>
      <c r="M691" s="25">
        <v>-1427.2</v>
      </c>
      <c r="N691" s="25">
        <v>806.51</v>
      </c>
      <c r="O691" s="25">
        <v>1435.94</v>
      </c>
      <c r="P691" s="11">
        <v>7.9799999999999996E-2</v>
      </c>
      <c r="Q691" s="11">
        <v>0</v>
      </c>
      <c r="R691" s="12">
        <f t="shared" si="205"/>
        <v>-9.4995307476753707E-2</v>
      </c>
      <c r="S691" s="12">
        <f t="shared" si="206"/>
        <v>5.3681800331471859E-2</v>
      </c>
      <c r="T691" s="12">
        <f t="shared" si="207"/>
        <v>9.5577047238067356E-2</v>
      </c>
      <c r="U691" s="12">
        <f t="shared" si="169"/>
        <v>-7.5806255366449452E-3</v>
      </c>
      <c r="V691" s="12">
        <f t="shared" si="156"/>
        <v>4.2838076664514545E-3</v>
      </c>
      <c r="W691" s="12">
        <f t="shared" si="157"/>
        <v>7.6270483695977742E-3</v>
      </c>
      <c r="X691" s="12">
        <f t="shared" si="158"/>
        <v>0</v>
      </c>
      <c r="Y691" s="12">
        <f t="shared" si="159"/>
        <v>0</v>
      </c>
      <c r="Z691" s="12">
        <f t="shared" si="160"/>
        <v>0</v>
      </c>
    </row>
    <row r="692" spans="1:26" ht="13">
      <c r="A692" s="24" t="s">
        <v>155</v>
      </c>
      <c r="B692" s="9">
        <v>2017</v>
      </c>
      <c r="C692" s="19">
        <v>256.3</v>
      </c>
      <c r="D692" s="19">
        <v>3399.78</v>
      </c>
      <c r="E692" s="19">
        <v>6213.77</v>
      </c>
      <c r="F692" s="19">
        <v>3093.19</v>
      </c>
      <c r="G692" s="19">
        <v>1832.79</v>
      </c>
      <c r="H692" s="10">
        <f t="shared" si="209"/>
        <v>4.1247101196214213E-2</v>
      </c>
      <c r="I692" s="10">
        <f t="shared" si="210"/>
        <v>0.54713644051839705</v>
      </c>
      <c r="J692" s="10">
        <f t="shared" si="211"/>
        <v>1.6876947167978875</v>
      </c>
      <c r="K692" s="4">
        <f t="shared" si="218"/>
        <v>-1.3736850232952915</v>
      </c>
      <c r="L692" s="10">
        <f t="shared" si="219"/>
        <v>0.54713644051839705</v>
      </c>
      <c r="M692" s="25">
        <v>-179.9</v>
      </c>
      <c r="N692" s="25">
        <v>-894.82</v>
      </c>
      <c r="O692" s="25">
        <v>1223.52</v>
      </c>
      <c r="P692" s="11">
        <v>0.37830000000000003</v>
      </c>
      <c r="Q692" s="11">
        <v>0.24540000000000001</v>
      </c>
      <c r="R692" s="12">
        <f t="shared" si="205"/>
        <v>-2.8951827956297062E-2</v>
      </c>
      <c r="S692" s="12">
        <f t="shared" si="206"/>
        <v>-0.14400597382909247</v>
      </c>
      <c r="T692" s="12">
        <f t="shared" si="207"/>
        <v>0.19690461668198209</v>
      </c>
      <c r="U692" s="12">
        <f t="shared" si="169"/>
        <v>-1.095247651586718E-2</v>
      </c>
      <c r="V692" s="12">
        <f t="shared" si="156"/>
        <v>-5.4477459899545687E-2</v>
      </c>
      <c r="W692" s="12">
        <f t="shared" si="157"/>
        <v>7.4489016490793827E-2</v>
      </c>
      <c r="X692" s="12">
        <f t="shared" si="158"/>
        <v>-7.1047785804752989E-3</v>
      </c>
      <c r="Y692" s="12">
        <f t="shared" si="159"/>
        <v>-3.5339065977659297E-2</v>
      </c>
      <c r="Z692" s="12">
        <f t="shared" si="160"/>
        <v>4.8320392933758408E-2</v>
      </c>
    </row>
    <row r="693" spans="1:26" ht="13">
      <c r="A693" s="24" t="str">
        <f t="shared" ref="A693:A696" si="223">A692</f>
        <v>PC1</v>
      </c>
      <c r="B693" s="9">
        <v>2018</v>
      </c>
      <c r="C693" s="19">
        <v>491.4</v>
      </c>
      <c r="D693" s="19">
        <v>3317.68</v>
      </c>
      <c r="E693" s="19">
        <v>6596.91</v>
      </c>
      <c r="F693" s="19">
        <v>3150.02</v>
      </c>
      <c r="G693" s="19">
        <v>1740.96</v>
      </c>
      <c r="H693" s="10">
        <f t="shared" si="209"/>
        <v>7.4489420046658206E-2</v>
      </c>
      <c r="I693" s="10">
        <f t="shared" si="210"/>
        <v>0.50291424318355105</v>
      </c>
      <c r="J693" s="10">
        <f t="shared" si="211"/>
        <v>1.8093580553257973</v>
      </c>
      <c r="K693" s="4">
        <f t="shared" si="218"/>
        <v>-1.775828636285024</v>
      </c>
      <c r="L693" s="10">
        <f t="shared" si="219"/>
        <v>0.50291424318355105</v>
      </c>
      <c r="M693" s="25">
        <v>513.15</v>
      </c>
      <c r="N693" s="25">
        <v>-535.1</v>
      </c>
      <c r="O693" s="25">
        <v>155.76</v>
      </c>
      <c r="P693" s="11">
        <v>0.36349999999999999</v>
      </c>
      <c r="Q693" s="11">
        <v>0.25594</v>
      </c>
      <c r="R693" s="12">
        <f t="shared" si="205"/>
        <v>7.7786418186696502E-2</v>
      </c>
      <c r="S693" s="12">
        <f t="shared" si="206"/>
        <v>-8.1113733551011008E-2</v>
      </c>
      <c r="T693" s="12">
        <f t="shared" si="207"/>
        <v>2.3611054266315594E-2</v>
      </c>
      <c r="U693" s="12">
        <f t="shared" si="169"/>
        <v>2.8275363010864179E-2</v>
      </c>
      <c r="V693" s="12">
        <f t="shared" si="156"/>
        <v>-2.94848421457925E-2</v>
      </c>
      <c r="W693" s="12">
        <f t="shared" si="157"/>
        <v>8.5826182258057181E-3</v>
      </c>
      <c r="X693" s="12">
        <f t="shared" si="158"/>
        <v>1.9908655870703104E-2</v>
      </c>
      <c r="Y693" s="12">
        <f t="shared" si="159"/>
        <v>-2.0760248965045757E-2</v>
      </c>
      <c r="Z693" s="12">
        <f t="shared" si="160"/>
        <v>6.0430132289208127E-3</v>
      </c>
    </row>
    <row r="694" spans="1:26" ht="13">
      <c r="A694" s="24" t="str">
        <f t="shared" si="223"/>
        <v>PC1</v>
      </c>
      <c r="B694" s="9">
        <v>2019</v>
      </c>
      <c r="C694" s="19">
        <v>376.46</v>
      </c>
      <c r="D694" s="19">
        <v>4620.5</v>
      </c>
      <c r="E694" s="19">
        <v>8315.2800000000007</v>
      </c>
      <c r="F694" s="19">
        <v>4152.92</v>
      </c>
      <c r="G694" s="19">
        <v>2497.0300000000002</v>
      </c>
      <c r="H694" s="10">
        <f t="shared" si="209"/>
        <v>4.5273280033865361E-2</v>
      </c>
      <c r="I694" s="10">
        <f t="shared" si="210"/>
        <v>0.55566379003473121</v>
      </c>
      <c r="J694" s="10">
        <f t="shared" si="211"/>
        <v>1.6631438148520441</v>
      </c>
      <c r="K694" s="4">
        <f t="shared" si="218"/>
        <v>-1.3430987322138346</v>
      </c>
      <c r="L694" s="10">
        <f t="shared" si="219"/>
        <v>0.55566379003473121</v>
      </c>
      <c r="M694" s="25">
        <v>-333.53</v>
      </c>
      <c r="N694" s="25">
        <v>-956.39</v>
      </c>
      <c r="O694" s="26">
        <v>1156.3</v>
      </c>
      <c r="P694" s="11">
        <v>0.28000000000000003</v>
      </c>
      <c r="Q694" s="11">
        <v>0.24867</v>
      </c>
      <c r="R694" s="12">
        <f t="shared" si="205"/>
        <v>-4.0110495377185126E-2</v>
      </c>
      <c r="S694" s="12">
        <f t="shared" si="206"/>
        <v>-0.11501597059870503</v>
      </c>
      <c r="T694" s="12">
        <f t="shared" si="207"/>
        <v>0.13905725363427326</v>
      </c>
      <c r="U694" s="12">
        <f t="shared" si="169"/>
        <v>-1.1230938705611836E-2</v>
      </c>
      <c r="V694" s="12">
        <f t="shared" si="156"/>
        <v>-3.220447176763741E-2</v>
      </c>
      <c r="W694" s="12">
        <f t="shared" si="157"/>
        <v>3.8936031017596517E-2</v>
      </c>
      <c r="X694" s="12">
        <f t="shared" si="158"/>
        <v>-9.9742768854446263E-3</v>
      </c>
      <c r="Y694" s="12">
        <f t="shared" si="159"/>
        <v>-2.8601021408779979E-2</v>
      </c>
      <c r="Z694" s="12">
        <f t="shared" si="160"/>
        <v>3.4579367261234735E-2</v>
      </c>
    </row>
    <row r="695" spans="1:26" ht="13">
      <c r="A695" s="24" t="str">
        <f t="shared" si="223"/>
        <v>PC1</v>
      </c>
      <c r="B695" s="9">
        <v>2020</v>
      </c>
      <c r="C695" s="19">
        <v>544.08000000000004</v>
      </c>
      <c r="D695" s="19">
        <v>5952.14</v>
      </c>
      <c r="E695" s="19">
        <v>10721.67</v>
      </c>
      <c r="F695" s="19">
        <v>5715.23</v>
      </c>
      <c r="G695" s="19">
        <v>3743.82</v>
      </c>
      <c r="H695" s="10">
        <f t="shared" si="209"/>
        <v>5.0745825976736839E-2</v>
      </c>
      <c r="I695" s="10">
        <f t="shared" si="210"/>
        <v>0.55515045697172183</v>
      </c>
      <c r="J695" s="10">
        <f t="shared" si="211"/>
        <v>1.5265771324476067</v>
      </c>
      <c r="K695" s="4">
        <f t="shared" si="218"/>
        <v>-1.3701049206862914</v>
      </c>
      <c r="L695" s="10">
        <f t="shared" si="219"/>
        <v>0.55515045697172183</v>
      </c>
      <c r="M695" s="25">
        <v>632.62</v>
      </c>
      <c r="N695" s="25">
        <v>-856.37</v>
      </c>
      <c r="O695" s="25">
        <v>1133</v>
      </c>
      <c r="P695" s="11">
        <v>0.1386</v>
      </c>
      <c r="Q695" s="11">
        <v>0.24998000000000001</v>
      </c>
      <c r="R695" s="12">
        <f t="shared" si="205"/>
        <v>5.9003867867598987E-2</v>
      </c>
      <c r="S695" s="12">
        <f t="shared" si="206"/>
        <v>-7.9872818320280328E-2</v>
      </c>
      <c r="T695" s="12">
        <f t="shared" si="207"/>
        <v>0.10567383625871715</v>
      </c>
      <c r="U695" s="12">
        <f t="shared" si="169"/>
        <v>8.1779360864492195E-3</v>
      </c>
      <c r="V695" s="12">
        <f t="shared" si="156"/>
        <v>-1.1070372619190853E-2</v>
      </c>
      <c r="W695" s="12">
        <f t="shared" si="157"/>
        <v>1.4646393705458198E-2</v>
      </c>
      <c r="X695" s="12">
        <f t="shared" si="158"/>
        <v>1.4749786889542395E-2</v>
      </c>
      <c r="Y695" s="12">
        <f t="shared" si="159"/>
        <v>-1.9966607123703677E-2</v>
      </c>
      <c r="Z695" s="12">
        <f t="shared" si="160"/>
        <v>2.6416345587954113E-2</v>
      </c>
    </row>
    <row r="696" spans="1:26" ht="13">
      <c r="A696" s="24" t="str">
        <f t="shared" si="223"/>
        <v>PC1</v>
      </c>
      <c r="B696" s="9">
        <v>2021</v>
      </c>
      <c r="C696" s="19">
        <v>764.29</v>
      </c>
      <c r="D696" s="19">
        <v>12406.2</v>
      </c>
      <c r="E696" s="19">
        <v>18687.04</v>
      </c>
      <c r="F696" s="19">
        <v>6589.44</v>
      </c>
      <c r="G696" s="19">
        <v>5798.71</v>
      </c>
      <c r="H696" s="10">
        <f t="shared" si="209"/>
        <v>4.0899468294604169E-2</v>
      </c>
      <c r="I696" s="10">
        <f t="shared" si="210"/>
        <v>0.66389326506498625</v>
      </c>
      <c r="J696" s="10">
        <f t="shared" si="211"/>
        <v>1.1363630876522537</v>
      </c>
      <c r="K696" s="4">
        <f t="shared" si="218"/>
        <v>-0.70440144880590627</v>
      </c>
      <c r="L696" s="10">
        <f t="shared" si="219"/>
        <v>0.66389326506498625</v>
      </c>
      <c r="M696" s="25">
        <v>93.24</v>
      </c>
      <c r="N696" s="25">
        <v>-4949.43</v>
      </c>
      <c r="O696" s="26">
        <v>5682.1</v>
      </c>
      <c r="P696" s="11">
        <v>5.1999999999999998E-2</v>
      </c>
      <c r="Q696" s="11">
        <v>0.25163999999999997</v>
      </c>
      <c r="R696" s="12">
        <f t="shared" si="205"/>
        <v>4.9895542579242082E-3</v>
      </c>
      <c r="S696" s="12">
        <f t="shared" si="206"/>
        <v>-0.26485896107676765</v>
      </c>
      <c r="T696" s="12">
        <f t="shared" si="207"/>
        <v>0.3040663475863486</v>
      </c>
      <c r="U696" s="12">
        <f t="shared" si="169"/>
        <v>2.5945682141205879E-4</v>
      </c>
      <c r="V696" s="12">
        <f t="shared" si="156"/>
        <v>-1.3772665975991917E-2</v>
      </c>
      <c r="W696" s="12">
        <f t="shared" si="157"/>
        <v>1.5811450074490127E-2</v>
      </c>
      <c r="X696" s="12">
        <f t="shared" si="158"/>
        <v>1.2555714334640477E-3</v>
      </c>
      <c r="Y696" s="12">
        <f t="shared" si="159"/>
        <v>-6.6649108965357806E-2</v>
      </c>
      <c r="Z696" s="12">
        <f t="shared" si="160"/>
        <v>7.651525570662876E-2</v>
      </c>
    </row>
    <row r="697" spans="1:26" ht="13">
      <c r="A697" s="24" t="s">
        <v>156</v>
      </c>
      <c r="B697" s="9">
        <v>2017</v>
      </c>
      <c r="C697" s="19">
        <v>5.54</v>
      </c>
      <c r="D697" s="19">
        <v>126.94</v>
      </c>
      <c r="E697" s="19">
        <v>203.04</v>
      </c>
      <c r="F697" s="19">
        <v>112.39</v>
      </c>
      <c r="G697" s="19">
        <v>113.42</v>
      </c>
      <c r="H697" s="10">
        <f t="shared" si="209"/>
        <v>2.7285263987391648E-2</v>
      </c>
      <c r="I697" s="10">
        <f t="shared" si="210"/>
        <v>0.62519700551615442</v>
      </c>
      <c r="J697" s="10">
        <f t="shared" si="211"/>
        <v>0.99091870922235936</v>
      </c>
      <c r="K697" s="4">
        <f t="shared" si="218"/>
        <v>-0.86312443133807126</v>
      </c>
      <c r="L697" s="10">
        <f t="shared" si="219"/>
        <v>0.62519700551615442</v>
      </c>
      <c r="M697" s="25">
        <v>154.21</v>
      </c>
      <c r="N697" s="25">
        <v>-72.22</v>
      </c>
      <c r="O697" s="25">
        <v>-4.51</v>
      </c>
      <c r="P697" s="27">
        <v>1.9099999999999999E-2</v>
      </c>
      <c r="Q697" s="11">
        <v>9.3600000000000003E-3</v>
      </c>
      <c r="R697" s="12">
        <f t="shared" si="205"/>
        <v>0.75950551615445239</v>
      </c>
      <c r="S697" s="12">
        <f t="shared" si="206"/>
        <v>-0.3556934594168637</v>
      </c>
      <c r="T697" s="12">
        <f t="shared" si="207"/>
        <v>-2.22123719464145E-2</v>
      </c>
      <c r="U697" s="12">
        <f t="shared" si="169"/>
        <v>1.4506555358550039E-2</v>
      </c>
      <c r="V697" s="12">
        <f t="shared" si="156"/>
        <v>-6.793745074862096E-3</v>
      </c>
      <c r="W697" s="12">
        <f t="shared" si="157"/>
        <v>-4.2425630417651695E-4</v>
      </c>
      <c r="X697" s="12">
        <f t="shared" si="158"/>
        <v>7.1089716312056749E-3</v>
      </c>
      <c r="Y697" s="12">
        <f t="shared" si="159"/>
        <v>-3.3292907801418443E-3</v>
      </c>
      <c r="Z697" s="12">
        <f t="shared" si="160"/>
        <v>-2.0790780141843974E-4</v>
      </c>
    </row>
    <row r="698" spans="1:26" ht="13">
      <c r="A698" s="24" t="str">
        <f t="shared" ref="A698:A701" si="224">A697</f>
        <v>PDN</v>
      </c>
      <c r="B698" s="9">
        <v>2018</v>
      </c>
      <c r="C698" s="19">
        <v>3.04</v>
      </c>
      <c r="D698" s="19">
        <v>79.650000000000006</v>
      </c>
      <c r="E698" s="19">
        <v>156.16</v>
      </c>
      <c r="F698" s="19">
        <v>61.48</v>
      </c>
      <c r="G698" s="19">
        <v>68.67</v>
      </c>
      <c r="H698" s="10">
        <f t="shared" si="209"/>
        <v>1.9467213114754099E-2</v>
      </c>
      <c r="I698" s="10">
        <f t="shared" si="210"/>
        <v>0.51005379098360659</v>
      </c>
      <c r="J698" s="10">
        <f t="shared" si="211"/>
        <v>0.89529634483762921</v>
      </c>
      <c r="K698" s="4">
        <f t="shared" si="218"/>
        <v>-1.4838770357891859</v>
      </c>
      <c r="L698" s="10">
        <f t="shared" si="219"/>
        <v>0.51005379098360659</v>
      </c>
      <c r="M698" s="25">
        <v>143.79</v>
      </c>
      <c r="N698" s="25">
        <v>-66.87</v>
      </c>
      <c r="O698" s="25">
        <v>-106.22</v>
      </c>
      <c r="P698" s="11">
        <v>1.9099999999999999E-2</v>
      </c>
      <c r="Q698" s="11">
        <v>4.7600000000000003E-3</v>
      </c>
      <c r="R698" s="12">
        <f t="shared" si="205"/>
        <v>0.92078637295081966</v>
      </c>
      <c r="S698" s="12">
        <f t="shared" si="206"/>
        <v>-0.4282146516393443</v>
      </c>
      <c r="T698" s="12">
        <f t="shared" si="207"/>
        <v>-0.68019979508196726</v>
      </c>
      <c r="U698" s="12">
        <f t="shared" si="169"/>
        <v>1.7587019723360655E-2</v>
      </c>
      <c r="V698" s="12">
        <f t="shared" si="156"/>
        <v>-8.1788998463114757E-3</v>
      </c>
      <c r="W698" s="12">
        <f t="shared" si="157"/>
        <v>-1.2991816086065575E-2</v>
      </c>
      <c r="X698" s="12">
        <f t="shared" si="158"/>
        <v>4.3829431352459015E-3</v>
      </c>
      <c r="Y698" s="12">
        <f t="shared" si="159"/>
        <v>-2.0383017418032791E-3</v>
      </c>
      <c r="Z698" s="12">
        <f t="shared" si="160"/>
        <v>-3.2377510245901642E-3</v>
      </c>
    </row>
    <row r="699" spans="1:26" ht="13">
      <c r="A699" s="24" t="str">
        <f t="shared" si="224"/>
        <v>PDN</v>
      </c>
      <c r="B699" s="9">
        <v>2019</v>
      </c>
      <c r="C699" s="19">
        <v>0.16</v>
      </c>
      <c r="D699" s="19">
        <v>194.45</v>
      </c>
      <c r="E699" s="19">
        <v>270.52</v>
      </c>
      <c r="F699" s="19">
        <v>172.42</v>
      </c>
      <c r="G699" s="19">
        <v>184.06</v>
      </c>
      <c r="H699" s="10">
        <f t="shared" si="209"/>
        <v>5.9145349696880089E-4</v>
      </c>
      <c r="I699" s="10">
        <f t="shared" si="210"/>
        <v>0.71880082803489576</v>
      </c>
      <c r="J699" s="10">
        <f t="shared" si="211"/>
        <v>0.93675975225469943</v>
      </c>
      <c r="K699" s="4">
        <f t="shared" si="218"/>
        <v>-0.20924385994647204</v>
      </c>
      <c r="L699" s="10">
        <f t="shared" si="219"/>
        <v>0.71880082803489576</v>
      </c>
      <c r="M699" s="25">
        <v>199.1</v>
      </c>
      <c r="N699" s="25">
        <v>-66.69</v>
      </c>
      <c r="O699" s="25">
        <v>-66.180000000000007</v>
      </c>
      <c r="P699" s="11">
        <v>2.8999999999999998E-3</v>
      </c>
      <c r="Q699" s="11">
        <v>9.3600000000000003E-3</v>
      </c>
      <c r="R699" s="12">
        <f t="shared" si="205"/>
        <v>0.73598994529055151</v>
      </c>
      <c r="S699" s="12">
        <f t="shared" si="206"/>
        <v>-0.24652521070530831</v>
      </c>
      <c r="T699" s="12">
        <f t="shared" si="207"/>
        <v>-0.2446399526837203</v>
      </c>
      <c r="U699" s="12">
        <f t="shared" si="169"/>
        <v>2.1343708413425993E-3</v>
      </c>
      <c r="V699" s="12">
        <f t="shared" si="156"/>
        <v>-7.1492311104539403E-4</v>
      </c>
      <c r="W699" s="12">
        <f t="shared" si="157"/>
        <v>-7.0945586278278879E-4</v>
      </c>
      <c r="X699" s="12">
        <f t="shared" si="158"/>
        <v>6.8888658879195626E-3</v>
      </c>
      <c r="Y699" s="12">
        <f t="shared" si="159"/>
        <v>-2.3074759722016857E-3</v>
      </c>
      <c r="Z699" s="12">
        <f t="shared" si="160"/>
        <v>-2.289829957119622E-3</v>
      </c>
    </row>
    <row r="700" spans="1:26" ht="13">
      <c r="A700" s="24" t="str">
        <f t="shared" si="224"/>
        <v>PDN</v>
      </c>
      <c r="B700" s="9">
        <v>2020</v>
      </c>
      <c r="C700" s="19">
        <v>-45.57</v>
      </c>
      <c r="D700" s="19">
        <v>124.2</v>
      </c>
      <c r="E700" s="19">
        <v>150.91</v>
      </c>
      <c r="F700" s="19">
        <v>60.86</v>
      </c>
      <c r="G700" s="19">
        <v>112.8</v>
      </c>
      <c r="H700" s="10">
        <f t="shared" si="209"/>
        <v>-0.30196806043337088</v>
      </c>
      <c r="I700" s="10">
        <f t="shared" si="210"/>
        <v>0.82300709031873309</v>
      </c>
      <c r="J700" s="10">
        <f t="shared" si="211"/>
        <v>0.5395390070921986</v>
      </c>
      <c r="K700" s="4">
        <f t="shared" si="218"/>
        <v>1.7478385307385793</v>
      </c>
      <c r="L700" s="10">
        <f t="shared" si="219"/>
        <v>0.82300709031873309</v>
      </c>
      <c r="M700" s="25">
        <v>185.92</v>
      </c>
      <c r="N700" s="25">
        <v>-158.36000000000001</v>
      </c>
      <c r="O700" s="25">
        <v>-69.790000000000006</v>
      </c>
      <c r="P700" s="11">
        <v>1.9E-3</v>
      </c>
      <c r="Q700" s="11">
        <f>Q698</f>
        <v>4.7600000000000003E-3</v>
      </c>
      <c r="R700" s="12">
        <f t="shared" si="205"/>
        <v>1.2319925783579617</v>
      </c>
      <c r="S700" s="12">
        <f t="shared" si="206"/>
        <v>-1.0493671724869129</v>
      </c>
      <c r="T700" s="12">
        <f t="shared" si="207"/>
        <v>-0.46246106951162952</v>
      </c>
      <c r="U700" s="12">
        <f t="shared" si="169"/>
        <v>2.3407858988801272E-3</v>
      </c>
      <c r="V700" s="12">
        <f t="shared" si="156"/>
        <v>-1.9937976277251347E-3</v>
      </c>
      <c r="W700" s="12">
        <f t="shared" si="157"/>
        <v>-8.7867603207209607E-4</v>
      </c>
      <c r="X700" s="12">
        <f t="shared" si="158"/>
        <v>5.8642846729838986E-3</v>
      </c>
      <c r="Y700" s="12">
        <f t="shared" si="159"/>
        <v>-4.9949877410377062E-3</v>
      </c>
      <c r="Z700" s="12">
        <f t="shared" si="160"/>
        <v>-2.2013146908753567E-3</v>
      </c>
    </row>
    <row r="701" spans="1:26" ht="13">
      <c r="A701" s="24" t="str">
        <f t="shared" si="224"/>
        <v>PDN</v>
      </c>
      <c r="B701" s="9">
        <v>2021</v>
      </c>
      <c r="C701" s="19">
        <v>4.54</v>
      </c>
      <c r="D701" s="19">
        <v>126.69</v>
      </c>
      <c r="E701" s="19">
        <v>157.93</v>
      </c>
      <c r="F701" s="19">
        <v>78.069999999999993</v>
      </c>
      <c r="G701" s="19">
        <v>116.27</v>
      </c>
      <c r="H701" s="10">
        <f t="shared" si="209"/>
        <v>2.8746913189387702E-2</v>
      </c>
      <c r="I701" s="10">
        <f t="shared" si="210"/>
        <v>0.80219084404482999</v>
      </c>
      <c r="J701" s="10">
        <f t="shared" si="211"/>
        <v>0.67145437344112835</v>
      </c>
      <c r="K701" s="4">
        <f t="shared" si="218"/>
        <v>0.14044088420952172</v>
      </c>
      <c r="L701" s="10">
        <f t="shared" si="219"/>
        <v>0.80219084404482999</v>
      </c>
      <c r="M701" s="25">
        <v>225.53</v>
      </c>
      <c r="N701" s="25">
        <v>-181.29</v>
      </c>
      <c r="O701" s="25">
        <v>-42.18</v>
      </c>
      <c r="P701" s="11">
        <v>2.8999999999999998E-3</v>
      </c>
      <c r="Q701" s="11">
        <f>Q700</f>
        <v>4.7600000000000003E-3</v>
      </c>
      <c r="R701" s="12">
        <f t="shared" si="205"/>
        <v>1.4280377382384599</v>
      </c>
      <c r="S701" s="12">
        <f t="shared" si="206"/>
        <v>-1.1479136326220476</v>
      </c>
      <c r="T701" s="12">
        <f t="shared" si="207"/>
        <v>-0.26708035205470776</v>
      </c>
      <c r="U701" s="12">
        <f t="shared" si="169"/>
        <v>4.1413094408915335E-3</v>
      </c>
      <c r="V701" s="12">
        <f t="shared" si="156"/>
        <v>-3.3289495346039378E-3</v>
      </c>
      <c r="W701" s="12">
        <f t="shared" si="157"/>
        <v>-7.7453302095865245E-4</v>
      </c>
      <c r="X701" s="12">
        <f t="shared" si="158"/>
        <v>6.7974596340150701E-3</v>
      </c>
      <c r="Y701" s="12">
        <f t="shared" si="159"/>
        <v>-5.4640688912809474E-3</v>
      </c>
      <c r="Z701" s="12">
        <f t="shared" si="160"/>
        <v>-1.271302475780409E-3</v>
      </c>
    </row>
    <row r="702" spans="1:26" ht="13">
      <c r="A702" s="24" t="s">
        <v>157</v>
      </c>
      <c r="B702" s="9">
        <v>2017</v>
      </c>
      <c r="C702" s="19">
        <v>439.88</v>
      </c>
      <c r="D702" s="19">
        <v>7121.97</v>
      </c>
      <c r="E702" s="19">
        <v>9948.86</v>
      </c>
      <c r="F702" s="19">
        <v>7860.01</v>
      </c>
      <c r="G702" s="19">
        <v>1080.8399999999999</v>
      </c>
      <c r="H702" s="10">
        <f t="shared" si="209"/>
        <v>4.4214110963467168E-2</v>
      </c>
      <c r="I702" s="10">
        <f t="shared" si="210"/>
        <v>0.71585789728672433</v>
      </c>
      <c r="J702" s="10">
        <f t="shared" si="211"/>
        <v>7.2721309351985504</v>
      </c>
      <c r="K702" s="4">
        <f t="shared" si="218"/>
        <v>-0.44766200854206739</v>
      </c>
      <c r="L702" s="10">
        <f t="shared" si="219"/>
        <v>0.71585789728672433</v>
      </c>
      <c r="M702" s="25">
        <v>3254.36</v>
      </c>
      <c r="N702" s="25">
        <v>-1.27</v>
      </c>
      <c r="O702" s="25">
        <v>-3258.47</v>
      </c>
      <c r="P702" s="11">
        <v>1.6199999999999999E-2</v>
      </c>
      <c r="Q702" s="11">
        <v>0.61175000000000002</v>
      </c>
      <c r="R702" s="12">
        <f t="shared" si="205"/>
        <v>0.32710883458004231</v>
      </c>
      <c r="S702" s="12">
        <f t="shared" si="206"/>
        <v>-1.276528165035994E-4</v>
      </c>
      <c r="T702" s="12">
        <f t="shared" si="207"/>
        <v>-0.32752194723817601</v>
      </c>
      <c r="U702" s="12">
        <f t="shared" si="169"/>
        <v>5.299163120196685E-3</v>
      </c>
      <c r="V702" s="12">
        <f t="shared" si="156"/>
        <v>-2.0679756273583099E-6</v>
      </c>
      <c r="W702" s="12">
        <f t="shared" si="157"/>
        <v>-5.3058555452584512E-3</v>
      </c>
      <c r="X702" s="12">
        <f t="shared" si="158"/>
        <v>0.20010882955434089</v>
      </c>
      <c r="Y702" s="12">
        <f t="shared" si="159"/>
        <v>-7.8091610496076931E-5</v>
      </c>
      <c r="Z702" s="12">
        <f t="shared" si="160"/>
        <v>-0.20036155122295418</v>
      </c>
    </row>
    <row r="703" spans="1:26" ht="13">
      <c r="A703" s="24" t="str">
        <f t="shared" ref="A703:A706" si="225">A702</f>
        <v>PDR</v>
      </c>
      <c r="B703" s="9">
        <v>2018</v>
      </c>
      <c r="C703" s="19">
        <v>643.32000000000005</v>
      </c>
      <c r="D703" s="19">
        <v>7545.8</v>
      </c>
      <c r="E703" s="19">
        <v>11057.43</v>
      </c>
      <c r="F703" s="19">
        <v>8050.3</v>
      </c>
      <c r="G703" s="19">
        <v>791.98</v>
      </c>
      <c r="H703" s="10">
        <f t="shared" si="209"/>
        <v>5.8179884475868263E-2</v>
      </c>
      <c r="I703" s="10">
        <f t="shared" si="210"/>
        <v>0.682418970773498</v>
      </c>
      <c r="J703" s="10">
        <f t="shared" si="211"/>
        <v>10.16477688830526</v>
      </c>
      <c r="K703" s="4">
        <f t="shared" si="218"/>
        <v>-0.71268045428568905</v>
      </c>
      <c r="L703" s="10">
        <f t="shared" si="219"/>
        <v>0.682418970773498</v>
      </c>
      <c r="M703" s="25">
        <v>322.57</v>
      </c>
      <c r="N703" s="25">
        <v>-230.08</v>
      </c>
      <c r="O703" s="25">
        <v>-47.2</v>
      </c>
      <c r="P703" s="27">
        <v>5.8099999999999999E-2</v>
      </c>
      <c r="Q703" s="11">
        <v>0.61170999999999998</v>
      </c>
      <c r="R703" s="12">
        <f t="shared" si="205"/>
        <v>2.9172239842350345E-2</v>
      </c>
      <c r="S703" s="12">
        <f t="shared" si="206"/>
        <v>-2.0807728378113177E-2</v>
      </c>
      <c r="T703" s="12">
        <f t="shared" si="207"/>
        <v>-4.268622998291647E-3</v>
      </c>
      <c r="U703" s="12">
        <f t="shared" si="169"/>
        <v>1.694907134840555E-3</v>
      </c>
      <c r="V703" s="12">
        <f t="shared" si="156"/>
        <v>-1.2089290187683756E-3</v>
      </c>
      <c r="W703" s="12">
        <f t="shared" si="157"/>
        <v>-2.4800699620074467E-4</v>
      </c>
      <c r="X703" s="12">
        <f t="shared" si="158"/>
        <v>1.7844950833964129E-2</v>
      </c>
      <c r="Y703" s="12">
        <f t="shared" si="159"/>
        <v>-1.2728295526175611E-2</v>
      </c>
      <c r="Z703" s="12">
        <f t="shared" si="160"/>
        <v>-2.6111593742849833E-3</v>
      </c>
    </row>
    <row r="704" spans="1:26" ht="13">
      <c r="A704" s="24" t="str">
        <f t="shared" si="225"/>
        <v>PDR</v>
      </c>
      <c r="B704" s="9">
        <v>2019</v>
      </c>
      <c r="C704" s="19">
        <v>874.14</v>
      </c>
      <c r="D704" s="19">
        <v>9592.4500000000007</v>
      </c>
      <c r="E704" s="19">
        <v>13961.38</v>
      </c>
      <c r="F704" s="19">
        <v>10354.69</v>
      </c>
      <c r="G704" s="19">
        <v>3072.75</v>
      </c>
      <c r="H704" s="10">
        <f t="shared" si="209"/>
        <v>6.2611289141904308E-2</v>
      </c>
      <c r="I704" s="10">
        <f t="shared" si="210"/>
        <v>0.68707033258889894</v>
      </c>
      <c r="J704" s="10">
        <f t="shared" si="211"/>
        <v>3.3698446017411117</v>
      </c>
      <c r="K704" s="4">
        <f t="shared" si="218"/>
        <v>-0.67892928378880968</v>
      </c>
      <c r="L704" s="10">
        <f t="shared" si="219"/>
        <v>0.68707033258889894</v>
      </c>
      <c r="M704" s="25">
        <v>-1017.78</v>
      </c>
      <c r="N704" s="25">
        <v>-697.13</v>
      </c>
      <c r="O704" s="26">
        <v>2171.9</v>
      </c>
      <c r="P704" s="27">
        <v>6.1199999999999997E-2</v>
      </c>
      <c r="Q704" s="11">
        <v>0.61280199999999996</v>
      </c>
      <c r="R704" s="12">
        <f t="shared" si="205"/>
        <v>-7.2899670376424114E-2</v>
      </c>
      <c r="S704" s="12">
        <f t="shared" si="206"/>
        <v>-4.9932743038295646E-2</v>
      </c>
      <c r="T704" s="12">
        <f t="shared" si="207"/>
        <v>0.15556485103908069</v>
      </c>
      <c r="U704" s="12">
        <f t="shared" si="169"/>
        <v>-4.4614598270371559E-3</v>
      </c>
      <c r="V704" s="12">
        <f t="shared" si="156"/>
        <v>-3.0558838739436936E-3</v>
      </c>
      <c r="W704" s="12">
        <f t="shared" si="157"/>
        <v>9.5205688835917381E-3</v>
      </c>
      <c r="X704" s="12">
        <f t="shared" si="158"/>
        <v>-4.4673063806013449E-2</v>
      </c>
      <c r="Y704" s="12">
        <f t="shared" si="159"/>
        <v>-3.0598884799353646E-2</v>
      </c>
      <c r="Z704" s="12">
        <f t="shared" si="160"/>
        <v>9.5330451846450712E-2</v>
      </c>
    </row>
    <row r="705" spans="1:26" ht="13">
      <c r="A705" s="24" t="str">
        <f t="shared" si="225"/>
        <v>PDR</v>
      </c>
      <c r="B705" s="9">
        <v>2020</v>
      </c>
      <c r="C705" s="19">
        <v>1220.25</v>
      </c>
      <c r="D705" s="19">
        <v>10423.209999999999</v>
      </c>
      <c r="E705" s="19">
        <v>15617.49</v>
      </c>
      <c r="F705" s="19">
        <v>10929.13</v>
      </c>
      <c r="G705" s="19">
        <v>4386.26</v>
      </c>
      <c r="H705" s="10">
        <f t="shared" si="209"/>
        <v>7.8133554111448122E-2</v>
      </c>
      <c r="I705" s="10">
        <f t="shared" si="210"/>
        <v>0.66740622212660283</v>
      </c>
      <c r="J705" s="10">
        <f t="shared" si="211"/>
        <v>2.4916740001732682</v>
      </c>
      <c r="K705" s="4">
        <f t="shared" si="218"/>
        <v>-0.85735222338057293</v>
      </c>
      <c r="L705" s="10">
        <f t="shared" si="219"/>
        <v>0.66740622212660283</v>
      </c>
      <c r="M705" s="25">
        <v>4384.7299999999996</v>
      </c>
      <c r="N705" s="25">
        <v>-4293.0200000000004</v>
      </c>
      <c r="O705" s="25">
        <v>-684.88</v>
      </c>
      <c r="P705" s="27">
        <v>7.9000000000000008E-3</v>
      </c>
      <c r="Q705" s="11">
        <v>1.2099999999999999E-3</v>
      </c>
      <c r="R705" s="12">
        <f t="shared" si="205"/>
        <v>0.28075766336331892</v>
      </c>
      <c r="S705" s="12">
        <f t="shared" si="206"/>
        <v>-0.2748854009190978</v>
      </c>
      <c r="T705" s="12">
        <f t="shared" si="207"/>
        <v>-4.385339769706912E-2</v>
      </c>
      <c r="U705" s="12">
        <f t="shared" si="169"/>
        <v>2.2179855405702197E-3</v>
      </c>
      <c r="V705" s="12">
        <f t="shared" si="156"/>
        <v>-2.1715946672608726E-3</v>
      </c>
      <c r="W705" s="12">
        <f t="shared" si="157"/>
        <v>-3.4644184180684609E-4</v>
      </c>
      <c r="X705" s="12">
        <f t="shared" si="158"/>
        <v>3.397167726696159E-4</v>
      </c>
      <c r="Y705" s="12">
        <f t="shared" si="159"/>
        <v>-3.3261133511210833E-4</v>
      </c>
      <c r="Z705" s="12">
        <f t="shared" si="160"/>
        <v>-5.306261121345363E-5</v>
      </c>
    </row>
    <row r="706" spans="1:26" ht="13">
      <c r="A706" s="24" t="str">
        <f t="shared" si="225"/>
        <v>PDR</v>
      </c>
      <c r="B706" s="9">
        <v>2021</v>
      </c>
      <c r="C706" s="19">
        <v>1860.61</v>
      </c>
      <c r="D706" s="19">
        <v>12407.37</v>
      </c>
      <c r="E706" s="19">
        <v>20551.88</v>
      </c>
      <c r="F706" s="19">
        <v>15337.06</v>
      </c>
      <c r="G706" s="19">
        <v>8731.17</v>
      </c>
      <c r="H706" s="10">
        <f t="shared" si="209"/>
        <v>9.0532350325128394E-2</v>
      </c>
      <c r="I706" s="10">
        <f t="shared" si="210"/>
        <v>0.60370973361074509</v>
      </c>
      <c r="J706" s="10">
        <f t="shared" si="211"/>
        <v>1.7565870324366608</v>
      </c>
      <c r="K706" s="4">
        <f t="shared" si="218"/>
        <v>-1.2732764430115768</v>
      </c>
      <c r="L706" s="10">
        <f t="shared" si="219"/>
        <v>0.60370973361074509</v>
      </c>
      <c r="M706" s="25">
        <v>796.98</v>
      </c>
      <c r="N706" s="25">
        <v>-2753.09</v>
      </c>
      <c r="O706" s="25">
        <v>2396.98</v>
      </c>
      <c r="P706" s="11">
        <f>P705</f>
        <v>7.9000000000000008E-3</v>
      </c>
      <c r="Q706" s="11">
        <v>5.3899999999999998E-3</v>
      </c>
      <c r="R706" s="12">
        <f t="shared" ref="R706:R769" si="226">M706/E706</f>
        <v>3.8778934092647481E-2</v>
      </c>
      <c r="S706" s="12">
        <f t="shared" ref="S706:S769" si="227">N706/E706</f>
        <v>-0.13395806125765625</v>
      </c>
      <c r="T706" s="12">
        <f t="shared" ref="T706:T769" si="228">O706/E706</f>
        <v>0.11663069266655897</v>
      </c>
      <c r="U706" s="12">
        <f t="shared" si="169"/>
        <v>3.0635357933191511E-4</v>
      </c>
      <c r="V706" s="12">
        <f t="shared" si="156"/>
        <v>-1.0582686839354844E-3</v>
      </c>
      <c r="W706" s="12">
        <f t="shared" si="157"/>
        <v>9.213824720658159E-4</v>
      </c>
      <c r="X706" s="12">
        <f t="shared" si="158"/>
        <v>2.0901845475936991E-4</v>
      </c>
      <c r="Y706" s="12">
        <f t="shared" si="159"/>
        <v>-7.2203395017876712E-4</v>
      </c>
      <c r="Z706" s="12">
        <f t="shared" si="160"/>
        <v>6.2863943347275287E-4</v>
      </c>
    </row>
    <row r="707" spans="1:26" ht="13">
      <c r="A707" s="24" t="s">
        <v>158</v>
      </c>
      <c r="B707" s="9">
        <v>2017</v>
      </c>
      <c r="C707" s="19">
        <v>151.07</v>
      </c>
      <c r="D707" s="19">
        <v>1517.05</v>
      </c>
      <c r="E707" s="19">
        <v>2308.19</v>
      </c>
      <c r="F707" s="19">
        <v>1526.16</v>
      </c>
      <c r="G707" s="19">
        <v>1366.71</v>
      </c>
      <c r="H707" s="10">
        <f t="shared" ref="H707:H770" si="229">C707/E707</f>
        <v>6.5449551380085694E-2</v>
      </c>
      <c r="I707" s="10">
        <f t="shared" ref="I707:I770" si="230">D707/E707</f>
        <v>0.65724658715270401</v>
      </c>
      <c r="J707" s="10">
        <f t="shared" ref="J707:J770" si="231">F707/G707</f>
        <v>1.1166670325087253</v>
      </c>
      <c r="K707" s="4">
        <f t="shared" si="218"/>
        <v>-0.85268410257000737</v>
      </c>
      <c r="L707" s="10">
        <f t="shared" si="219"/>
        <v>0.65724658715270401</v>
      </c>
      <c r="M707" s="25">
        <v>112.31</v>
      </c>
      <c r="N707" s="25">
        <v>-250.03</v>
      </c>
      <c r="O707" s="25">
        <v>148.11000000000001</v>
      </c>
      <c r="P707" s="11">
        <v>9.4200000000000006E-2</v>
      </c>
      <c r="Q707" s="11">
        <v>7.5000000000000002E-4</v>
      </c>
      <c r="R707" s="12">
        <f t="shared" si="226"/>
        <v>4.8657172936370056E-2</v>
      </c>
      <c r="S707" s="12">
        <f t="shared" si="227"/>
        <v>-0.10832297167910787</v>
      </c>
      <c r="T707" s="12">
        <f t="shared" si="228"/>
        <v>6.4167161282216806E-2</v>
      </c>
      <c r="U707" s="12">
        <f t="shared" si="169"/>
        <v>4.5835056906060592E-3</v>
      </c>
      <c r="V707" s="12">
        <f t="shared" si="156"/>
        <v>-1.0204023932171962E-2</v>
      </c>
      <c r="W707" s="12">
        <f t="shared" si="157"/>
        <v>6.0445465927848234E-3</v>
      </c>
      <c r="X707" s="12">
        <f t="shared" si="158"/>
        <v>3.6492879702277544E-5</v>
      </c>
      <c r="Y707" s="12">
        <f t="shared" si="159"/>
        <v>-8.1242228759330901E-5</v>
      </c>
      <c r="Z707" s="12">
        <f t="shared" si="160"/>
        <v>4.8125370961662603E-5</v>
      </c>
    </row>
    <row r="708" spans="1:26" ht="13">
      <c r="A708" s="24" t="str">
        <f t="shared" ref="A708:A711" si="232">A707</f>
        <v>PGC</v>
      </c>
      <c r="B708" s="9">
        <v>2018</v>
      </c>
      <c r="C708" s="19">
        <v>154.33000000000001</v>
      </c>
      <c r="D708" s="19">
        <v>1146.21</v>
      </c>
      <c r="E708" s="19">
        <v>2000.12</v>
      </c>
      <c r="F708" s="19">
        <v>1259.45</v>
      </c>
      <c r="G708" s="19">
        <v>1012.31</v>
      </c>
      <c r="H708" s="10">
        <f t="shared" si="229"/>
        <v>7.7160370377777343E-2</v>
      </c>
      <c r="I708" s="10">
        <f t="shared" si="230"/>
        <v>0.57307061576305429</v>
      </c>
      <c r="J708" s="10">
        <f t="shared" si="231"/>
        <v>1.2441347018205886</v>
      </c>
      <c r="K708" s="4">
        <f t="shared" si="218"/>
        <v>-1.3856956956578705</v>
      </c>
      <c r="L708" s="10">
        <f t="shared" si="219"/>
        <v>0.57307061576305429</v>
      </c>
      <c r="M708" s="25">
        <v>37.07</v>
      </c>
      <c r="N708" s="25">
        <v>301.52</v>
      </c>
      <c r="O708" s="25">
        <v>-355.25</v>
      </c>
      <c r="P708" s="11">
        <f t="shared" ref="P708:Q708" si="233">P707</f>
        <v>9.4200000000000006E-2</v>
      </c>
      <c r="Q708" s="11">
        <f t="shared" si="233"/>
        <v>7.5000000000000002E-4</v>
      </c>
      <c r="R708" s="12">
        <f t="shared" si="226"/>
        <v>1.8533887966721996E-2</v>
      </c>
      <c r="S708" s="12">
        <f t="shared" si="227"/>
        <v>0.15075095494270344</v>
      </c>
      <c r="T708" s="12">
        <f t="shared" si="228"/>
        <v>-0.17761434313941166</v>
      </c>
      <c r="U708" s="12">
        <f t="shared" si="169"/>
        <v>1.7458922464652121E-3</v>
      </c>
      <c r="V708" s="12">
        <f t="shared" si="156"/>
        <v>1.4200739955602665E-2</v>
      </c>
      <c r="W708" s="12">
        <f t="shared" si="157"/>
        <v>-1.6731271123732579E-2</v>
      </c>
      <c r="X708" s="12">
        <f t="shared" si="158"/>
        <v>1.3900415975041497E-5</v>
      </c>
      <c r="Y708" s="12">
        <f t="shared" si="159"/>
        <v>1.1306321620702758E-4</v>
      </c>
      <c r="Z708" s="12">
        <f t="shared" si="160"/>
        <v>-1.3321075735455874E-4</v>
      </c>
    </row>
    <row r="709" spans="1:26" ht="13">
      <c r="A709" s="24" t="str">
        <f t="shared" si="232"/>
        <v>PGC</v>
      </c>
      <c r="B709" s="9">
        <v>2019</v>
      </c>
      <c r="C709" s="19">
        <v>155.07</v>
      </c>
      <c r="D709" s="19">
        <v>1124.03</v>
      </c>
      <c r="E709" s="19">
        <v>1988.66</v>
      </c>
      <c r="F709" s="19">
        <v>1317.91</v>
      </c>
      <c r="G709" s="19">
        <v>1004.99</v>
      </c>
      <c r="H709" s="10">
        <f t="shared" si="229"/>
        <v>7.7977130328965222E-2</v>
      </c>
      <c r="I709" s="10">
        <f t="shared" si="230"/>
        <v>0.56521979624470742</v>
      </c>
      <c r="J709" s="10">
        <f t="shared" si="231"/>
        <v>1.3113662822515648</v>
      </c>
      <c r="K709" s="4">
        <f t="shared" si="218"/>
        <v>-1.4343897130145176</v>
      </c>
      <c r="L709" s="10">
        <f t="shared" si="219"/>
        <v>0.56521979624470742</v>
      </c>
      <c r="M709" s="25">
        <v>229.53</v>
      </c>
      <c r="N709" s="25">
        <v>1.96</v>
      </c>
      <c r="O709" s="25">
        <v>-243.12</v>
      </c>
      <c r="P709" s="11">
        <v>8.5999999999999993E-2</v>
      </c>
      <c r="Q709" s="11">
        <f>Q708</f>
        <v>7.5000000000000002E-4</v>
      </c>
      <c r="R709" s="12">
        <f t="shared" si="226"/>
        <v>0.11541942815765389</v>
      </c>
      <c r="S709" s="12">
        <f t="shared" si="227"/>
        <v>9.8558828557923422E-4</v>
      </c>
      <c r="T709" s="12">
        <f t="shared" si="228"/>
        <v>-0.122253175505114</v>
      </c>
      <c r="U709" s="12">
        <f t="shared" si="169"/>
        <v>9.9260708215582333E-3</v>
      </c>
      <c r="V709" s="12">
        <f t="shared" si="156"/>
        <v>8.4760592559814132E-5</v>
      </c>
      <c r="W709" s="12">
        <f t="shared" si="157"/>
        <v>-1.0513773093439803E-2</v>
      </c>
      <c r="X709" s="12">
        <f t="shared" si="158"/>
        <v>8.6564571118240421E-5</v>
      </c>
      <c r="Y709" s="12">
        <f t="shared" si="159"/>
        <v>7.391912141844257E-7</v>
      </c>
      <c r="Z709" s="12">
        <f t="shared" si="160"/>
        <v>-9.1689881628835497E-5</v>
      </c>
    </row>
    <row r="710" spans="1:26" ht="13">
      <c r="A710" s="24" t="str">
        <f t="shared" si="232"/>
        <v>PGC</v>
      </c>
      <c r="B710" s="9">
        <v>2020</v>
      </c>
      <c r="C710" s="19">
        <v>125.43</v>
      </c>
      <c r="D710" s="19">
        <v>1124.6500000000001</v>
      </c>
      <c r="E710" s="19">
        <v>1906.05</v>
      </c>
      <c r="F710" s="19">
        <v>1280.33</v>
      </c>
      <c r="G710" s="19">
        <v>1027.32</v>
      </c>
      <c r="H710" s="10">
        <f t="shared" si="229"/>
        <v>6.5806248524435354E-2</v>
      </c>
      <c r="I710" s="10">
        <f t="shared" si="230"/>
        <v>0.59004223393929867</v>
      </c>
      <c r="J710" s="10">
        <f t="shared" si="231"/>
        <v>1.2462815870420123</v>
      </c>
      <c r="K710" s="4">
        <f t="shared" si="218"/>
        <v>-1.2378725112541238</v>
      </c>
      <c r="L710" s="10">
        <f t="shared" si="219"/>
        <v>0.59004223393929867</v>
      </c>
      <c r="M710" s="25">
        <v>193.21</v>
      </c>
      <c r="N710" s="25">
        <v>-21.35</v>
      </c>
      <c r="O710" s="25">
        <v>-160.74</v>
      </c>
      <c r="P710" s="11">
        <f>P709</f>
        <v>8.5999999999999993E-2</v>
      </c>
      <c r="Q710" s="11">
        <v>1.3999999999999999E-4</v>
      </c>
      <c r="R710" s="12">
        <f t="shared" si="226"/>
        <v>0.10136670076860524</v>
      </c>
      <c r="S710" s="12">
        <f t="shared" si="227"/>
        <v>-1.1201175205267439E-2</v>
      </c>
      <c r="T710" s="12">
        <f t="shared" si="228"/>
        <v>-8.4331470842842537E-2</v>
      </c>
      <c r="U710" s="12">
        <f t="shared" si="169"/>
        <v>8.7175362661000497E-3</v>
      </c>
      <c r="V710" s="12">
        <f t="shared" si="156"/>
        <v>-9.633010676529997E-4</v>
      </c>
      <c r="W710" s="12">
        <f t="shared" si="157"/>
        <v>-7.2525064924844574E-3</v>
      </c>
      <c r="X710" s="12">
        <f t="shared" si="158"/>
        <v>1.4191338107604733E-5</v>
      </c>
      <c r="Y710" s="12">
        <f t="shared" si="159"/>
        <v>-1.5681645287374414E-6</v>
      </c>
      <c r="Z710" s="12">
        <f t="shared" si="160"/>
        <v>-1.1806405917997953E-5</v>
      </c>
    </row>
    <row r="711" spans="1:26" ht="13">
      <c r="A711" s="24" t="str">
        <f t="shared" si="232"/>
        <v>PGC</v>
      </c>
      <c r="B711" s="9">
        <v>2021</v>
      </c>
      <c r="C711" s="19">
        <v>125.82</v>
      </c>
      <c r="D711" s="19">
        <v>1558.87</v>
      </c>
      <c r="E711" s="19">
        <v>2427.63</v>
      </c>
      <c r="F711" s="19">
        <v>1841.73</v>
      </c>
      <c r="G711" s="19">
        <v>1485.21</v>
      </c>
      <c r="H711" s="10">
        <f t="shared" si="229"/>
        <v>5.1828326392407406E-2</v>
      </c>
      <c r="I711" s="10">
        <f t="shared" si="230"/>
        <v>0.6421365694113188</v>
      </c>
      <c r="J711" s="10">
        <f t="shared" si="231"/>
        <v>1.2400468620599108</v>
      </c>
      <c r="K711" s="4">
        <f t="shared" si="218"/>
        <v>-0.87800921056955561</v>
      </c>
      <c r="L711" s="10">
        <f t="shared" si="219"/>
        <v>0.6421365694113188</v>
      </c>
      <c r="M711" s="25">
        <v>81.99</v>
      </c>
      <c r="N711" s="25">
        <v>-395.12</v>
      </c>
      <c r="O711" s="25">
        <v>318.47000000000003</v>
      </c>
      <c r="P711" s="11">
        <v>3.4500000000000003E-2</v>
      </c>
      <c r="Q711" s="11">
        <f>Q710</f>
        <v>1.3999999999999999E-4</v>
      </c>
      <c r="R711" s="12">
        <f t="shared" si="226"/>
        <v>3.3773680503206831E-2</v>
      </c>
      <c r="S711" s="12">
        <f t="shared" si="227"/>
        <v>-0.16275956385445886</v>
      </c>
      <c r="T711" s="12">
        <f t="shared" si="228"/>
        <v>0.13118555957868375</v>
      </c>
      <c r="U711" s="12">
        <f t="shared" si="169"/>
        <v>1.1651919773606357E-3</v>
      </c>
      <c r="V711" s="12">
        <f t="shared" si="156"/>
        <v>-5.6152049529788308E-3</v>
      </c>
      <c r="W711" s="12">
        <f t="shared" si="157"/>
        <v>4.5259018054645897E-3</v>
      </c>
      <c r="X711" s="12">
        <f t="shared" si="158"/>
        <v>4.7283152704489561E-6</v>
      </c>
      <c r="Y711" s="12">
        <f t="shared" si="159"/>
        <v>-2.2786338939624239E-5</v>
      </c>
      <c r="Z711" s="12">
        <f t="shared" si="160"/>
        <v>1.8365978341015722E-5</v>
      </c>
    </row>
    <row r="712" spans="1:26" ht="13">
      <c r="A712" s="24" t="s">
        <v>159</v>
      </c>
      <c r="B712" s="9">
        <v>2017</v>
      </c>
      <c r="C712" s="19">
        <v>31.74</v>
      </c>
      <c r="D712" s="19">
        <v>1251.98</v>
      </c>
      <c r="E712" s="19">
        <v>1607.33</v>
      </c>
      <c r="F712" s="19">
        <v>1413.45</v>
      </c>
      <c r="G712" s="19">
        <v>1085.93</v>
      </c>
      <c r="H712" s="10">
        <f t="shared" si="229"/>
        <v>1.9747033900941312E-2</v>
      </c>
      <c r="I712" s="10">
        <f t="shared" si="230"/>
        <v>0.77891907697859186</v>
      </c>
      <c r="J712" s="10">
        <f t="shared" si="231"/>
        <v>1.3016032340942787</v>
      </c>
      <c r="K712" s="4">
        <f t="shared" si="218"/>
        <v>4.5770673287360862E-2</v>
      </c>
      <c r="L712" s="10">
        <f t="shared" si="219"/>
        <v>0.77891907697859186</v>
      </c>
      <c r="M712" s="25">
        <v>-532.62</v>
      </c>
      <c r="N712" s="25">
        <v>18.13</v>
      </c>
      <c r="O712" s="19">
        <v>464.47</v>
      </c>
      <c r="P712" s="11">
        <v>4.1000000000000003E-3</v>
      </c>
      <c r="Q712" s="11">
        <v>0.15790000000000001</v>
      </c>
      <c r="R712" s="12">
        <f t="shared" si="226"/>
        <v>-0.33136941387269575</v>
      </c>
      <c r="S712" s="12">
        <f t="shared" si="227"/>
        <v>1.1279575444992628E-2</v>
      </c>
      <c r="T712" s="12">
        <f t="shared" si="228"/>
        <v>0.28896990661531863</v>
      </c>
      <c r="U712" s="12">
        <f t="shared" si="169"/>
        <v>-1.3586145968780526E-3</v>
      </c>
      <c r="V712" s="12">
        <f t="shared" si="156"/>
        <v>4.624625932446978E-5</v>
      </c>
      <c r="W712" s="12">
        <f t="shared" si="157"/>
        <v>1.1847766171228064E-3</v>
      </c>
      <c r="X712" s="12">
        <f t="shared" si="158"/>
        <v>-5.2323230450498665E-2</v>
      </c>
      <c r="Y712" s="12">
        <f t="shared" si="159"/>
        <v>1.781044962764336E-3</v>
      </c>
      <c r="Z712" s="12">
        <f t="shared" si="160"/>
        <v>4.5628348254558818E-2</v>
      </c>
    </row>
    <row r="713" spans="1:26" ht="13">
      <c r="A713" s="24" t="str">
        <f t="shared" ref="A713:A716" si="234">A712</f>
        <v>PHC</v>
      </c>
      <c r="B713" s="9">
        <v>2018</v>
      </c>
      <c r="C713" s="19">
        <v>68.23</v>
      </c>
      <c r="D713" s="19">
        <v>2034.05</v>
      </c>
      <c r="E713" s="19">
        <v>2447.52</v>
      </c>
      <c r="F713" s="19">
        <v>2267.37</v>
      </c>
      <c r="G713" s="19">
        <v>1854.48</v>
      </c>
      <c r="H713" s="10">
        <f t="shared" si="229"/>
        <v>2.7877198143426818E-2</v>
      </c>
      <c r="I713" s="10">
        <f t="shared" si="230"/>
        <v>0.83106573184284493</v>
      </c>
      <c r="J713" s="10">
        <f t="shared" si="231"/>
        <v>1.2226446227513912</v>
      </c>
      <c r="K713" s="4">
        <f t="shared" si="218"/>
        <v>0.30673670136779069</v>
      </c>
      <c r="L713" s="10">
        <f t="shared" si="219"/>
        <v>0.83106573184284493</v>
      </c>
      <c r="M713" s="25">
        <v>-513.67999999999995</v>
      </c>
      <c r="N713" s="25">
        <v>-4.04</v>
      </c>
      <c r="O713" s="19">
        <v>612.59</v>
      </c>
      <c r="P713" s="11">
        <v>0</v>
      </c>
      <c r="Q713" s="11">
        <v>0.15529999999999999</v>
      </c>
      <c r="R713" s="12">
        <f t="shared" si="226"/>
        <v>-0.20987775380793619</v>
      </c>
      <c r="S713" s="12">
        <f t="shared" si="227"/>
        <v>-1.6506504543374518E-3</v>
      </c>
      <c r="T713" s="12">
        <f t="shared" si="228"/>
        <v>0.25029008956004445</v>
      </c>
      <c r="U713" s="12">
        <f t="shared" si="169"/>
        <v>0</v>
      </c>
      <c r="V713" s="12">
        <f t="shared" si="156"/>
        <v>0</v>
      </c>
      <c r="W713" s="12">
        <f t="shared" si="157"/>
        <v>0</v>
      </c>
      <c r="X713" s="12">
        <f t="shared" si="158"/>
        <v>-3.2594015166372489E-2</v>
      </c>
      <c r="Y713" s="12">
        <f t="shared" si="159"/>
        <v>-2.5634601555860623E-4</v>
      </c>
      <c r="Z713" s="12">
        <f t="shared" si="160"/>
        <v>3.8870050908674902E-2</v>
      </c>
    </row>
    <row r="714" spans="1:26" ht="13">
      <c r="A714" s="24" t="str">
        <f t="shared" si="234"/>
        <v>PHC</v>
      </c>
      <c r="B714" s="9">
        <v>2019</v>
      </c>
      <c r="C714" s="19">
        <v>76.17</v>
      </c>
      <c r="D714" s="19">
        <v>1943.34</v>
      </c>
      <c r="E714" s="19">
        <v>2402.3000000000002</v>
      </c>
      <c r="F714" s="19">
        <v>2201.5100000000002</v>
      </c>
      <c r="G714" s="19">
        <v>1902.76</v>
      </c>
      <c r="H714" s="10">
        <f t="shared" si="229"/>
        <v>3.1707114015734922E-2</v>
      </c>
      <c r="I714" s="10">
        <f t="shared" si="230"/>
        <v>0.80894975648336997</v>
      </c>
      <c r="J714" s="10">
        <f t="shared" si="231"/>
        <v>1.1570087662132902</v>
      </c>
      <c r="K714" s="4">
        <f t="shared" si="218"/>
        <v>0.1637035638195487</v>
      </c>
      <c r="L714" s="10">
        <f t="shared" si="219"/>
        <v>0.80894975648336997</v>
      </c>
      <c r="M714" s="25">
        <v>294.52</v>
      </c>
      <c r="N714" s="26">
        <v>4.05</v>
      </c>
      <c r="O714" s="19">
        <v>-344.45</v>
      </c>
      <c r="P714" s="11">
        <v>0</v>
      </c>
      <c r="Q714" s="11">
        <v>0.16192000000000001</v>
      </c>
      <c r="R714" s="12">
        <f t="shared" si="226"/>
        <v>0.12259917578986802</v>
      </c>
      <c r="S714" s="12">
        <f t="shared" si="227"/>
        <v>1.6858843608208798E-3</v>
      </c>
      <c r="T714" s="12">
        <f t="shared" si="228"/>
        <v>-0.14338342421845729</v>
      </c>
      <c r="U714" s="12">
        <f t="shared" si="169"/>
        <v>0</v>
      </c>
      <c r="V714" s="12">
        <f t="shared" si="156"/>
        <v>0</v>
      </c>
      <c r="W714" s="12">
        <f t="shared" si="157"/>
        <v>0</v>
      </c>
      <c r="X714" s="12">
        <f t="shared" si="158"/>
        <v>1.9851258543895432E-2</v>
      </c>
      <c r="Y714" s="12">
        <f t="shared" si="159"/>
        <v>2.7297839570411688E-4</v>
      </c>
      <c r="Z714" s="12">
        <f t="shared" si="160"/>
        <v>-2.3216644049452607E-2</v>
      </c>
    </row>
    <row r="715" spans="1:26" ht="13">
      <c r="A715" s="24" t="str">
        <f t="shared" si="234"/>
        <v>PHC</v>
      </c>
      <c r="B715" s="9">
        <v>2020</v>
      </c>
      <c r="C715" s="19">
        <v>9.7799999999999994</v>
      </c>
      <c r="D715" s="19">
        <v>1630.97</v>
      </c>
      <c r="E715" s="19">
        <v>2030.68</v>
      </c>
      <c r="F715" s="19">
        <v>1805.71</v>
      </c>
      <c r="G715" s="19">
        <v>1609.7</v>
      </c>
      <c r="H715" s="10">
        <f t="shared" si="229"/>
        <v>4.8161207083341536E-3</v>
      </c>
      <c r="I715" s="10">
        <f t="shared" si="230"/>
        <v>0.80316445722615082</v>
      </c>
      <c r="J715" s="10">
        <f t="shared" si="231"/>
        <v>1.1217680313101821</v>
      </c>
      <c r="K715" s="4">
        <f t="shared" si="218"/>
        <v>0.25187779087631529</v>
      </c>
      <c r="L715" s="10">
        <f t="shared" si="219"/>
        <v>0.80316445722615082</v>
      </c>
      <c r="M715" s="25">
        <v>287.77999999999997</v>
      </c>
      <c r="N715" s="25">
        <v>-121.53</v>
      </c>
      <c r="O715" s="19">
        <v>-207.49</v>
      </c>
      <c r="P715" s="11">
        <v>0</v>
      </c>
      <c r="Q715" s="11">
        <v>0.1108</v>
      </c>
      <c r="R715" s="12">
        <f t="shared" si="226"/>
        <v>0.14171607540331316</v>
      </c>
      <c r="S715" s="12">
        <f t="shared" si="227"/>
        <v>-5.984694782043453E-2</v>
      </c>
      <c r="T715" s="12">
        <f t="shared" si="228"/>
        <v>-0.10217759568223453</v>
      </c>
      <c r="U715" s="12">
        <f t="shared" si="169"/>
        <v>0</v>
      </c>
      <c r="V715" s="12">
        <f t="shared" si="156"/>
        <v>0</v>
      </c>
      <c r="W715" s="12">
        <f t="shared" si="157"/>
        <v>0</v>
      </c>
      <c r="X715" s="12">
        <f t="shared" si="158"/>
        <v>1.5702141154687096E-2</v>
      </c>
      <c r="Y715" s="12">
        <f t="shared" si="159"/>
        <v>-6.6310418185041454E-3</v>
      </c>
      <c r="Z715" s="12">
        <f t="shared" si="160"/>
        <v>-1.1321277601591585E-2</v>
      </c>
    </row>
    <row r="716" spans="1:26" ht="13">
      <c r="A716" s="24" t="str">
        <f t="shared" si="234"/>
        <v>PHC</v>
      </c>
      <c r="B716" s="9">
        <v>2021</v>
      </c>
      <c r="C716" s="19">
        <v>54.87</v>
      </c>
      <c r="D716" s="19">
        <v>1766.69</v>
      </c>
      <c r="E716" s="19">
        <v>2462.6</v>
      </c>
      <c r="F716" s="19">
        <v>1886.01</v>
      </c>
      <c r="G716" s="19">
        <v>1604.29</v>
      </c>
      <c r="H716" s="10">
        <f t="shared" si="229"/>
        <v>2.2281328677008039E-2</v>
      </c>
      <c r="I716" s="10">
        <f t="shared" si="230"/>
        <v>0.71740843011451316</v>
      </c>
      <c r="J716" s="10">
        <f t="shared" si="231"/>
        <v>1.1756041613424006</v>
      </c>
      <c r="K716" s="4">
        <f t="shared" si="218"/>
        <v>-0.31574034403918089</v>
      </c>
      <c r="L716" s="10">
        <f t="shared" si="219"/>
        <v>0.71740843011451316</v>
      </c>
      <c r="M716" s="25">
        <v>-237.56</v>
      </c>
      <c r="N716" s="26">
        <v>11.05</v>
      </c>
      <c r="O716" s="19">
        <v>200.12</v>
      </c>
      <c r="P716" s="11">
        <v>1.5599999999999999E-2</v>
      </c>
      <c r="Q716" s="11">
        <v>2.01E-2</v>
      </c>
      <c r="R716" s="12">
        <f t="shared" si="226"/>
        <v>-9.6467148542191183E-2</v>
      </c>
      <c r="S716" s="12">
        <f t="shared" si="227"/>
        <v>4.4871274262974093E-3</v>
      </c>
      <c r="T716" s="12">
        <f t="shared" si="228"/>
        <v>8.126370502720702E-2</v>
      </c>
      <c r="U716" s="12">
        <f t="shared" si="169"/>
        <v>-1.5048875172581824E-3</v>
      </c>
      <c r="V716" s="12">
        <f t="shared" si="156"/>
        <v>6.9999187850239587E-5</v>
      </c>
      <c r="W716" s="12">
        <f t="shared" si="157"/>
        <v>1.2677137984244294E-3</v>
      </c>
      <c r="X716" s="12">
        <f t="shared" si="158"/>
        <v>-1.9389896856980427E-3</v>
      </c>
      <c r="Y716" s="12">
        <f t="shared" si="159"/>
        <v>9.019126126857793E-5</v>
      </c>
      <c r="Z716" s="12">
        <f t="shared" si="160"/>
        <v>1.6334004710468612E-3</v>
      </c>
    </row>
    <row r="717" spans="1:26" ht="13">
      <c r="A717" s="24" t="s">
        <v>160</v>
      </c>
      <c r="B717" s="9">
        <v>2017</v>
      </c>
      <c r="C717" s="19">
        <v>330.47</v>
      </c>
      <c r="D717" s="19">
        <v>1883.88</v>
      </c>
      <c r="E717" s="19">
        <v>4295.0200000000004</v>
      </c>
      <c r="F717" s="19">
        <v>1050.55</v>
      </c>
      <c r="G717" s="19">
        <v>1062.5999999999999</v>
      </c>
      <c r="H717" s="10">
        <f t="shared" si="229"/>
        <v>7.6942598637491796E-2</v>
      </c>
      <c r="I717" s="10">
        <f t="shared" si="230"/>
        <v>0.43861961061880966</v>
      </c>
      <c r="J717" s="10">
        <f t="shared" si="231"/>
        <v>0.9886598908338039</v>
      </c>
      <c r="K717" s="4">
        <f t="shared" si="218"/>
        <v>-2.150064552904833</v>
      </c>
      <c r="L717" s="10">
        <f t="shared" si="219"/>
        <v>0.43861961061880966</v>
      </c>
      <c r="M717" s="25">
        <v>115.19</v>
      </c>
      <c r="N717" s="25">
        <v>108.08</v>
      </c>
      <c r="O717" s="25">
        <v>-275.94</v>
      </c>
      <c r="P717" s="11">
        <v>0.1106</v>
      </c>
      <c r="Q717" s="11">
        <v>6.9999999999999999E-4</v>
      </c>
      <c r="R717" s="12">
        <f t="shared" si="226"/>
        <v>2.6819432738380725E-2</v>
      </c>
      <c r="S717" s="12">
        <f t="shared" si="227"/>
        <v>2.516402717565925E-2</v>
      </c>
      <c r="T717" s="12">
        <f t="shared" si="228"/>
        <v>-6.4246499434228471E-2</v>
      </c>
      <c r="U717" s="12">
        <f t="shared" si="169"/>
        <v>2.9662292608649081E-3</v>
      </c>
      <c r="V717" s="12">
        <f t="shared" si="156"/>
        <v>2.783141405627913E-3</v>
      </c>
      <c r="W717" s="12">
        <f t="shared" si="157"/>
        <v>-7.1056628374256692E-3</v>
      </c>
      <c r="X717" s="12">
        <f t="shared" si="158"/>
        <v>1.8773602916866509E-5</v>
      </c>
      <c r="Y717" s="12">
        <f t="shared" si="159"/>
        <v>1.7614819022961476E-5</v>
      </c>
      <c r="Z717" s="12">
        <f t="shared" si="160"/>
        <v>-4.4972549603959927E-5</v>
      </c>
    </row>
    <row r="718" spans="1:26" ht="13">
      <c r="A718" s="24" t="str">
        <f t="shared" ref="A718:A721" si="235">A717</f>
        <v>PHR</v>
      </c>
      <c r="B718" s="9">
        <v>2018</v>
      </c>
      <c r="C718" s="19">
        <v>643.55999999999995</v>
      </c>
      <c r="D718" s="19">
        <v>2400.5</v>
      </c>
      <c r="E718" s="19">
        <v>5087.33</v>
      </c>
      <c r="F718" s="19">
        <v>1368.95</v>
      </c>
      <c r="G718" s="19">
        <v>782.6</v>
      </c>
      <c r="H718" s="10">
        <f t="shared" si="229"/>
        <v>0.1265025072090861</v>
      </c>
      <c r="I718" s="10">
        <f t="shared" si="230"/>
        <v>0.47185851910530674</v>
      </c>
      <c r="J718" s="10">
        <f t="shared" si="231"/>
        <v>1.7492333248147203</v>
      </c>
      <c r="K718" s="4">
        <f t="shared" si="218"/>
        <v>-2.1866646568398975</v>
      </c>
      <c r="L718" s="10">
        <f t="shared" si="219"/>
        <v>0.47185851910530674</v>
      </c>
      <c r="M718" s="25">
        <v>468.44</v>
      </c>
      <c r="N718" s="25">
        <v>-72.67</v>
      </c>
      <c r="O718" s="25">
        <v>-274.07</v>
      </c>
      <c r="P718" s="11">
        <v>6.6900000000000001E-2</v>
      </c>
      <c r="Q718" s="11">
        <f>Q717</f>
        <v>6.9999999999999999E-4</v>
      </c>
      <c r="R718" s="12">
        <f t="shared" si="226"/>
        <v>9.2079735342507754E-2</v>
      </c>
      <c r="S718" s="12">
        <f t="shared" si="227"/>
        <v>-1.4284506804158567E-2</v>
      </c>
      <c r="T718" s="12">
        <f t="shared" si="228"/>
        <v>-5.3873053251902274E-2</v>
      </c>
      <c r="U718" s="12">
        <f t="shared" si="169"/>
        <v>6.1601342944137688E-3</v>
      </c>
      <c r="V718" s="12">
        <f t="shared" si="156"/>
        <v>-9.5563350519820814E-4</v>
      </c>
      <c r="W718" s="12">
        <f t="shared" si="157"/>
        <v>-3.6041072625522621E-3</v>
      </c>
      <c r="X718" s="12">
        <f t="shared" si="158"/>
        <v>6.445581473975543E-5</v>
      </c>
      <c r="Y718" s="12">
        <f t="shared" si="159"/>
        <v>-9.9991547629109966E-6</v>
      </c>
      <c r="Z718" s="12">
        <f t="shared" si="160"/>
        <v>-3.771113727633159E-5</v>
      </c>
    </row>
    <row r="719" spans="1:26" ht="13">
      <c r="A719" s="24" t="str">
        <f t="shared" si="235"/>
        <v>PHR</v>
      </c>
      <c r="B719" s="9">
        <v>2019</v>
      </c>
      <c r="C719" s="19">
        <v>487.81</v>
      </c>
      <c r="D719" s="19">
        <v>3253.35</v>
      </c>
      <c r="E719" s="19">
        <v>5854.51</v>
      </c>
      <c r="F719" s="19">
        <v>2301.7800000000002</v>
      </c>
      <c r="G719" s="19">
        <v>1245.1099999999999</v>
      </c>
      <c r="H719" s="10">
        <f t="shared" si="229"/>
        <v>8.3322088441218814E-2</v>
      </c>
      <c r="I719" s="10">
        <f t="shared" si="230"/>
        <v>0.55569979383415513</v>
      </c>
      <c r="J719" s="10">
        <f t="shared" si="231"/>
        <v>1.8486559420452815</v>
      </c>
      <c r="K719" s="4">
        <f t="shared" si="218"/>
        <v>-1.5148551968989814</v>
      </c>
      <c r="L719" s="10">
        <f t="shared" si="219"/>
        <v>0.55569979383415513</v>
      </c>
      <c r="M719" s="25">
        <v>641.12</v>
      </c>
      <c r="N719" s="25">
        <v>-53.89</v>
      </c>
      <c r="O719" s="25">
        <v>-280</v>
      </c>
      <c r="P719" s="11">
        <v>5.74E-2</v>
      </c>
      <c r="Q719" s="11">
        <v>1.34E-3</v>
      </c>
      <c r="R719" s="12">
        <f t="shared" si="226"/>
        <v>0.10950873770819419</v>
      </c>
      <c r="S719" s="12">
        <f t="shared" si="227"/>
        <v>-9.2048694083706403E-3</v>
      </c>
      <c r="T719" s="12">
        <f t="shared" si="228"/>
        <v>-4.7826376588305422E-2</v>
      </c>
      <c r="U719" s="12">
        <f t="shared" si="169"/>
        <v>6.2858015444503465E-3</v>
      </c>
      <c r="V719" s="12">
        <f t="shared" si="156"/>
        <v>-5.2835950404047478E-4</v>
      </c>
      <c r="W719" s="12">
        <f t="shared" si="157"/>
        <v>-2.7452340161687313E-3</v>
      </c>
      <c r="X719" s="12">
        <f t="shared" si="158"/>
        <v>1.4674170852898023E-4</v>
      </c>
      <c r="Y719" s="12">
        <f t="shared" si="159"/>
        <v>-1.2334525007216658E-5</v>
      </c>
      <c r="Z719" s="12">
        <f t="shared" si="160"/>
        <v>-6.4087344628329263E-5</v>
      </c>
    </row>
    <row r="720" spans="1:26" ht="13">
      <c r="A720" s="24" t="str">
        <f t="shared" si="235"/>
        <v>PHR</v>
      </c>
      <c r="B720" s="9">
        <v>2020</v>
      </c>
      <c r="C720" s="19">
        <v>1125.05</v>
      </c>
      <c r="D720" s="19">
        <v>3227.63</v>
      </c>
      <c r="E720" s="19">
        <v>6538.92</v>
      </c>
      <c r="F720" s="19">
        <v>3110.76</v>
      </c>
      <c r="G720" s="19">
        <v>1136.93</v>
      </c>
      <c r="H720" s="10">
        <f t="shared" si="229"/>
        <v>0.17205440653808274</v>
      </c>
      <c r="I720" s="10">
        <f t="shared" si="230"/>
        <v>0.49360291913649351</v>
      </c>
      <c r="J720" s="10">
        <f t="shared" si="231"/>
        <v>2.7361051252055977</v>
      </c>
      <c r="K720" s="4">
        <f t="shared" si="218"/>
        <v>-2.271652610844181</v>
      </c>
      <c r="L720" s="10">
        <f t="shared" si="219"/>
        <v>0.49360291913649351</v>
      </c>
      <c r="M720" s="25">
        <v>783.67</v>
      </c>
      <c r="N720" s="25">
        <v>-751.2</v>
      </c>
      <c r="O720" s="25">
        <v>-275.12</v>
      </c>
      <c r="P720" s="11">
        <v>0.85899999999999999</v>
      </c>
      <c r="Q720" s="11">
        <v>1.6999999999999999E-3</v>
      </c>
      <c r="R720" s="12">
        <f t="shared" si="226"/>
        <v>0.11984700837447161</v>
      </c>
      <c r="S720" s="12">
        <f t="shared" si="227"/>
        <v>-0.11488135655429338</v>
      </c>
      <c r="T720" s="12">
        <f t="shared" si="228"/>
        <v>-4.2074226324836518E-2</v>
      </c>
      <c r="U720" s="12">
        <f t="shared" si="169"/>
        <v>0.10294858019367112</v>
      </c>
      <c r="V720" s="12">
        <f t="shared" si="156"/>
        <v>-9.8683085280138014E-2</v>
      </c>
      <c r="W720" s="12">
        <f t="shared" si="157"/>
        <v>-3.6141760413034567E-2</v>
      </c>
      <c r="X720" s="12">
        <f t="shared" si="158"/>
        <v>2.0373991423660172E-4</v>
      </c>
      <c r="Y720" s="12">
        <f t="shared" si="159"/>
        <v>-1.9529830614229874E-4</v>
      </c>
      <c r="Z720" s="12">
        <f t="shared" si="160"/>
        <v>-7.1526184752222072E-5</v>
      </c>
    </row>
    <row r="721" spans="1:26" ht="13">
      <c r="A721" s="24" t="str">
        <f t="shared" si="235"/>
        <v>PHR</v>
      </c>
      <c r="B721" s="9">
        <v>2021</v>
      </c>
      <c r="C721" s="19">
        <v>513.38</v>
      </c>
      <c r="D721" s="19">
        <v>2917.91</v>
      </c>
      <c r="E721" s="19">
        <v>6027.08</v>
      </c>
      <c r="F721" s="19">
        <v>2738.37</v>
      </c>
      <c r="G721" s="19">
        <v>1191.72</v>
      </c>
      <c r="H721" s="10">
        <f t="shared" si="229"/>
        <v>8.5178892598074027E-2</v>
      </c>
      <c r="I721" s="10">
        <f t="shared" si="230"/>
        <v>0.48413327846983945</v>
      </c>
      <c r="J721" s="10">
        <f t="shared" si="231"/>
        <v>2.2978300271875942</v>
      </c>
      <c r="K721" s="4">
        <f t="shared" si="218"/>
        <v>-1.932936649521998</v>
      </c>
      <c r="L721" s="10">
        <f t="shared" si="219"/>
        <v>0.48413327846983945</v>
      </c>
      <c r="M721" s="25">
        <v>254.57</v>
      </c>
      <c r="N721" s="25">
        <v>315</v>
      </c>
      <c r="O721" s="25">
        <v>-858.13</v>
      </c>
      <c r="P721" s="11">
        <v>0.14710000000000001</v>
      </c>
      <c r="Q721" s="11">
        <f>Q720</f>
        <v>1.6999999999999999E-3</v>
      </c>
      <c r="R721" s="12">
        <f t="shared" si="226"/>
        <v>4.2237700511690568E-2</v>
      </c>
      <c r="S721" s="12">
        <f t="shared" si="227"/>
        <v>5.2264114629306399E-2</v>
      </c>
      <c r="T721" s="12">
        <f t="shared" si="228"/>
        <v>-0.14237906249792603</v>
      </c>
      <c r="U721" s="12">
        <f t="shared" si="169"/>
        <v>6.2131657452696833E-3</v>
      </c>
      <c r="V721" s="12">
        <f t="shared" si="156"/>
        <v>7.6880512619709714E-3</v>
      </c>
      <c r="W721" s="12">
        <f t="shared" si="157"/>
        <v>-2.094396009344492E-2</v>
      </c>
      <c r="X721" s="12">
        <f t="shared" si="158"/>
        <v>7.1804090869873955E-5</v>
      </c>
      <c r="Y721" s="12">
        <f t="shared" si="159"/>
        <v>8.8848994869820871E-5</v>
      </c>
      <c r="Z721" s="12">
        <f t="shared" si="160"/>
        <v>-2.4204440624647425E-4</v>
      </c>
    </row>
    <row r="722" spans="1:26" ht="13">
      <c r="A722" s="24" t="s">
        <v>161</v>
      </c>
      <c r="B722" s="9">
        <v>2017</v>
      </c>
      <c r="C722" s="19">
        <v>-47.2</v>
      </c>
      <c r="D722" s="19">
        <v>460.99</v>
      </c>
      <c r="E722" s="19">
        <v>607.53</v>
      </c>
      <c r="F722" s="19">
        <v>470.22</v>
      </c>
      <c r="G722" s="19">
        <v>448.54</v>
      </c>
      <c r="H722" s="10">
        <f t="shared" si="229"/>
        <v>-7.7691636626997851E-2</v>
      </c>
      <c r="I722" s="10">
        <f t="shared" si="230"/>
        <v>0.75879380442118094</v>
      </c>
      <c r="J722" s="10">
        <f t="shared" si="231"/>
        <v>1.0483345966914879</v>
      </c>
      <c r="K722" s="4">
        <f t="shared" si="218"/>
        <v>0.37054371163545607</v>
      </c>
      <c r="L722" s="10">
        <f t="shared" si="219"/>
        <v>0.75879380442118094</v>
      </c>
      <c r="M722" s="25">
        <v>82.92</v>
      </c>
      <c r="N722" s="25">
        <v>-16.239999999999998</v>
      </c>
      <c r="O722" s="25">
        <v>-38.520000000000003</v>
      </c>
      <c r="P722" s="27">
        <v>8.2000000000000007E-3</v>
      </c>
      <c r="Q722" s="11">
        <v>8.8800000000000004E-2</v>
      </c>
      <c r="R722" s="12">
        <f t="shared" si="226"/>
        <v>0.13648708705742926</v>
      </c>
      <c r="S722" s="12">
        <f t="shared" si="227"/>
        <v>-2.6731190229289086E-2</v>
      </c>
      <c r="T722" s="12">
        <f t="shared" si="228"/>
        <v>-6.3404276332032994E-2</v>
      </c>
      <c r="U722" s="12">
        <f t="shared" si="169"/>
        <v>1.1191941138709201E-3</v>
      </c>
      <c r="V722" s="12">
        <f t="shared" si="156"/>
        <v>-2.1919575988017052E-4</v>
      </c>
      <c r="W722" s="12">
        <f t="shared" si="157"/>
        <v>-5.1991506592267056E-4</v>
      </c>
      <c r="X722" s="12">
        <f t="shared" si="158"/>
        <v>1.212005333069972E-2</v>
      </c>
      <c r="Y722" s="12">
        <f t="shared" si="159"/>
        <v>-2.3737296923608711E-3</v>
      </c>
      <c r="Z722" s="12">
        <f t="shared" si="160"/>
        <v>-5.6302997382845299E-3</v>
      </c>
    </row>
    <row r="723" spans="1:26" ht="13">
      <c r="A723" s="24" t="str">
        <f t="shared" ref="A723:A726" si="236">A722</f>
        <v>PIT</v>
      </c>
      <c r="B723" s="9">
        <v>2018</v>
      </c>
      <c r="C723" s="19">
        <v>-30.16</v>
      </c>
      <c r="D723" s="19">
        <v>278.49</v>
      </c>
      <c r="E723" s="19">
        <v>390.56</v>
      </c>
      <c r="F723" s="19">
        <v>264.27999999999997</v>
      </c>
      <c r="G723" s="19">
        <v>264.05</v>
      </c>
      <c r="H723" s="10">
        <f t="shared" si="229"/>
        <v>-7.7222449815649324E-2</v>
      </c>
      <c r="I723" s="10">
        <f t="shared" si="230"/>
        <v>0.7130530520278574</v>
      </c>
      <c r="J723" s="10">
        <f t="shared" si="231"/>
        <v>1.0008710471501607</v>
      </c>
      <c r="K723" s="4">
        <f t="shared" si="218"/>
        <v>0.10789993654060848</v>
      </c>
      <c r="L723" s="10">
        <f t="shared" si="219"/>
        <v>0.7130530520278574</v>
      </c>
      <c r="M723" s="25">
        <v>138.16</v>
      </c>
      <c r="N723" s="25">
        <v>-1.51</v>
      </c>
      <c r="O723" s="25">
        <v>-165.02</v>
      </c>
      <c r="P723" s="27">
        <v>7.9000000000000008E-3</v>
      </c>
      <c r="Q723" s="11">
        <v>8.9300000000000004E-2</v>
      </c>
      <c r="R723" s="12">
        <f t="shared" si="226"/>
        <v>0.35374846374436703</v>
      </c>
      <c r="S723" s="12">
        <f t="shared" si="227"/>
        <v>-3.8662433428922572E-3</v>
      </c>
      <c r="T723" s="12">
        <f t="shared" si="228"/>
        <v>-0.42252150757886114</v>
      </c>
      <c r="U723" s="12">
        <f t="shared" si="169"/>
        <v>2.7946128635804998E-3</v>
      </c>
      <c r="V723" s="12">
        <f t="shared" si="156"/>
        <v>-3.0543322408848834E-5</v>
      </c>
      <c r="W723" s="12">
        <f t="shared" si="157"/>
        <v>-3.3379199098730033E-3</v>
      </c>
      <c r="X723" s="12">
        <f t="shared" si="158"/>
        <v>3.1589737812371975E-2</v>
      </c>
      <c r="Y723" s="12">
        <f t="shared" si="159"/>
        <v>-3.4525553052027857E-4</v>
      </c>
      <c r="Z723" s="12">
        <f t="shared" si="160"/>
        <v>-3.77311706267923E-2</v>
      </c>
    </row>
    <row r="724" spans="1:26" ht="13">
      <c r="A724" s="24" t="str">
        <f t="shared" si="236"/>
        <v>PIT</v>
      </c>
      <c r="B724" s="9">
        <v>2019</v>
      </c>
      <c r="C724" s="19">
        <v>6.7</v>
      </c>
      <c r="D724" s="19">
        <v>178.12</v>
      </c>
      <c r="E724" s="19">
        <v>296.89</v>
      </c>
      <c r="F724" s="19">
        <v>186.04</v>
      </c>
      <c r="G724" s="19">
        <v>175.17</v>
      </c>
      <c r="H724" s="10">
        <f t="shared" si="229"/>
        <v>2.256728081107481E-2</v>
      </c>
      <c r="I724" s="10">
        <f t="shared" si="230"/>
        <v>0.59995284448785746</v>
      </c>
      <c r="J724" s="10">
        <f t="shared" si="231"/>
        <v>1.0620540046811668</v>
      </c>
      <c r="K724" s="4">
        <f t="shared" si="218"/>
        <v>-0.9860697660877733</v>
      </c>
      <c r="L724" s="10">
        <f t="shared" si="219"/>
        <v>0.59995284448785746</v>
      </c>
      <c r="M724" s="25">
        <v>67.63</v>
      </c>
      <c r="N724" s="25">
        <v>23.92</v>
      </c>
      <c r="O724" s="25">
        <v>-95.19</v>
      </c>
      <c r="P724" s="11">
        <v>7.7999999999999996E-3</v>
      </c>
      <c r="Q724" s="11">
        <v>6.4500000000000002E-2</v>
      </c>
      <c r="R724" s="12">
        <f t="shared" si="226"/>
        <v>0.22779480615716258</v>
      </c>
      <c r="S724" s="12">
        <f t="shared" si="227"/>
        <v>8.0568560746404408E-2</v>
      </c>
      <c r="T724" s="12">
        <f t="shared" si="228"/>
        <v>-0.32062380006062852</v>
      </c>
      <c r="U724" s="12">
        <f t="shared" si="169"/>
        <v>1.7767994880258681E-3</v>
      </c>
      <c r="V724" s="12">
        <f t="shared" si="156"/>
        <v>6.284347738219543E-4</v>
      </c>
      <c r="W724" s="12">
        <f t="shared" si="157"/>
        <v>-2.5008656404729023E-3</v>
      </c>
      <c r="X724" s="12">
        <f t="shared" si="158"/>
        <v>1.4692764997136986E-2</v>
      </c>
      <c r="Y724" s="12">
        <f t="shared" si="159"/>
        <v>5.1966721681430848E-3</v>
      </c>
      <c r="Z724" s="12">
        <f t="shared" si="160"/>
        <v>-2.0680235103910542E-2</v>
      </c>
    </row>
    <row r="725" spans="1:26" ht="13">
      <c r="A725" s="24" t="str">
        <f t="shared" si="236"/>
        <v>PIT</v>
      </c>
      <c r="B725" s="9">
        <v>2020</v>
      </c>
      <c r="C725" s="19">
        <v>1.85</v>
      </c>
      <c r="D725" s="19">
        <v>212.5</v>
      </c>
      <c r="E725" s="19">
        <v>333.12</v>
      </c>
      <c r="F725" s="19">
        <v>231.87</v>
      </c>
      <c r="G725" s="19">
        <v>209.76</v>
      </c>
      <c r="H725" s="10">
        <f t="shared" si="229"/>
        <v>5.5535542747358309E-3</v>
      </c>
      <c r="I725" s="10">
        <f t="shared" si="230"/>
        <v>0.63790826128722378</v>
      </c>
      <c r="J725" s="10">
        <f t="shared" si="231"/>
        <v>1.1054061784897027</v>
      </c>
      <c r="K725" s="4">
        <f t="shared" si="218"/>
        <v>-0.69333552961309386</v>
      </c>
      <c r="L725" s="10">
        <f t="shared" si="219"/>
        <v>0.63790826128722378</v>
      </c>
      <c r="M725" s="25">
        <v>-38.299999999999997</v>
      </c>
      <c r="N725" s="25">
        <v>0.31</v>
      </c>
      <c r="O725" s="25">
        <v>35.22</v>
      </c>
      <c r="P725" s="11">
        <v>7.7000000000000002E-3</v>
      </c>
      <c r="Q725" s="11">
        <v>7.0199999999999999E-2</v>
      </c>
      <c r="R725" s="12">
        <f t="shared" si="226"/>
        <v>-0.11497358309317962</v>
      </c>
      <c r="S725" s="12">
        <f t="shared" si="227"/>
        <v>9.3059558117195007E-4</v>
      </c>
      <c r="T725" s="12">
        <f t="shared" si="228"/>
        <v>0.10572766570605187</v>
      </c>
      <c r="U725" s="12">
        <f t="shared" si="169"/>
        <v>-8.8529658981748309E-4</v>
      </c>
      <c r="V725" s="12">
        <f t="shared" si="156"/>
        <v>7.165585975024016E-6</v>
      </c>
      <c r="W725" s="12">
        <f t="shared" si="157"/>
        <v>8.1410302593659938E-4</v>
      </c>
      <c r="X725" s="12">
        <f t="shared" si="158"/>
        <v>-8.0711455331412101E-3</v>
      </c>
      <c r="Y725" s="12">
        <f t="shared" si="159"/>
        <v>6.53278097982709E-5</v>
      </c>
      <c r="Z725" s="12">
        <f t="shared" si="160"/>
        <v>7.422082132564841E-3</v>
      </c>
    </row>
    <row r="726" spans="1:26" ht="13">
      <c r="A726" s="24" t="str">
        <f t="shared" si="236"/>
        <v>PIT</v>
      </c>
      <c r="B726" s="9">
        <v>2021</v>
      </c>
      <c r="C726" s="19">
        <v>-5.67</v>
      </c>
      <c r="D726" s="19">
        <v>214.43</v>
      </c>
      <c r="E726" s="19">
        <v>329.6</v>
      </c>
      <c r="F726" s="19">
        <v>243.04</v>
      </c>
      <c r="G726" s="19">
        <v>211.48</v>
      </c>
      <c r="H726" s="10">
        <f t="shared" si="229"/>
        <v>-1.720266990291262E-2</v>
      </c>
      <c r="I726" s="10">
        <f t="shared" si="230"/>
        <v>0.65057645631067962</v>
      </c>
      <c r="J726" s="10">
        <f t="shared" si="231"/>
        <v>1.1492339701153773</v>
      </c>
      <c r="K726" s="4">
        <f t="shared" si="218"/>
        <v>-0.51889912034648022</v>
      </c>
      <c r="L726" s="10">
        <f t="shared" si="219"/>
        <v>0.65057645631067962</v>
      </c>
      <c r="M726" s="25">
        <v>9.52</v>
      </c>
      <c r="N726" s="25">
        <v>0.2</v>
      </c>
      <c r="O726" s="25">
        <v>-5.74</v>
      </c>
      <c r="P726" s="11">
        <v>8.5000000000000006E-3</v>
      </c>
      <c r="Q726" s="11">
        <v>6.6299999999999998E-2</v>
      </c>
      <c r="R726" s="12">
        <f t="shared" si="226"/>
        <v>2.8883495145631065E-2</v>
      </c>
      <c r="S726" s="12">
        <f t="shared" si="227"/>
        <v>6.0679611650485432E-4</v>
      </c>
      <c r="T726" s="12">
        <f t="shared" si="228"/>
        <v>-1.7415048543689318E-2</v>
      </c>
      <c r="U726" s="12">
        <f t="shared" si="169"/>
        <v>2.4550970873786406E-4</v>
      </c>
      <c r="V726" s="12">
        <f t="shared" si="156"/>
        <v>5.1577669902912623E-6</v>
      </c>
      <c r="W726" s="12">
        <f t="shared" si="157"/>
        <v>-1.4802791262135922E-4</v>
      </c>
      <c r="X726" s="12">
        <f t="shared" si="158"/>
        <v>1.9149757281553396E-3</v>
      </c>
      <c r="Y726" s="12">
        <f t="shared" si="159"/>
        <v>4.023058252427184E-5</v>
      </c>
      <c r="Z726" s="12">
        <f t="shared" si="160"/>
        <v>-1.1546177184466018E-3</v>
      </c>
    </row>
    <row r="727" spans="1:26" ht="13">
      <c r="A727" s="24" t="s">
        <v>162</v>
      </c>
      <c r="B727" s="9">
        <v>2017</v>
      </c>
      <c r="C727" s="19">
        <v>33.76</v>
      </c>
      <c r="D727" s="19">
        <v>210.74</v>
      </c>
      <c r="E727" s="19">
        <v>421.71</v>
      </c>
      <c r="F727" s="19">
        <v>87.54</v>
      </c>
      <c r="G727" s="19">
        <v>74.069999999999993</v>
      </c>
      <c r="H727" s="10">
        <f t="shared" si="229"/>
        <v>8.0055014109221972E-2</v>
      </c>
      <c r="I727" s="10">
        <f t="shared" si="230"/>
        <v>0.49972730075170146</v>
      </c>
      <c r="J727" s="10">
        <f t="shared" si="231"/>
        <v>1.1818550020251115</v>
      </c>
      <c r="K727" s="4">
        <f t="shared" si="218"/>
        <v>-1.8165293692149007</v>
      </c>
      <c r="L727" s="10">
        <f t="shared" si="219"/>
        <v>0.49972730075170146</v>
      </c>
      <c r="M727" s="25">
        <v>50.29</v>
      </c>
      <c r="N727" s="25">
        <v>-213.16</v>
      </c>
      <c r="O727" s="25">
        <v>117.24</v>
      </c>
      <c r="P727" s="11">
        <v>0.15540000000000001</v>
      </c>
      <c r="Q727" s="11">
        <v>9.9000000000000008E-3</v>
      </c>
      <c r="R727" s="12">
        <f t="shared" si="226"/>
        <v>0.11925256692988073</v>
      </c>
      <c r="S727" s="12">
        <f t="shared" si="227"/>
        <v>-0.50546584145502838</v>
      </c>
      <c r="T727" s="12">
        <f t="shared" si="228"/>
        <v>0.27801095539588816</v>
      </c>
      <c r="U727" s="12">
        <f t="shared" si="169"/>
        <v>1.8531848900903466E-2</v>
      </c>
      <c r="V727" s="12">
        <f t="shared" si="156"/>
        <v>-7.8549391762111412E-2</v>
      </c>
      <c r="W727" s="12">
        <f t="shared" si="157"/>
        <v>4.3202902468521022E-2</v>
      </c>
      <c r="X727" s="12">
        <f t="shared" si="158"/>
        <v>1.1806004126058193E-3</v>
      </c>
      <c r="Y727" s="12">
        <f t="shared" si="159"/>
        <v>-5.0041118304047817E-3</v>
      </c>
      <c r="Z727" s="12">
        <f t="shared" si="160"/>
        <v>2.7523084584192932E-3</v>
      </c>
    </row>
    <row r="728" spans="1:26" ht="13">
      <c r="A728" s="24" t="str">
        <f t="shared" ref="A728:A731" si="237">A727</f>
        <v>PJT</v>
      </c>
      <c r="B728" s="9">
        <v>2018</v>
      </c>
      <c r="C728" s="19">
        <v>36.36</v>
      </c>
      <c r="D728" s="19">
        <v>172.71</v>
      </c>
      <c r="E728" s="19">
        <v>390.86</v>
      </c>
      <c r="F728" s="19">
        <v>94.1</v>
      </c>
      <c r="G728" s="19">
        <v>76.290000000000006</v>
      </c>
      <c r="H728" s="10">
        <f t="shared" si="229"/>
        <v>9.3025635777516241E-2</v>
      </c>
      <c r="I728" s="10">
        <f t="shared" si="230"/>
        <v>0.44187176994320215</v>
      </c>
      <c r="J728" s="10">
        <f t="shared" si="231"/>
        <v>1.2334513042338444</v>
      </c>
      <c r="K728" s="4">
        <f t="shared" si="218"/>
        <v>-2.2048800775395057</v>
      </c>
      <c r="L728" s="10">
        <f t="shared" si="219"/>
        <v>0.44187176994320215</v>
      </c>
      <c r="M728" s="25">
        <v>72.66</v>
      </c>
      <c r="N728" s="25">
        <v>-3.46</v>
      </c>
      <c r="O728" s="25">
        <v>-65.08</v>
      </c>
      <c r="P728" s="11">
        <v>0.1547</v>
      </c>
      <c r="Q728" s="11">
        <v>1.3188E-2</v>
      </c>
      <c r="R728" s="12">
        <f t="shared" si="226"/>
        <v>0.1858977639052346</v>
      </c>
      <c r="S728" s="12">
        <f t="shared" si="227"/>
        <v>-8.8522744716778377E-3</v>
      </c>
      <c r="T728" s="12">
        <f t="shared" si="228"/>
        <v>-0.16650463081410222</v>
      </c>
      <c r="U728" s="12">
        <f t="shared" si="169"/>
        <v>2.8758384076139794E-2</v>
      </c>
      <c r="V728" s="12">
        <f t="shared" si="156"/>
        <v>-1.3694468607685615E-3</v>
      </c>
      <c r="W728" s="12">
        <f t="shared" si="157"/>
        <v>-2.5758266386941613E-2</v>
      </c>
      <c r="X728" s="12">
        <f t="shared" si="158"/>
        <v>2.4516197103822339E-3</v>
      </c>
      <c r="Y728" s="12">
        <f t="shared" si="159"/>
        <v>-1.1674379573248732E-4</v>
      </c>
      <c r="Z728" s="12">
        <f t="shared" si="160"/>
        <v>-2.19586307117638E-3</v>
      </c>
    </row>
    <row r="729" spans="1:26" ht="13">
      <c r="A729" s="24" t="str">
        <f t="shared" si="237"/>
        <v>PJT</v>
      </c>
      <c r="B729" s="9">
        <v>2019</v>
      </c>
      <c r="C729" s="19">
        <v>33.54</v>
      </c>
      <c r="D729" s="19">
        <v>330.33</v>
      </c>
      <c r="E729" s="19">
        <v>552.62</v>
      </c>
      <c r="F729" s="19">
        <v>76.94</v>
      </c>
      <c r="G729" s="19">
        <v>155.63999999999999</v>
      </c>
      <c r="H729" s="10">
        <f t="shared" si="229"/>
        <v>6.0692700228004777E-2</v>
      </c>
      <c r="I729" s="10">
        <f t="shared" si="230"/>
        <v>0.59775252433860515</v>
      </c>
      <c r="J729" s="10">
        <f t="shared" si="231"/>
        <v>0.49434592649704451</v>
      </c>
      <c r="K729" s="4">
        <f t="shared" si="218"/>
        <v>-1.1679051460019607</v>
      </c>
      <c r="L729" s="10">
        <f t="shared" si="219"/>
        <v>0.59775252433860515</v>
      </c>
      <c r="M729" s="25">
        <v>90.38</v>
      </c>
      <c r="N729" s="25">
        <v>-215.11</v>
      </c>
      <c r="O729" s="25">
        <v>106.33</v>
      </c>
      <c r="P729" s="11">
        <v>2.7799999999999998E-2</v>
      </c>
      <c r="Q729" s="11">
        <f>Q728</f>
        <v>1.3188E-2</v>
      </c>
      <c r="R729" s="12">
        <f t="shared" si="226"/>
        <v>0.16354818862871412</v>
      </c>
      <c r="S729" s="12">
        <f t="shared" si="227"/>
        <v>-0.38925482248199489</v>
      </c>
      <c r="T729" s="12">
        <f t="shared" si="228"/>
        <v>0.19241069812891318</v>
      </c>
      <c r="U729" s="12">
        <f t="shared" si="169"/>
        <v>4.5466396438782518E-3</v>
      </c>
      <c r="V729" s="12">
        <f t="shared" si="156"/>
        <v>-1.0821284064999458E-2</v>
      </c>
      <c r="W729" s="12">
        <f t="shared" si="157"/>
        <v>5.3490174079837858E-3</v>
      </c>
      <c r="X729" s="12">
        <f t="shared" si="158"/>
        <v>2.1568735116354819E-3</v>
      </c>
      <c r="Y729" s="12">
        <f t="shared" si="159"/>
        <v>-5.1334925988925483E-3</v>
      </c>
      <c r="Z729" s="12">
        <f t="shared" si="160"/>
        <v>2.5375122869241069E-3</v>
      </c>
    </row>
    <row r="730" spans="1:26" ht="13">
      <c r="A730" s="24" t="str">
        <f t="shared" si="237"/>
        <v>PJT</v>
      </c>
      <c r="B730" s="9">
        <v>2020</v>
      </c>
      <c r="C730" s="19">
        <v>26.89</v>
      </c>
      <c r="D730" s="19">
        <v>272.64</v>
      </c>
      <c r="E730" s="19">
        <v>497.9</v>
      </c>
      <c r="F730" s="19">
        <v>77.400000000000006</v>
      </c>
      <c r="G730" s="19">
        <v>140.27000000000001</v>
      </c>
      <c r="H730" s="10">
        <f t="shared" si="229"/>
        <v>5.4006828680457926E-2</v>
      </c>
      <c r="I730" s="10">
        <f t="shared" si="230"/>
        <v>0.54757983530829479</v>
      </c>
      <c r="J730" s="10">
        <f t="shared" si="231"/>
        <v>0.5517929706993655</v>
      </c>
      <c r="K730" s="4">
        <f t="shared" si="218"/>
        <v>-1.4240328396875774</v>
      </c>
      <c r="L730" s="10">
        <f t="shared" si="219"/>
        <v>0.54757983530829479</v>
      </c>
      <c r="M730" s="25">
        <v>68.83</v>
      </c>
      <c r="N730" s="25">
        <v>3.82</v>
      </c>
      <c r="O730" s="25">
        <v>-60.57</v>
      </c>
      <c r="P730" s="11">
        <v>2.3300000000000001E-2</v>
      </c>
      <c r="Q730" s="11">
        <v>9.7999999999999997E-3</v>
      </c>
      <c r="R730" s="12">
        <f t="shared" si="226"/>
        <v>0.13824061056437037</v>
      </c>
      <c r="S730" s="12">
        <f t="shared" si="227"/>
        <v>7.6722233380196823E-3</v>
      </c>
      <c r="T730" s="12">
        <f t="shared" si="228"/>
        <v>-0.12165093392247441</v>
      </c>
      <c r="U730" s="12">
        <f t="shared" si="169"/>
        <v>3.22100622614983E-3</v>
      </c>
      <c r="V730" s="12">
        <f t="shared" si="156"/>
        <v>1.787628037758586E-4</v>
      </c>
      <c r="W730" s="12">
        <f t="shared" si="157"/>
        <v>-2.8344667603936538E-3</v>
      </c>
      <c r="X730" s="12">
        <f t="shared" si="158"/>
        <v>1.3547579835308295E-3</v>
      </c>
      <c r="Y730" s="12">
        <f t="shared" si="159"/>
        <v>7.5187788712592887E-5</v>
      </c>
      <c r="Z730" s="12">
        <f t="shared" si="160"/>
        <v>-1.192179152440249E-3</v>
      </c>
    </row>
    <row r="731" spans="1:26" ht="13">
      <c r="A731" s="24" t="str">
        <f t="shared" si="237"/>
        <v>PJT</v>
      </c>
      <c r="B731" s="9">
        <v>2021</v>
      </c>
      <c r="C731" s="19">
        <v>22.07</v>
      </c>
      <c r="D731" s="19">
        <v>232</v>
      </c>
      <c r="E731" s="19">
        <v>533.20000000000005</v>
      </c>
      <c r="F731" s="19">
        <v>82.65</v>
      </c>
      <c r="G731" s="19">
        <v>101.14</v>
      </c>
      <c r="H731" s="10">
        <f t="shared" si="229"/>
        <v>4.1391597899474865E-2</v>
      </c>
      <c r="I731" s="10">
        <f t="shared" si="230"/>
        <v>0.43510877719429852</v>
      </c>
      <c r="J731" s="10">
        <f t="shared" si="231"/>
        <v>0.81718410124579799</v>
      </c>
      <c r="K731" s="4">
        <f t="shared" si="218"/>
        <v>-2.0094108969451177</v>
      </c>
      <c r="L731" s="10">
        <f t="shared" si="219"/>
        <v>0.43510877719429852</v>
      </c>
      <c r="M731" s="25">
        <v>68.36</v>
      </c>
      <c r="N731" s="25">
        <v>-90.16</v>
      </c>
      <c r="O731" s="26">
        <v>13.01</v>
      </c>
      <c r="P731" s="11">
        <v>1.26E-2</v>
      </c>
      <c r="Q731" s="11">
        <v>0.01</v>
      </c>
      <c r="R731" s="12">
        <f t="shared" si="226"/>
        <v>0.12820705176294073</v>
      </c>
      <c r="S731" s="12">
        <f t="shared" si="227"/>
        <v>-0.16909227306826705</v>
      </c>
      <c r="T731" s="12">
        <f t="shared" si="228"/>
        <v>2.439984996249062E-2</v>
      </c>
      <c r="U731" s="12">
        <f t="shared" si="169"/>
        <v>1.6154088522130532E-3</v>
      </c>
      <c r="V731" s="12">
        <f t="shared" si="156"/>
        <v>-2.1305626406601646E-3</v>
      </c>
      <c r="W731" s="12">
        <f t="shared" si="157"/>
        <v>3.0743810952738179E-4</v>
      </c>
      <c r="X731" s="12">
        <f t="shared" si="158"/>
        <v>1.2820705176294074E-3</v>
      </c>
      <c r="Y731" s="12">
        <f t="shared" si="159"/>
        <v>-1.6909227306826705E-3</v>
      </c>
      <c r="Z731" s="12">
        <f t="shared" si="160"/>
        <v>2.4399849962490619E-4</v>
      </c>
    </row>
    <row r="732" spans="1:26" ht="13">
      <c r="A732" s="24" t="s">
        <v>163</v>
      </c>
      <c r="B732" s="9">
        <v>2017</v>
      </c>
      <c r="C732" s="19">
        <v>3911.66</v>
      </c>
      <c r="D732" s="19">
        <v>38385.08</v>
      </c>
      <c r="E732" s="19">
        <v>61769.06</v>
      </c>
      <c r="F732" s="19">
        <v>40526.370000000003</v>
      </c>
      <c r="G732" s="19">
        <v>35757.79</v>
      </c>
      <c r="H732" s="10">
        <f t="shared" si="229"/>
        <v>6.3327173831040973E-2</v>
      </c>
      <c r="I732" s="10">
        <f t="shared" si="230"/>
        <v>0.62142891603012906</v>
      </c>
      <c r="J732" s="10">
        <f t="shared" si="231"/>
        <v>1.1333577942037245</v>
      </c>
      <c r="K732" s="4">
        <f t="shared" si="218"/>
        <v>-1.0473608920447635</v>
      </c>
      <c r="L732" s="10">
        <f t="shared" si="219"/>
        <v>0.62142891603012906</v>
      </c>
      <c r="M732" s="25">
        <v>1776.96</v>
      </c>
      <c r="N732" s="25">
        <v>-2281.83</v>
      </c>
      <c r="O732" s="25">
        <v>3425.24</v>
      </c>
      <c r="P732" s="11">
        <v>0.1037</v>
      </c>
      <c r="Q732" s="11">
        <f>9.4*10^-4</f>
        <v>9.4000000000000008E-4</v>
      </c>
      <c r="R732" s="12">
        <f t="shared" si="226"/>
        <v>2.8767800578477318E-2</v>
      </c>
      <c r="S732" s="12">
        <f t="shared" si="227"/>
        <v>-3.694131009926329E-2</v>
      </c>
      <c r="T732" s="12">
        <f t="shared" si="228"/>
        <v>5.5452357539518972E-2</v>
      </c>
      <c r="U732" s="12">
        <f t="shared" si="169"/>
        <v>2.9832209199880978E-3</v>
      </c>
      <c r="V732" s="12">
        <f t="shared" si="156"/>
        <v>-3.830813857293603E-3</v>
      </c>
      <c r="W732" s="12">
        <f t="shared" si="157"/>
        <v>5.7504094768481171E-3</v>
      </c>
      <c r="X732" s="12">
        <f t="shared" si="158"/>
        <v>2.704173254376868E-5</v>
      </c>
      <c r="Y732" s="12">
        <f t="shared" si="159"/>
        <v>-3.4724831493307497E-5</v>
      </c>
      <c r="Z732" s="12">
        <f t="shared" si="160"/>
        <v>5.2125216087147836E-5</v>
      </c>
    </row>
    <row r="733" spans="1:26" ht="13">
      <c r="A733" s="24" t="str">
        <f t="shared" ref="A733:A736" si="238">A732</f>
        <v>PLX</v>
      </c>
      <c r="B733" s="9">
        <v>2018</v>
      </c>
      <c r="C733" s="19">
        <v>4154.5600000000004</v>
      </c>
      <c r="D733" s="19">
        <v>33190.85</v>
      </c>
      <c r="E733" s="19">
        <v>56283.12</v>
      </c>
      <c r="F733" s="19">
        <v>34690.22</v>
      </c>
      <c r="G733" s="19">
        <v>31579.47</v>
      </c>
      <c r="H733" s="10">
        <f t="shared" si="229"/>
        <v>7.3815381947553729E-2</v>
      </c>
      <c r="I733" s="10">
        <f t="shared" si="230"/>
        <v>0.589712332933924</v>
      </c>
      <c r="J733" s="10">
        <f t="shared" si="231"/>
        <v>1.0985054530680851</v>
      </c>
      <c r="K733" s="4">
        <f t="shared" si="218"/>
        <v>-1.2752029428528977</v>
      </c>
      <c r="L733" s="10">
        <f t="shared" si="219"/>
        <v>0.589712332933924</v>
      </c>
      <c r="M733" s="25">
        <v>4371.29</v>
      </c>
      <c r="N733" s="25">
        <v>-3364.56</v>
      </c>
      <c r="O733" s="25">
        <v>-5009.12</v>
      </c>
      <c r="P733" s="11">
        <v>0.1096</v>
      </c>
      <c r="Q733" s="11">
        <f>1.32*10^-3</f>
        <v>1.32E-3</v>
      </c>
      <c r="R733" s="12">
        <f t="shared" si="226"/>
        <v>7.7666092427001204E-2</v>
      </c>
      <c r="S733" s="12">
        <f t="shared" si="227"/>
        <v>-5.9779202005858949E-2</v>
      </c>
      <c r="T733" s="12">
        <f t="shared" si="228"/>
        <v>-8.8998619834863443E-2</v>
      </c>
      <c r="U733" s="12">
        <f t="shared" si="169"/>
        <v>8.512203729999333E-3</v>
      </c>
      <c r="V733" s="12">
        <f t="shared" si="156"/>
        <v>-6.5518005398421406E-3</v>
      </c>
      <c r="W733" s="12">
        <f t="shared" si="157"/>
        <v>-9.7542487339010338E-3</v>
      </c>
      <c r="X733" s="12">
        <f t="shared" si="158"/>
        <v>1.0251924200364159E-4</v>
      </c>
      <c r="Y733" s="12">
        <f t="shared" si="159"/>
        <v>-7.8908546647733817E-5</v>
      </c>
      <c r="Z733" s="12">
        <f t="shared" si="160"/>
        <v>-1.1747817818201975E-4</v>
      </c>
    </row>
    <row r="734" spans="1:26" ht="13">
      <c r="A734" s="24" t="str">
        <f t="shared" si="238"/>
        <v>PLX</v>
      </c>
      <c r="B734" s="9">
        <v>2019</v>
      </c>
      <c r="C734" s="19">
        <v>4676.5600000000004</v>
      </c>
      <c r="D734" s="19">
        <v>35839.089999999997</v>
      </c>
      <c r="E734" s="19">
        <v>61762.41</v>
      </c>
      <c r="F734" s="19">
        <v>38752.839999999997</v>
      </c>
      <c r="G734" s="19">
        <v>34172.730000000003</v>
      </c>
      <c r="H734" s="10">
        <f t="shared" si="229"/>
        <v>7.5718547899928129E-2</v>
      </c>
      <c r="I734" s="10">
        <f t="shared" si="230"/>
        <v>0.58027350292839919</v>
      </c>
      <c r="J734" s="10">
        <f t="shared" si="231"/>
        <v>1.1340282148953271</v>
      </c>
      <c r="K734" s="4">
        <f t="shared" si="218"/>
        <v>-1.3377106117173818</v>
      </c>
      <c r="L734" s="10">
        <f t="shared" si="219"/>
        <v>0.58027350292839919</v>
      </c>
      <c r="M734" s="25">
        <v>4180.51</v>
      </c>
      <c r="N734" s="25">
        <v>-2467.15</v>
      </c>
      <c r="O734" s="25">
        <v>-661.82</v>
      </c>
      <c r="P734" s="11">
        <v>0.13400000000000001</v>
      </c>
      <c r="Q734" s="11">
        <f t="shared" ref="Q734:Q736" si="239">Q733</f>
        <v>1.32E-3</v>
      </c>
      <c r="R734" s="12">
        <f t="shared" si="226"/>
        <v>6.7686963640181785E-2</v>
      </c>
      <c r="S734" s="12">
        <f t="shared" si="227"/>
        <v>-3.9945818176460403E-2</v>
      </c>
      <c r="T734" s="12">
        <f t="shared" si="228"/>
        <v>-1.0715579265770232E-2</v>
      </c>
      <c r="U734" s="12">
        <f t="shared" si="169"/>
        <v>9.0700531277843593E-3</v>
      </c>
      <c r="V734" s="12">
        <f t="shared" si="156"/>
        <v>-5.3527396356456945E-3</v>
      </c>
      <c r="W734" s="12">
        <f t="shared" si="157"/>
        <v>-1.435887621613211E-3</v>
      </c>
      <c r="X734" s="12">
        <f t="shared" si="158"/>
        <v>8.9346792005039956E-5</v>
      </c>
      <c r="Y734" s="12">
        <f t="shared" si="159"/>
        <v>-5.2728479992927729E-5</v>
      </c>
      <c r="Z734" s="12">
        <f t="shared" si="160"/>
        <v>-1.4144564630816705E-5</v>
      </c>
    </row>
    <row r="735" spans="1:26" ht="13">
      <c r="A735" s="24" t="str">
        <f t="shared" si="238"/>
        <v>PLX</v>
      </c>
      <c r="B735" s="9">
        <v>2020</v>
      </c>
      <c r="C735" s="19">
        <v>1252.57</v>
      </c>
      <c r="D735" s="19">
        <v>36979.81</v>
      </c>
      <c r="E735" s="19">
        <v>61106.21</v>
      </c>
      <c r="F735" s="19">
        <v>37796.82</v>
      </c>
      <c r="G735" s="19">
        <v>35399.68</v>
      </c>
      <c r="H735" s="10">
        <f t="shared" si="229"/>
        <v>2.0498243959165524E-2</v>
      </c>
      <c r="I735" s="10">
        <f t="shared" si="230"/>
        <v>0.60517269848678223</v>
      </c>
      <c r="J735" s="10">
        <f t="shared" si="231"/>
        <v>1.0677164313349725</v>
      </c>
      <c r="K735" s="4">
        <f t="shared" si="218"/>
        <v>-0.94702858216692531</v>
      </c>
      <c r="L735" s="10">
        <f t="shared" si="219"/>
        <v>0.60517269848678223</v>
      </c>
      <c r="M735" s="25">
        <v>5349.36</v>
      </c>
      <c r="N735" s="25">
        <v>-3842.52</v>
      </c>
      <c r="O735" s="25">
        <v>-2171.08</v>
      </c>
      <c r="P735" s="11">
        <v>0.157</v>
      </c>
      <c r="Q735" s="11">
        <f t="shared" si="239"/>
        <v>1.32E-3</v>
      </c>
      <c r="R735" s="12">
        <f t="shared" si="226"/>
        <v>8.7542002686797293E-2</v>
      </c>
      <c r="S735" s="12">
        <f t="shared" si="227"/>
        <v>-6.2882643187983672E-2</v>
      </c>
      <c r="T735" s="12">
        <f t="shared" si="228"/>
        <v>-3.5529613111335165E-2</v>
      </c>
      <c r="U735" s="12">
        <f t="shared" si="169"/>
        <v>1.3744094421827176E-2</v>
      </c>
      <c r="V735" s="12">
        <f t="shared" si="156"/>
        <v>-9.8725749805134363E-3</v>
      </c>
      <c r="W735" s="12">
        <f t="shared" si="157"/>
        <v>-5.5781492584796206E-3</v>
      </c>
      <c r="X735" s="12">
        <f t="shared" si="158"/>
        <v>1.1555544354657242E-4</v>
      </c>
      <c r="Y735" s="12">
        <f t="shared" si="159"/>
        <v>-8.3005089008138447E-5</v>
      </c>
      <c r="Z735" s="12">
        <f t="shared" si="160"/>
        <v>-4.6899089306962419E-5</v>
      </c>
    </row>
    <row r="736" spans="1:26" ht="13">
      <c r="A736" s="24" t="str">
        <f t="shared" si="238"/>
        <v>PLX</v>
      </c>
      <c r="B736" s="9">
        <v>2021</v>
      </c>
      <c r="C736" s="19">
        <v>3123.73</v>
      </c>
      <c r="D736" s="19">
        <v>36531.050000000003</v>
      </c>
      <c r="E736" s="19">
        <v>64791.24</v>
      </c>
      <c r="F736" s="19">
        <v>41303.67</v>
      </c>
      <c r="G736" s="19">
        <v>35207.089999999997</v>
      </c>
      <c r="H736" s="10">
        <f t="shared" si="229"/>
        <v>4.8212227455439967E-2</v>
      </c>
      <c r="I736" s="10">
        <f t="shared" si="230"/>
        <v>0.56382699266135372</v>
      </c>
      <c r="J736" s="10">
        <f t="shared" si="231"/>
        <v>1.173163416800423</v>
      </c>
      <c r="K736" s="4">
        <f t="shared" si="218"/>
        <v>-1.3078338190469654</v>
      </c>
      <c r="L736" s="10">
        <f t="shared" si="219"/>
        <v>0.56382699266135372</v>
      </c>
      <c r="M736" s="25">
        <v>-656.32</v>
      </c>
      <c r="N736" s="25">
        <v>-4444.79</v>
      </c>
      <c r="O736" s="25">
        <v>685.84</v>
      </c>
      <c r="P736" s="11">
        <v>0.17019999999999999</v>
      </c>
      <c r="Q736" s="11">
        <f t="shared" si="239"/>
        <v>1.32E-3</v>
      </c>
      <c r="R736" s="12">
        <f t="shared" si="226"/>
        <v>-1.0129764455812238E-2</v>
      </c>
      <c r="S736" s="12">
        <f t="shared" si="227"/>
        <v>-6.8601712206773635E-2</v>
      </c>
      <c r="T736" s="12">
        <f t="shared" si="228"/>
        <v>1.0585381604056351E-2</v>
      </c>
      <c r="U736" s="12">
        <f t="shared" si="169"/>
        <v>-1.7240859103792429E-3</v>
      </c>
      <c r="V736" s="12">
        <f t="shared" si="156"/>
        <v>-1.1676011417592872E-2</v>
      </c>
      <c r="W736" s="12">
        <f t="shared" si="157"/>
        <v>1.8016319490103908E-3</v>
      </c>
      <c r="X736" s="12">
        <f t="shared" si="158"/>
        <v>-1.3371289081672154E-5</v>
      </c>
      <c r="Y736" s="12">
        <f t="shared" si="159"/>
        <v>-9.0554260112941197E-5</v>
      </c>
      <c r="Z736" s="12">
        <f t="shared" si="160"/>
        <v>1.3972703717354384E-5</v>
      </c>
    </row>
    <row r="737" spans="1:26" ht="13">
      <c r="A737" s="24" t="s">
        <v>164</v>
      </c>
      <c r="B737" s="9">
        <v>2017</v>
      </c>
      <c r="C737" s="19">
        <v>46.52</v>
      </c>
      <c r="D737" s="19">
        <v>773.25</v>
      </c>
      <c r="E737" s="19">
        <v>1278.18</v>
      </c>
      <c r="F737" s="19">
        <v>271.67</v>
      </c>
      <c r="G737" s="19">
        <v>522.27</v>
      </c>
      <c r="H737" s="10">
        <f t="shared" si="229"/>
        <v>3.639549985135114E-2</v>
      </c>
      <c r="I737" s="10">
        <f t="shared" si="230"/>
        <v>0.60496174247758527</v>
      </c>
      <c r="J737" s="10">
        <f t="shared" si="231"/>
        <v>0.52017155877228261</v>
      </c>
      <c r="K737" s="4">
        <f t="shared" si="218"/>
        <v>-1.0175785034439326</v>
      </c>
      <c r="L737" s="10">
        <f t="shared" si="219"/>
        <v>0.60496174247758527</v>
      </c>
      <c r="M737" s="25">
        <v>27.23</v>
      </c>
      <c r="N737" s="25">
        <v>-51.21</v>
      </c>
      <c r="O737" s="25">
        <v>25.26</v>
      </c>
      <c r="P737" s="11">
        <v>2.0000000000000001E-4</v>
      </c>
      <c r="Q737" s="11">
        <v>0.15359999999999999</v>
      </c>
      <c r="R737" s="12">
        <f t="shared" si="226"/>
        <v>2.1303728739301194E-2</v>
      </c>
      <c r="S737" s="12">
        <f t="shared" si="227"/>
        <v>-4.0064779608505845E-2</v>
      </c>
      <c r="T737" s="12">
        <f t="shared" si="228"/>
        <v>1.9762474768811905E-2</v>
      </c>
      <c r="U737" s="12">
        <f t="shared" si="169"/>
        <v>4.2607457478602388E-6</v>
      </c>
      <c r="V737" s="12">
        <f t="shared" si="156"/>
        <v>-8.0129559217011695E-6</v>
      </c>
      <c r="W737" s="12">
        <f t="shared" si="157"/>
        <v>3.952494953762381E-6</v>
      </c>
      <c r="X737" s="12">
        <f t="shared" si="158"/>
        <v>3.272252734356663E-3</v>
      </c>
      <c r="Y737" s="12">
        <f t="shared" si="159"/>
        <v>-6.1539501478664969E-3</v>
      </c>
      <c r="Z737" s="12">
        <f t="shared" si="160"/>
        <v>3.0355161244895084E-3</v>
      </c>
    </row>
    <row r="738" spans="1:26" ht="13">
      <c r="A738" s="24" t="str">
        <f t="shared" ref="A738:A741" si="240">A737</f>
        <v>PMG</v>
      </c>
      <c r="B738" s="9">
        <v>2018</v>
      </c>
      <c r="C738" s="19">
        <v>87.19</v>
      </c>
      <c r="D738" s="19">
        <v>843.66</v>
      </c>
      <c r="E738" s="19">
        <v>1318.77</v>
      </c>
      <c r="F738" s="19">
        <v>307.45999999999998</v>
      </c>
      <c r="G738" s="19">
        <v>632.72</v>
      </c>
      <c r="H738" s="10">
        <f t="shared" si="229"/>
        <v>6.6114637123986741E-2</v>
      </c>
      <c r="I738" s="10">
        <f t="shared" si="230"/>
        <v>0.63973247799085509</v>
      </c>
      <c r="J738" s="10">
        <f t="shared" si="231"/>
        <v>0.48593374636490066</v>
      </c>
      <c r="K738" s="4">
        <f t="shared" si="218"/>
        <v>-0.95298447749552539</v>
      </c>
      <c r="L738" s="10">
        <f t="shared" si="219"/>
        <v>0.63973247799085509</v>
      </c>
      <c r="M738" s="25">
        <v>9.7100000000000009</v>
      </c>
      <c r="N738" s="25">
        <v>-196.91</v>
      </c>
      <c r="O738" s="25">
        <v>191.15</v>
      </c>
      <c r="P738" s="11">
        <v>8.3999999999999995E-3</v>
      </c>
      <c r="Q738" s="11">
        <f t="shared" ref="Q738:Q741" si="241">Q737</f>
        <v>0.15359999999999999</v>
      </c>
      <c r="R738" s="12">
        <f t="shared" si="226"/>
        <v>7.3629215101951072E-3</v>
      </c>
      <c r="S738" s="12">
        <f t="shared" si="227"/>
        <v>-0.1493133753421749</v>
      </c>
      <c r="T738" s="12">
        <f t="shared" si="228"/>
        <v>0.1449456690704217</v>
      </c>
      <c r="U738" s="12">
        <f t="shared" si="169"/>
        <v>6.1848540685638902E-5</v>
      </c>
      <c r="V738" s="12">
        <f t="shared" si="156"/>
        <v>-1.254232352874269E-3</v>
      </c>
      <c r="W738" s="12">
        <f t="shared" si="157"/>
        <v>1.2175436201915422E-3</v>
      </c>
      <c r="X738" s="12">
        <f t="shared" si="158"/>
        <v>1.1309447439659683E-3</v>
      </c>
      <c r="Y738" s="12">
        <f t="shared" si="159"/>
        <v>-2.2934534452558063E-2</v>
      </c>
      <c r="Z738" s="12">
        <f t="shared" si="160"/>
        <v>2.2263654769216771E-2</v>
      </c>
    </row>
    <row r="739" spans="1:26" ht="13">
      <c r="A739" s="24" t="str">
        <f t="shared" si="240"/>
        <v>PMG</v>
      </c>
      <c r="B739" s="9">
        <v>2019</v>
      </c>
      <c r="C739" s="19">
        <v>62.11</v>
      </c>
      <c r="D739" s="19">
        <v>919.71</v>
      </c>
      <c r="E739" s="19">
        <v>1482.94</v>
      </c>
      <c r="F739" s="19">
        <v>415.41</v>
      </c>
      <c r="G739" s="19">
        <v>724.09</v>
      </c>
      <c r="H739" s="10">
        <f t="shared" si="229"/>
        <v>4.1883016170580059E-2</v>
      </c>
      <c r="I739" s="10">
        <f t="shared" si="230"/>
        <v>0.62019366933254216</v>
      </c>
      <c r="J739" s="10">
        <f t="shared" si="231"/>
        <v>0.57369940200803771</v>
      </c>
      <c r="K739" s="4">
        <f t="shared" si="218"/>
        <v>-0.95566445518015197</v>
      </c>
      <c r="L739" s="10">
        <f t="shared" si="219"/>
        <v>0.62019366933254216</v>
      </c>
      <c r="M739" s="25">
        <v>-50.32</v>
      </c>
      <c r="N739" s="25">
        <v>-9.01</v>
      </c>
      <c r="O739" s="25">
        <v>69.790000000000006</v>
      </c>
      <c r="P739" s="27">
        <v>1.11E-2</v>
      </c>
      <c r="Q739" s="11">
        <f t="shared" si="241"/>
        <v>0.15359999999999999</v>
      </c>
      <c r="R739" s="12">
        <f t="shared" si="226"/>
        <v>-3.3932593361835274E-2</v>
      </c>
      <c r="S739" s="12">
        <f t="shared" si="227"/>
        <v>-6.0757684060042888E-3</v>
      </c>
      <c r="T739" s="12">
        <f t="shared" si="228"/>
        <v>4.7061917542179726E-2</v>
      </c>
      <c r="U739" s="12">
        <f t="shared" si="169"/>
        <v>-3.7665178631637154E-4</v>
      </c>
      <c r="V739" s="12">
        <f t="shared" si="156"/>
        <v>-6.7441029306647611E-5</v>
      </c>
      <c r="W739" s="12">
        <f t="shared" si="157"/>
        <v>5.2238728471819501E-4</v>
      </c>
      <c r="X739" s="12">
        <f t="shared" si="158"/>
        <v>-5.2120463403778974E-3</v>
      </c>
      <c r="Y739" s="12">
        <f t="shared" si="159"/>
        <v>-9.3323802716225863E-4</v>
      </c>
      <c r="Z739" s="12">
        <f t="shared" si="160"/>
        <v>7.2287105344788051E-3</v>
      </c>
    </row>
    <row r="740" spans="1:26" ht="13">
      <c r="A740" s="24" t="str">
        <f t="shared" si="240"/>
        <v>PMG</v>
      </c>
      <c r="B740" s="9">
        <v>2020</v>
      </c>
      <c r="C740" s="19">
        <v>6.58</v>
      </c>
      <c r="D740" s="19">
        <v>699.07</v>
      </c>
      <c r="E740" s="19">
        <v>1488.64</v>
      </c>
      <c r="F740" s="19">
        <v>359.84</v>
      </c>
      <c r="G740" s="19">
        <v>574.9</v>
      </c>
      <c r="H740" s="10">
        <f t="shared" si="229"/>
        <v>4.4201418744625968E-3</v>
      </c>
      <c r="I740" s="10">
        <f t="shared" si="230"/>
        <v>0.46960312768701634</v>
      </c>
      <c r="J740" s="10">
        <f t="shared" si="231"/>
        <v>0.62591755087841361</v>
      </c>
      <c r="K740" s="4">
        <f t="shared" si="218"/>
        <v>-1.6456564808226022</v>
      </c>
      <c r="L740" s="10">
        <f t="shared" si="219"/>
        <v>0.46960312768701634</v>
      </c>
      <c r="M740" s="25">
        <v>32.93</v>
      </c>
      <c r="N740" s="25">
        <v>36.97</v>
      </c>
      <c r="O740" s="25">
        <v>-32.880000000000003</v>
      </c>
      <c r="P740" s="11">
        <v>3.5999999999999999E-3</v>
      </c>
      <c r="Q740" s="11">
        <f t="shared" si="241"/>
        <v>0.15359999999999999</v>
      </c>
      <c r="R740" s="12">
        <f t="shared" si="226"/>
        <v>2.2120861994840927E-2</v>
      </c>
      <c r="S740" s="12">
        <f t="shared" si="227"/>
        <v>2.4834748495270849E-2</v>
      </c>
      <c r="T740" s="12">
        <f t="shared" si="228"/>
        <v>-2.2087274290627686E-2</v>
      </c>
      <c r="U740" s="12">
        <f t="shared" si="169"/>
        <v>7.9635103181427329E-5</v>
      </c>
      <c r="V740" s="12">
        <f t="shared" si="156"/>
        <v>8.9405094582975053E-5</v>
      </c>
      <c r="W740" s="12">
        <f t="shared" si="157"/>
        <v>-7.951418744625967E-5</v>
      </c>
      <c r="X740" s="12">
        <f t="shared" si="158"/>
        <v>3.3977644024075662E-3</v>
      </c>
      <c r="Y740" s="12">
        <f t="shared" si="159"/>
        <v>3.814617368873602E-3</v>
      </c>
      <c r="Z740" s="12">
        <f t="shared" si="160"/>
        <v>-3.392605331040412E-3</v>
      </c>
    </row>
    <row r="741" spans="1:26" ht="13">
      <c r="A741" s="24" t="str">
        <f t="shared" si="240"/>
        <v>PMG</v>
      </c>
      <c r="B741" s="9">
        <v>2021</v>
      </c>
      <c r="C741" s="19">
        <v>-108.12</v>
      </c>
      <c r="D741" s="19">
        <v>1078.27</v>
      </c>
      <c r="E741" s="19">
        <v>1732.12</v>
      </c>
      <c r="F741" s="19">
        <v>632.66999999999996</v>
      </c>
      <c r="G741" s="19">
        <v>936.53</v>
      </c>
      <c r="H741" s="10">
        <f t="shared" si="229"/>
        <v>-6.2420617509179509E-2</v>
      </c>
      <c r="I741" s="10">
        <f t="shared" si="230"/>
        <v>0.62251460637831102</v>
      </c>
      <c r="J741" s="10">
        <f t="shared" si="231"/>
        <v>0.67554696592741292</v>
      </c>
      <c r="K741" s="4">
        <f t="shared" ref="K741:K804" si="242">-4.3 -4.5*(C741/E741)+5.7*(D741/E741)-0.004*(F741/G741)</f>
        <v>-0.47347615271602889</v>
      </c>
      <c r="L741" s="10">
        <f t="shared" ref="L741:L804" si="243">D741/E741</f>
        <v>0.62251460637831102</v>
      </c>
      <c r="M741" s="25">
        <v>-4.8899999999999997</v>
      </c>
      <c r="N741" s="25">
        <v>-314.43</v>
      </c>
      <c r="O741" s="25">
        <v>312.86</v>
      </c>
      <c r="P741" s="27">
        <v>3.5999999999999999E-3</v>
      </c>
      <c r="Q741" s="11">
        <f t="shared" si="241"/>
        <v>0.15359999999999999</v>
      </c>
      <c r="R741" s="12">
        <f t="shared" si="226"/>
        <v>-2.8231300371798721E-3</v>
      </c>
      <c r="S741" s="12">
        <f t="shared" si="227"/>
        <v>-0.1815289933722837</v>
      </c>
      <c r="T741" s="12">
        <f t="shared" si="228"/>
        <v>0.18062258965891512</v>
      </c>
      <c r="U741" s="12">
        <f t="shared" si="169"/>
        <v>-1.0163268133847539E-5</v>
      </c>
      <c r="V741" s="12">
        <f t="shared" si="156"/>
        <v>-6.5350437614022136E-4</v>
      </c>
      <c r="W741" s="12">
        <f t="shared" si="157"/>
        <v>6.502413227720944E-4</v>
      </c>
      <c r="X741" s="12">
        <f t="shared" si="158"/>
        <v>-4.336327737108283E-4</v>
      </c>
      <c r="Y741" s="12">
        <f t="shared" si="159"/>
        <v>-2.7882853381982774E-2</v>
      </c>
      <c r="Z741" s="12">
        <f t="shared" si="160"/>
        <v>2.7743629771609359E-2</v>
      </c>
    </row>
    <row r="742" spans="1:26" ht="13">
      <c r="A742" s="24" t="s">
        <v>165</v>
      </c>
      <c r="B742" s="9">
        <v>2017</v>
      </c>
      <c r="C742" s="19">
        <v>361.16</v>
      </c>
      <c r="D742" s="19">
        <v>1415.41</v>
      </c>
      <c r="E742" s="19">
        <v>1484.94</v>
      </c>
      <c r="F742" s="19">
        <v>1379.86</v>
      </c>
      <c r="G742" s="19">
        <v>1415.41</v>
      </c>
      <c r="H742" s="10">
        <f t="shared" si="229"/>
        <v>0.2432152140827239</v>
      </c>
      <c r="I742" s="10">
        <f t="shared" si="230"/>
        <v>0.9531765593222622</v>
      </c>
      <c r="J742" s="10">
        <f t="shared" si="231"/>
        <v>0.97488360263103968</v>
      </c>
      <c r="K742" s="4">
        <f t="shared" si="242"/>
        <v>3.473839035411274E-2</v>
      </c>
      <c r="L742" s="10">
        <f t="shared" si="243"/>
        <v>0.9531765593222622</v>
      </c>
      <c r="M742" s="25">
        <v>216.28</v>
      </c>
      <c r="N742" s="25">
        <v>-499</v>
      </c>
      <c r="O742" s="25">
        <v>304.20999999999998</v>
      </c>
      <c r="P742" s="11">
        <v>0.15989999999999999</v>
      </c>
      <c r="Q742" s="11">
        <v>0.18709999999999999</v>
      </c>
      <c r="R742" s="12">
        <f t="shared" si="226"/>
        <v>0.14564898245046937</v>
      </c>
      <c r="S742" s="12">
        <f t="shared" si="227"/>
        <v>-0.33604051342141766</v>
      </c>
      <c r="T742" s="12">
        <f t="shared" si="228"/>
        <v>0.20486349616819532</v>
      </c>
      <c r="U742" s="12">
        <f t="shared" si="169"/>
        <v>2.328927229383005E-2</v>
      </c>
      <c r="V742" s="12">
        <f t="shared" si="156"/>
        <v>-5.373287809608468E-2</v>
      </c>
      <c r="W742" s="12">
        <f t="shared" si="157"/>
        <v>3.2757673037294432E-2</v>
      </c>
      <c r="X742" s="12">
        <f t="shared" si="158"/>
        <v>2.7250924616482815E-2</v>
      </c>
      <c r="Y742" s="12">
        <f t="shared" si="159"/>
        <v>-6.2873180061147241E-2</v>
      </c>
      <c r="Z742" s="12">
        <f t="shared" si="160"/>
        <v>3.8329960133069343E-2</v>
      </c>
    </row>
    <row r="743" spans="1:26" ht="13">
      <c r="A743" s="24" t="str">
        <f t="shared" ref="A743:A746" si="244">A742</f>
        <v>PTB</v>
      </c>
      <c r="B743" s="9">
        <v>2018</v>
      </c>
      <c r="C743" s="19">
        <v>399.81</v>
      </c>
      <c r="D743" s="19">
        <v>2096.12</v>
      </c>
      <c r="E743" s="19">
        <v>1738.35</v>
      </c>
      <c r="F743" s="19">
        <v>1655.56</v>
      </c>
      <c r="G743" s="19">
        <v>2096.12</v>
      </c>
      <c r="H743" s="10">
        <f t="shared" si="229"/>
        <v>0.22999395978945553</v>
      </c>
      <c r="I743" s="10">
        <f t="shared" si="230"/>
        <v>1.2058101072856444</v>
      </c>
      <c r="J743" s="10">
        <f t="shared" si="231"/>
        <v>0.78982119344312351</v>
      </c>
      <c r="K743" s="4">
        <f t="shared" si="242"/>
        <v>1.5349855077018513</v>
      </c>
      <c r="L743" s="10">
        <f t="shared" si="243"/>
        <v>1.2058101072856444</v>
      </c>
      <c r="M743" s="25">
        <v>149.79</v>
      </c>
      <c r="N743" s="25">
        <v>-450.53</v>
      </c>
      <c r="O743" s="25">
        <v>312.12</v>
      </c>
      <c r="P743" s="27">
        <v>0.158</v>
      </c>
      <c r="Q743" s="11">
        <v>0.1822</v>
      </c>
      <c r="R743" s="12">
        <f t="shared" si="226"/>
        <v>8.61679178531366E-2</v>
      </c>
      <c r="S743" s="12">
        <f t="shared" si="227"/>
        <v>-0.25917105301003823</v>
      </c>
      <c r="T743" s="12">
        <f t="shared" si="228"/>
        <v>0.17954957287082579</v>
      </c>
      <c r="U743" s="12">
        <f t="shared" si="169"/>
        <v>1.3614531020795583E-2</v>
      </c>
      <c r="V743" s="12">
        <f t="shared" si="156"/>
        <v>-4.0949026375586041E-2</v>
      </c>
      <c r="W743" s="12">
        <f t="shared" si="157"/>
        <v>2.8368832513590476E-2</v>
      </c>
      <c r="X743" s="12">
        <f t="shared" si="158"/>
        <v>1.5699794632841487E-2</v>
      </c>
      <c r="Y743" s="12">
        <f t="shared" si="159"/>
        <v>-4.7220965858428963E-2</v>
      </c>
      <c r="Z743" s="12">
        <f t="shared" si="160"/>
        <v>3.2713932177064461E-2</v>
      </c>
    </row>
    <row r="744" spans="1:26" ht="13">
      <c r="A744" s="24" t="str">
        <f t="shared" si="244"/>
        <v>PTB</v>
      </c>
      <c r="B744" s="9">
        <v>2019</v>
      </c>
      <c r="C744" s="19">
        <v>456.8</v>
      </c>
      <c r="D744" s="19">
        <v>2440.61</v>
      </c>
      <c r="E744" s="19">
        <v>2483.1799999999998</v>
      </c>
      <c r="F744" s="19">
        <v>2203.42</v>
      </c>
      <c r="G744" s="19">
        <v>2440.61</v>
      </c>
      <c r="H744" s="10">
        <f t="shared" si="229"/>
        <v>0.18395766718481948</v>
      </c>
      <c r="I744" s="10">
        <f t="shared" si="230"/>
        <v>0.98285665960582813</v>
      </c>
      <c r="J744" s="10">
        <f t="shared" si="231"/>
        <v>0.90281527978661069</v>
      </c>
      <c r="K744" s="4">
        <f t="shared" si="242"/>
        <v>0.47086219630238679</v>
      </c>
      <c r="L744" s="10">
        <f t="shared" si="243"/>
        <v>0.98285665960582813</v>
      </c>
      <c r="M744" s="25">
        <v>223.29</v>
      </c>
      <c r="N744" s="25">
        <v>-500.82</v>
      </c>
      <c r="O744" s="25">
        <v>336.94</v>
      </c>
      <c r="P744" s="28">
        <v>0.23</v>
      </c>
      <c r="Q744" s="11">
        <v>0.1832</v>
      </c>
      <c r="R744" s="12">
        <f t="shared" si="226"/>
        <v>8.9920988410022634E-2</v>
      </c>
      <c r="S744" s="12">
        <f t="shared" si="227"/>
        <v>-0.2016849362510974</v>
      </c>
      <c r="T744" s="12">
        <f t="shared" si="228"/>
        <v>0.13568891502025629</v>
      </c>
      <c r="U744" s="12">
        <f t="shared" si="169"/>
        <v>2.0681827334305208E-2</v>
      </c>
      <c r="V744" s="12">
        <f t="shared" si="156"/>
        <v>-4.6387535337752403E-2</v>
      </c>
      <c r="W744" s="12">
        <f t="shared" si="157"/>
        <v>3.1208450454658948E-2</v>
      </c>
      <c r="X744" s="12">
        <f t="shared" si="158"/>
        <v>1.6473525076716147E-2</v>
      </c>
      <c r="Y744" s="12">
        <f t="shared" si="159"/>
        <v>-3.6948680321201043E-2</v>
      </c>
      <c r="Z744" s="12">
        <f t="shared" si="160"/>
        <v>2.4858209231710952E-2</v>
      </c>
    </row>
    <row r="745" spans="1:26" ht="13">
      <c r="A745" s="24" t="str">
        <f t="shared" si="244"/>
        <v>PTB</v>
      </c>
      <c r="B745" s="9">
        <v>2020</v>
      </c>
      <c r="C745" s="19">
        <v>379.31</v>
      </c>
      <c r="D745" s="19">
        <v>2738.23</v>
      </c>
      <c r="E745" s="19">
        <v>2783.13</v>
      </c>
      <c r="F745" s="19">
        <v>2462.2800000000002</v>
      </c>
      <c r="G745" s="19">
        <v>2738.23</v>
      </c>
      <c r="H745" s="10">
        <f t="shared" si="229"/>
        <v>0.13628899835796388</v>
      </c>
      <c r="I745" s="10">
        <f t="shared" si="230"/>
        <v>0.98386708490081309</v>
      </c>
      <c r="J745" s="10">
        <f t="shared" si="231"/>
        <v>0.8992232208397396</v>
      </c>
      <c r="K745" s="4">
        <f t="shared" si="242"/>
        <v>0.69114499844043853</v>
      </c>
      <c r="L745" s="10">
        <f t="shared" si="243"/>
        <v>0.98386708490081309</v>
      </c>
      <c r="M745" s="25">
        <v>829.73</v>
      </c>
      <c r="N745" s="25">
        <v>-497.57</v>
      </c>
      <c r="O745" s="25">
        <v>-290.97000000000003</v>
      </c>
      <c r="P745" s="11">
        <v>0.17269999999999999</v>
      </c>
      <c r="Q745" s="11">
        <v>0.19320000000000001</v>
      </c>
      <c r="R745" s="12">
        <f t="shared" si="226"/>
        <v>0.29812836626388273</v>
      </c>
      <c r="S745" s="12">
        <f t="shared" si="227"/>
        <v>-0.17878072529849484</v>
      </c>
      <c r="T745" s="12">
        <f t="shared" si="228"/>
        <v>-0.10454775738107815</v>
      </c>
      <c r="U745" s="12">
        <f t="shared" si="169"/>
        <v>5.1486768853772548E-2</v>
      </c>
      <c r="V745" s="12">
        <f t="shared" si="156"/>
        <v>-3.0875431259050058E-2</v>
      </c>
      <c r="W745" s="12">
        <f t="shared" si="157"/>
        <v>-1.8055397699712195E-2</v>
      </c>
      <c r="X745" s="12">
        <f t="shared" si="158"/>
        <v>5.7598400362182146E-2</v>
      </c>
      <c r="Y745" s="12">
        <f t="shared" si="159"/>
        <v>-3.4540436127669202E-2</v>
      </c>
      <c r="Z745" s="12">
        <f t="shared" si="160"/>
        <v>-2.01986267260243E-2</v>
      </c>
    </row>
    <row r="746" spans="1:26" ht="13">
      <c r="A746" s="24" t="str">
        <f t="shared" si="244"/>
        <v>PTB</v>
      </c>
      <c r="B746" s="9">
        <v>2021</v>
      </c>
      <c r="C746" s="19">
        <v>525.89</v>
      </c>
      <c r="D746" s="19">
        <v>3179.84</v>
      </c>
      <c r="E746" s="19">
        <v>3040.14</v>
      </c>
      <c r="F746" s="19">
        <v>2664.56</v>
      </c>
      <c r="G746" s="19">
        <v>3179.84</v>
      </c>
      <c r="H746" s="10">
        <f t="shared" si="229"/>
        <v>0.17298216529501931</v>
      </c>
      <c r="I746" s="10">
        <f t="shared" si="230"/>
        <v>1.0459518311656701</v>
      </c>
      <c r="J746" s="10">
        <f t="shared" si="231"/>
        <v>0.83795411089866156</v>
      </c>
      <c r="K746" s="4">
        <f t="shared" si="242"/>
        <v>0.88015387737313877</v>
      </c>
      <c r="L746" s="10">
        <f t="shared" si="243"/>
        <v>1.0459518311656701</v>
      </c>
      <c r="M746" s="25">
        <v>159.53</v>
      </c>
      <c r="N746" s="25">
        <v>-363.03</v>
      </c>
      <c r="O746" s="25">
        <v>171.68</v>
      </c>
      <c r="P746" s="27">
        <v>0.215</v>
      </c>
      <c r="Q746" s="11">
        <v>0.2029</v>
      </c>
      <c r="R746" s="12">
        <f t="shared" si="226"/>
        <v>5.2474557092765467E-2</v>
      </c>
      <c r="S746" s="12">
        <f t="shared" si="227"/>
        <v>-0.11941226390889893</v>
      </c>
      <c r="T746" s="12">
        <f t="shared" si="228"/>
        <v>5.6471083568519875E-2</v>
      </c>
      <c r="U746" s="12">
        <f t="shared" si="169"/>
        <v>1.1282029774944574E-2</v>
      </c>
      <c r="V746" s="12">
        <f t="shared" si="156"/>
        <v>-2.5673636740413269E-2</v>
      </c>
      <c r="W746" s="12">
        <f t="shared" si="157"/>
        <v>1.2141282967231774E-2</v>
      </c>
      <c r="X746" s="12">
        <f t="shared" si="158"/>
        <v>1.0647087634122114E-2</v>
      </c>
      <c r="Y746" s="12">
        <f t="shared" si="159"/>
        <v>-2.4228748347115595E-2</v>
      </c>
      <c r="Z746" s="12">
        <f t="shared" si="160"/>
        <v>1.1457982856052682E-2</v>
      </c>
    </row>
    <row r="747" spans="1:26" ht="13">
      <c r="A747" s="24" t="s">
        <v>166</v>
      </c>
      <c r="B747" s="9">
        <v>2017</v>
      </c>
      <c r="C747" s="19">
        <v>2.56</v>
      </c>
      <c r="D747" s="19">
        <v>359.3</v>
      </c>
      <c r="E747" s="19">
        <v>593.11</v>
      </c>
      <c r="F747" s="19">
        <v>420.91</v>
      </c>
      <c r="G747" s="19">
        <v>157.96</v>
      </c>
      <c r="H747" s="10">
        <f t="shared" si="229"/>
        <v>4.3162313904671987E-3</v>
      </c>
      <c r="I747" s="10">
        <f t="shared" si="230"/>
        <v>0.6057898197636189</v>
      </c>
      <c r="J747" s="10">
        <f t="shared" si="231"/>
        <v>2.6646619397315776</v>
      </c>
      <c r="K747" s="4">
        <f t="shared" si="242"/>
        <v>-0.87707971636340076</v>
      </c>
      <c r="L747" s="10">
        <f t="shared" si="243"/>
        <v>0.6057898197636189</v>
      </c>
      <c r="M747" s="25">
        <v>-25.47</v>
      </c>
      <c r="N747" s="25">
        <v>-46.22</v>
      </c>
      <c r="O747" s="25">
        <v>50.29</v>
      </c>
      <c r="P747" s="11">
        <v>4.1999999999999997E-3</v>
      </c>
      <c r="Q747" s="11">
        <v>0</v>
      </c>
      <c r="R747" s="12">
        <f t="shared" si="226"/>
        <v>-4.2943130279374818E-2</v>
      </c>
      <c r="S747" s="12">
        <f t="shared" si="227"/>
        <v>-7.7928208932575738E-2</v>
      </c>
      <c r="T747" s="12">
        <f t="shared" si="228"/>
        <v>8.4790342432263827E-2</v>
      </c>
      <c r="U747" s="12">
        <f t="shared" si="169"/>
        <v>-1.8036114717337421E-4</v>
      </c>
      <c r="V747" s="12">
        <f t="shared" si="156"/>
        <v>-3.2729847751681809E-4</v>
      </c>
      <c r="W747" s="12">
        <f t="shared" si="157"/>
        <v>3.5611943821550805E-4</v>
      </c>
      <c r="X747" s="12">
        <f t="shared" si="158"/>
        <v>0</v>
      </c>
      <c r="Y747" s="12">
        <f t="shared" si="159"/>
        <v>0</v>
      </c>
      <c r="Z747" s="12">
        <f t="shared" si="160"/>
        <v>0</v>
      </c>
    </row>
    <row r="748" spans="1:26" ht="13">
      <c r="A748" s="24" t="str">
        <f t="shared" ref="A748:A751" si="245">A747</f>
        <v>PTC</v>
      </c>
      <c r="B748" s="9">
        <v>2018</v>
      </c>
      <c r="C748" s="19">
        <v>-53.18</v>
      </c>
      <c r="D748" s="19">
        <v>310.76</v>
      </c>
      <c r="E748" s="19">
        <v>481.53</v>
      </c>
      <c r="F748" s="19">
        <v>355.03</v>
      </c>
      <c r="G748" s="19">
        <v>308.99</v>
      </c>
      <c r="H748" s="10">
        <f t="shared" si="229"/>
        <v>-0.11043964031316844</v>
      </c>
      <c r="I748" s="10">
        <f t="shared" si="230"/>
        <v>0.64535958299586738</v>
      </c>
      <c r="J748" s="10">
        <f t="shared" si="231"/>
        <v>1.1490015858118385</v>
      </c>
      <c r="K748" s="4">
        <f t="shared" si="242"/>
        <v>-0.12906800185754524</v>
      </c>
      <c r="L748" s="10">
        <f t="shared" si="243"/>
        <v>0.64535958299586738</v>
      </c>
      <c r="M748" s="25">
        <v>-76.930000000000007</v>
      </c>
      <c r="N748" s="25">
        <v>-13.71</v>
      </c>
      <c r="O748" s="25">
        <v>66.400000000000006</v>
      </c>
      <c r="P748" s="11">
        <v>3.3999999999999998E-3</v>
      </c>
      <c r="Q748" s="11">
        <v>0</v>
      </c>
      <c r="R748" s="12">
        <f t="shared" si="226"/>
        <v>-0.15976159325483358</v>
      </c>
      <c r="S748" s="12">
        <f t="shared" si="227"/>
        <v>-2.8471746308641209E-2</v>
      </c>
      <c r="T748" s="12">
        <f t="shared" si="228"/>
        <v>0.13789379685585532</v>
      </c>
      <c r="U748" s="12">
        <f t="shared" si="169"/>
        <v>-5.4318941706643414E-4</v>
      </c>
      <c r="V748" s="12">
        <f t="shared" si="156"/>
        <v>-9.6803937449380101E-5</v>
      </c>
      <c r="W748" s="12">
        <f t="shared" si="157"/>
        <v>4.6883890930990804E-4</v>
      </c>
      <c r="X748" s="12">
        <f t="shared" si="158"/>
        <v>0</v>
      </c>
      <c r="Y748" s="12">
        <f t="shared" si="159"/>
        <v>0</v>
      </c>
      <c r="Z748" s="12">
        <f t="shared" si="160"/>
        <v>0</v>
      </c>
    </row>
    <row r="749" spans="1:26" ht="13">
      <c r="A749" s="24" t="str">
        <f t="shared" si="245"/>
        <v>PTC</v>
      </c>
      <c r="B749" s="9">
        <v>2019</v>
      </c>
      <c r="C749" s="19">
        <v>62.41</v>
      </c>
      <c r="D749" s="19">
        <v>57.74</v>
      </c>
      <c r="E749" s="19">
        <v>296.23</v>
      </c>
      <c r="F749" s="19">
        <v>163.31</v>
      </c>
      <c r="G749" s="19">
        <v>57.63</v>
      </c>
      <c r="H749" s="10">
        <f t="shared" si="229"/>
        <v>0.21068088984910371</v>
      </c>
      <c r="I749" s="10">
        <f t="shared" si="230"/>
        <v>0.19491611248016744</v>
      </c>
      <c r="J749" s="10">
        <f t="shared" si="231"/>
        <v>2.833767135172653</v>
      </c>
      <c r="K749" s="4">
        <f t="shared" si="242"/>
        <v>-4.1483772317247016</v>
      </c>
      <c r="L749" s="10">
        <f t="shared" si="243"/>
        <v>0.19491611248016744</v>
      </c>
      <c r="M749" s="25">
        <v>287.3</v>
      </c>
      <c r="N749" s="25">
        <v>-28.13</v>
      </c>
      <c r="O749" s="25">
        <v>-259</v>
      </c>
      <c r="P749" s="11">
        <v>3.0999999999999999E-3</v>
      </c>
      <c r="Q749" s="11">
        <v>0</v>
      </c>
      <c r="R749" s="12">
        <f t="shared" si="226"/>
        <v>0.96985450494548153</v>
      </c>
      <c r="S749" s="12">
        <f t="shared" si="227"/>
        <v>-9.4959997299395735E-2</v>
      </c>
      <c r="T749" s="12">
        <f t="shared" si="228"/>
        <v>-0.87432062924079257</v>
      </c>
      <c r="U749" s="12">
        <f t="shared" si="169"/>
        <v>3.0065489653309926E-3</v>
      </c>
      <c r="V749" s="12">
        <f t="shared" si="156"/>
        <v>-2.9437599162812677E-4</v>
      </c>
      <c r="W749" s="12">
        <f t="shared" si="157"/>
        <v>-2.7103939506464567E-3</v>
      </c>
      <c r="X749" s="12">
        <f t="shared" si="158"/>
        <v>0</v>
      </c>
      <c r="Y749" s="12">
        <f t="shared" si="159"/>
        <v>0</v>
      </c>
      <c r="Z749" s="12">
        <f t="shared" si="160"/>
        <v>0</v>
      </c>
    </row>
    <row r="750" spans="1:26" ht="13">
      <c r="A750" s="24" t="str">
        <f t="shared" si="245"/>
        <v>PTC</v>
      </c>
      <c r="B750" s="9">
        <v>2020</v>
      </c>
      <c r="C750" s="19">
        <v>58.32</v>
      </c>
      <c r="D750" s="19">
        <v>41.71</v>
      </c>
      <c r="E750" s="19">
        <v>304.42</v>
      </c>
      <c r="F750" s="19">
        <v>148.33000000000001</v>
      </c>
      <c r="G750" s="19">
        <v>41.66</v>
      </c>
      <c r="H750" s="10">
        <f t="shared" si="229"/>
        <v>0.19157742592470928</v>
      </c>
      <c r="I750" s="10">
        <f t="shared" si="230"/>
        <v>0.13701465081137901</v>
      </c>
      <c r="J750" s="10">
        <f t="shared" si="231"/>
        <v>3.5604896783485365</v>
      </c>
      <c r="K750" s="4">
        <f t="shared" si="242"/>
        <v>-4.3953568657497248</v>
      </c>
      <c r="L750" s="10">
        <f t="shared" si="243"/>
        <v>0.13701465081137901</v>
      </c>
      <c r="M750" s="25">
        <v>-30.48</v>
      </c>
      <c r="N750" s="25">
        <v>40.590000000000003</v>
      </c>
      <c r="O750" s="25">
        <v>-9.5399999999999991</v>
      </c>
      <c r="P750" s="11">
        <v>3.3E-3</v>
      </c>
      <c r="Q750" s="11">
        <v>0</v>
      </c>
      <c r="R750" s="12">
        <f t="shared" si="226"/>
        <v>-0.10012482754089744</v>
      </c>
      <c r="S750" s="12">
        <f t="shared" si="227"/>
        <v>0.13333552329019119</v>
      </c>
      <c r="T750" s="12">
        <f t="shared" si="228"/>
        <v>-3.133828263583207E-2</v>
      </c>
      <c r="U750" s="12">
        <f t="shared" si="169"/>
        <v>-3.3041193088496153E-4</v>
      </c>
      <c r="V750" s="12">
        <f t="shared" si="156"/>
        <v>4.400072268576309E-4</v>
      </c>
      <c r="W750" s="12">
        <f t="shared" si="157"/>
        <v>-1.0341633269824583E-4</v>
      </c>
      <c r="X750" s="12">
        <f t="shared" si="158"/>
        <v>0</v>
      </c>
      <c r="Y750" s="12">
        <f t="shared" si="159"/>
        <v>0</v>
      </c>
      <c r="Z750" s="12">
        <f t="shared" si="160"/>
        <v>0</v>
      </c>
    </row>
    <row r="751" spans="1:26" ht="13">
      <c r="A751" s="24" t="str">
        <f t="shared" si="245"/>
        <v>PTC</v>
      </c>
      <c r="B751" s="9">
        <v>2021</v>
      </c>
      <c r="C751" s="19">
        <v>57.05</v>
      </c>
      <c r="D751" s="19">
        <v>210.51</v>
      </c>
      <c r="E751" s="19">
        <v>557.54</v>
      </c>
      <c r="F751" s="19">
        <v>224.01</v>
      </c>
      <c r="G751" s="19">
        <v>210.51</v>
      </c>
      <c r="H751" s="10">
        <f t="shared" si="229"/>
        <v>0.10232449689708362</v>
      </c>
      <c r="I751" s="10">
        <f t="shared" si="230"/>
        <v>0.37756932238045704</v>
      </c>
      <c r="J751" s="10">
        <f t="shared" si="231"/>
        <v>1.0641299700726807</v>
      </c>
      <c r="K751" s="4">
        <f t="shared" si="242"/>
        <v>-2.6125716183485617</v>
      </c>
      <c r="L751" s="10">
        <f t="shared" si="243"/>
        <v>0.37756932238045704</v>
      </c>
      <c r="M751" s="25">
        <v>47.19</v>
      </c>
      <c r="N751" s="25">
        <v>0.82</v>
      </c>
      <c r="O751" s="25">
        <v>26.23</v>
      </c>
      <c r="P751" s="11">
        <v>3.8E-3</v>
      </c>
      <c r="Q751" s="11">
        <v>0</v>
      </c>
      <c r="R751" s="12">
        <f t="shared" si="226"/>
        <v>8.4639667109086339E-2</v>
      </c>
      <c r="S751" s="12">
        <f t="shared" si="227"/>
        <v>1.4707464935251283E-3</v>
      </c>
      <c r="T751" s="12">
        <f t="shared" si="228"/>
        <v>4.7045951859956241E-2</v>
      </c>
      <c r="U751" s="12">
        <f t="shared" si="169"/>
        <v>3.2163073501452808E-4</v>
      </c>
      <c r="V751" s="12">
        <f t="shared" si="156"/>
        <v>5.5888366753954872E-6</v>
      </c>
      <c r="W751" s="12">
        <f t="shared" si="157"/>
        <v>1.7877461706783371E-4</v>
      </c>
      <c r="X751" s="12">
        <f t="shared" si="158"/>
        <v>0</v>
      </c>
      <c r="Y751" s="12">
        <f t="shared" si="159"/>
        <v>0</v>
      </c>
      <c r="Z751" s="12">
        <f t="shared" si="160"/>
        <v>0</v>
      </c>
    </row>
    <row r="752" spans="1:26" ht="13">
      <c r="A752" s="24" t="s">
        <v>167</v>
      </c>
      <c r="B752" s="9">
        <v>2017</v>
      </c>
      <c r="C752" s="19">
        <v>72.010000000000005</v>
      </c>
      <c r="D752" s="19">
        <v>1850.76</v>
      </c>
      <c r="E752" s="19">
        <v>2943.21</v>
      </c>
      <c r="F752" s="19">
        <v>1016.71</v>
      </c>
      <c r="G752" s="19">
        <v>679.19</v>
      </c>
      <c r="H752" s="10">
        <f t="shared" si="229"/>
        <v>2.4466483873050174E-2</v>
      </c>
      <c r="I752" s="10">
        <f t="shared" si="230"/>
        <v>0.6288236313412906</v>
      </c>
      <c r="J752" s="10">
        <f t="shared" si="231"/>
        <v>1.4969448902368998</v>
      </c>
      <c r="K752" s="4">
        <f t="shared" si="242"/>
        <v>-0.8317922583443168</v>
      </c>
      <c r="L752" s="10">
        <f t="shared" si="243"/>
        <v>0.6288236313412906</v>
      </c>
      <c r="M752" s="25">
        <v>198.64</v>
      </c>
      <c r="N752" s="25">
        <v>231.07</v>
      </c>
      <c r="O752" s="25">
        <v>-279</v>
      </c>
      <c r="P752" s="11">
        <v>0</v>
      </c>
      <c r="Q752" s="11">
        <v>0</v>
      </c>
      <c r="R752" s="12">
        <f t="shared" si="226"/>
        <v>6.7490936766319759E-2</v>
      </c>
      <c r="S752" s="12">
        <f t="shared" si="227"/>
        <v>7.8509518518896038E-2</v>
      </c>
      <c r="T752" s="12">
        <f t="shared" si="228"/>
        <v>-9.4794459110970675E-2</v>
      </c>
      <c r="U752" s="12">
        <f t="shared" si="169"/>
        <v>0</v>
      </c>
      <c r="V752" s="12">
        <f t="shared" si="156"/>
        <v>0</v>
      </c>
      <c r="W752" s="12">
        <f t="shared" si="157"/>
        <v>0</v>
      </c>
      <c r="X752" s="12">
        <f t="shared" si="158"/>
        <v>0</v>
      </c>
      <c r="Y752" s="12">
        <f t="shared" si="159"/>
        <v>0</v>
      </c>
      <c r="Z752" s="12">
        <f t="shared" si="160"/>
        <v>0</v>
      </c>
    </row>
    <row r="753" spans="1:26" ht="13">
      <c r="A753" s="24" t="str">
        <f t="shared" ref="A753:A756" si="246">A752</f>
        <v>PVP</v>
      </c>
      <c r="B753" s="9">
        <v>2018</v>
      </c>
      <c r="C753" s="19">
        <v>181.39</v>
      </c>
      <c r="D753" s="19">
        <v>1583.75</v>
      </c>
      <c r="E753" s="19">
        <v>2853.49</v>
      </c>
      <c r="F753" s="19">
        <v>1182.27</v>
      </c>
      <c r="G753" s="19">
        <v>697.99</v>
      </c>
      <c r="H753" s="10">
        <f t="shared" si="229"/>
        <v>6.3567771395729444E-2</v>
      </c>
      <c r="I753" s="10">
        <f t="shared" si="230"/>
        <v>0.55502209574941563</v>
      </c>
      <c r="J753" s="10">
        <f t="shared" si="231"/>
        <v>1.69382082837863</v>
      </c>
      <c r="K753" s="4">
        <f t="shared" si="242"/>
        <v>-1.4292043088226283</v>
      </c>
      <c r="L753" s="10">
        <f t="shared" si="243"/>
        <v>0.55502209574941563</v>
      </c>
      <c r="M753" s="25">
        <v>225.03</v>
      </c>
      <c r="N753" s="25">
        <v>27.65</v>
      </c>
      <c r="O753" s="25">
        <v>-266.66000000000003</v>
      </c>
      <c r="P753" s="11">
        <v>1E-4</v>
      </c>
      <c r="Q753" s="11">
        <v>0</v>
      </c>
      <c r="R753" s="12">
        <f t="shared" si="226"/>
        <v>7.8861324202993535E-2</v>
      </c>
      <c r="S753" s="12">
        <f t="shared" si="227"/>
        <v>9.689888522475985E-3</v>
      </c>
      <c r="T753" s="12">
        <f t="shared" si="228"/>
        <v>-9.3450476434121035E-2</v>
      </c>
      <c r="U753" s="12">
        <f t="shared" si="169"/>
        <v>7.8861324202993542E-6</v>
      </c>
      <c r="V753" s="12">
        <f t="shared" si="156"/>
        <v>9.6898885224759849E-7</v>
      </c>
      <c r="W753" s="12">
        <f t="shared" si="157"/>
        <v>-9.3450476434121032E-6</v>
      </c>
      <c r="X753" s="12">
        <f t="shared" si="158"/>
        <v>0</v>
      </c>
      <c r="Y753" s="12">
        <f t="shared" si="159"/>
        <v>0</v>
      </c>
      <c r="Z753" s="12">
        <f t="shared" si="160"/>
        <v>0</v>
      </c>
    </row>
    <row r="754" spans="1:26" ht="13">
      <c r="A754" s="24" t="str">
        <f t="shared" si="246"/>
        <v>PVP</v>
      </c>
      <c r="B754" s="9">
        <v>2019</v>
      </c>
      <c r="C754" s="19">
        <v>150.77000000000001</v>
      </c>
      <c r="D754" s="19">
        <v>1276.96</v>
      </c>
      <c r="E754" s="19">
        <v>2597.2600000000002</v>
      </c>
      <c r="F754" s="19">
        <v>782.14</v>
      </c>
      <c r="G754" s="19">
        <v>686.52</v>
      </c>
      <c r="H754" s="10">
        <f t="shared" si="229"/>
        <v>5.8049636925067184E-2</v>
      </c>
      <c r="I754" s="10">
        <f t="shared" si="230"/>
        <v>0.49165659194689787</v>
      </c>
      <c r="J754" s="10">
        <f t="shared" si="231"/>
        <v>1.139282176775622</v>
      </c>
      <c r="K754" s="4">
        <f t="shared" si="242"/>
        <v>-1.763337920772587</v>
      </c>
      <c r="L754" s="10">
        <f t="shared" si="243"/>
        <v>0.49165659194689787</v>
      </c>
      <c r="M754" s="25">
        <v>323.95</v>
      </c>
      <c r="N754" s="25">
        <v>-660.47</v>
      </c>
      <c r="O754" s="25">
        <v>-105.77</v>
      </c>
      <c r="P754" s="11">
        <v>1E-4</v>
      </c>
      <c r="Q754" s="11">
        <f>Q753</f>
        <v>0</v>
      </c>
      <c r="R754" s="12">
        <f t="shared" si="226"/>
        <v>0.12472759754510521</v>
      </c>
      <c r="S754" s="12">
        <f t="shared" si="227"/>
        <v>-0.2542949107906024</v>
      </c>
      <c r="T754" s="12">
        <f t="shared" si="228"/>
        <v>-4.0723685730346591E-2</v>
      </c>
      <c r="U754" s="12">
        <f t="shared" si="169"/>
        <v>1.2472759754510522E-5</v>
      </c>
      <c r="V754" s="12">
        <f t="shared" si="156"/>
        <v>-2.5429491079060242E-5</v>
      </c>
      <c r="W754" s="12">
        <f t="shared" si="157"/>
        <v>-4.0723685730346593E-6</v>
      </c>
      <c r="X754" s="12">
        <f t="shared" si="158"/>
        <v>0</v>
      </c>
      <c r="Y754" s="12">
        <f t="shared" si="159"/>
        <v>0</v>
      </c>
      <c r="Z754" s="12">
        <f t="shared" si="160"/>
        <v>0</v>
      </c>
    </row>
    <row r="755" spans="1:26" ht="13">
      <c r="A755" s="24" t="str">
        <f t="shared" si="246"/>
        <v>PVP</v>
      </c>
      <c r="B755" s="9">
        <v>2020</v>
      </c>
      <c r="C755" s="19">
        <v>230.74</v>
      </c>
      <c r="D755" s="19">
        <v>937.26</v>
      </c>
      <c r="E755" s="19">
        <v>2386.48</v>
      </c>
      <c r="F755" s="19">
        <v>839.31</v>
      </c>
      <c r="G755" s="19">
        <v>403.09</v>
      </c>
      <c r="H755" s="10">
        <f t="shared" si="229"/>
        <v>9.6686333009285641E-2</v>
      </c>
      <c r="I755" s="10">
        <f t="shared" si="230"/>
        <v>0.39273742080386176</v>
      </c>
      <c r="J755" s="10">
        <f t="shared" si="231"/>
        <v>2.0821900816194896</v>
      </c>
      <c r="K755" s="4">
        <f t="shared" si="242"/>
        <v>-2.5048139602862509</v>
      </c>
      <c r="L755" s="10">
        <f t="shared" si="243"/>
        <v>0.39273742080386176</v>
      </c>
      <c r="M755" s="25">
        <v>378.55</v>
      </c>
      <c r="N755" s="25">
        <v>293.72000000000003</v>
      </c>
      <c r="O755" s="25">
        <v>-540.85</v>
      </c>
      <c r="P755" s="11">
        <v>3.5999999999999999E-3</v>
      </c>
      <c r="Q755" s="11">
        <v>0</v>
      </c>
      <c r="R755" s="12">
        <f t="shared" si="226"/>
        <v>0.15862274144346486</v>
      </c>
      <c r="S755" s="12">
        <f t="shared" si="227"/>
        <v>0.12307666521403909</v>
      </c>
      <c r="T755" s="12">
        <f t="shared" si="228"/>
        <v>-0.2266308538097952</v>
      </c>
      <c r="U755" s="12">
        <f t="shared" si="169"/>
        <v>5.7104186919647347E-4</v>
      </c>
      <c r="V755" s="12">
        <f t="shared" si="156"/>
        <v>4.430759947705407E-4</v>
      </c>
      <c r="W755" s="12">
        <f t="shared" si="157"/>
        <v>-8.1587107371526265E-4</v>
      </c>
      <c r="X755" s="12">
        <f t="shared" si="158"/>
        <v>0</v>
      </c>
      <c r="Y755" s="12">
        <f t="shared" si="159"/>
        <v>0</v>
      </c>
      <c r="Z755" s="12">
        <f t="shared" si="160"/>
        <v>0</v>
      </c>
    </row>
    <row r="756" spans="1:26" ht="13">
      <c r="A756" s="24" t="str">
        <f t="shared" si="246"/>
        <v>PVP</v>
      </c>
      <c r="B756" s="9">
        <v>2021</v>
      </c>
      <c r="C756" s="19">
        <v>192.95</v>
      </c>
      <c r="D756" s="19">
        <v>761.92</v>
      </c>
      <c r="E756" s="19">
        <v>2300.59</v>
      </c>
      <c r="F756" s="19">
        <v>947.64</v>
      </c>
      <c r="G756" s="19">
        <v>371.6</v>
      </c>
      <c r="H756" s="10">
        <f t="shared" si="229"/>
        <v>8.386978992345441E-2</v>
      </c>
      <c r="I756" s="10">
        <f t="shared" si="230"/>
        <v>0.33118460916547493</v>
      </c>
      <c r="J756" s="10">
        <f t="shared" si="231"/>
        <v>2.5501614639397201</v>
      </c>
      <c r="K756" s="4">
        <f t="shared" si="242"/>
        <v>-2.7998624282680962</v>
      </c>
      <c r="L756" s="10">
        <f t="shared" si="243"/>
        <v>0.33118460916547493</v>
      </c>
      <c r="M756" s="25">
        <v>183.04</v>
      </c>
      <c r="N756" s="25">
        <v>97.23</v>
      </c>
      <c r="O756" s="25">
        <v>-215.81</v>
      </c>
      <c r="P756" s="11">
        <f t="shared" ref="P756:Q756" si="247">P755</f>
        <v>3.5999999999999999E-3</v>
      </c>
      <c r="Q756" s="11">
        <f t="shared" si="247"/>
        <v>0</v>
      </c>
      <c r="R756" s="12">
        <f t="shared" si="226"/>
        <v>7.9562199261928451E-2</v>
      </c>
      <c r="S756" s="12">
        <f t="shared" si="227"/>
        <v>4.2263071646838415E-2</v>
      </c>
      <c r="T756" s="12">
        <f t="shared" si="228"/>
        <v>-9.3806371409073316E-2</v>
      </c>
      <c r="U756" s="12">
        <f t="shared" si="169"/>
        <v>2.8642391734294239E-4</v>
      </c>
      <c r="V756" s="12">
        <f t="shared" si="156"/>
        <v>1.521470579286183E-4</v>
      </c>
      <c r="W756" s="12">
        <f t="shared" si="157"/>
        <v>-3.3770293707266393E-4</v>
      </c>
      <c r="X756" s="12">
        <f t="shared" si="158"/>
        <v>0</v>
      </c>
      <c r="Y756" s="12">
        <f t="shared" si="159"/>
        <v>0</v>
      </c>
      <c r="Z756" s="12">
        <f t="shared" si="160"/>
        <v>0</v>
      </c>
    </row>
    <row r="757" spans="1:26" ht="13">
      <c r="A757" s="24" t="s">
        <v>168</v>
      </c>
      <c r="B757" s="9">
        <v>2017</v>
      </c>
      <c r="C757" s="19">
        <v>214.31</v>
      </c>
      <c r="D757" s="19">
        <v>1642.04</v>
      </c>
      <c r="E757" s="19">
        <v>2380.85</v>
      </c>
      <c r="F757" s="19">
        <v>2178.61</v>
      </c>
      <c r="G757" s="19">
        <v>1641.21</v>
      </c>
      <c r="H757" s="10">
        <f t="shared" si="229"/>
        <v>9.0014070605036023E-2</v>
      </c>
      <c r="I757" s="10">
        <f t="shared" si="230"/>
        <v>0.68968645651763028</v>
      </c>
      <c r="J757" s="10">
        <f t="shared" si="231"/>
        <v>1.3274413390120705</v>
      </c>
      <c r="K757" s="4">
        <f t="shared" si="242"/>
        <v>-0.77916028092821721</v>
      </c>
      <c r="L757" s="10">
        <f t="shared" si="243"/>
        <v>0.68968645651763028</v>
      </c>
      <c r="M757" s="25">
        <v>36.119999999999997</v>
      </c>
      <c r="N757" s="25">
        <v>-31.81</v>
      </c>
      <c r="O757" s="25">
        <v>31.78</v>
      </c>
      <c r="P757" s="27">
        <v>4.6199999999999998E-2</v>
      </c>
      <c r="Q757" s="11">
        <v>2.802E-2</v>
      </c>
      <c r="R757" s="12">
        <f t="shared" si="226"/>
        <v>1.5171052355251275E-2</v>
      </c>
      <c r="S757" s="12">
        <f t="shared" si="227"/>
        <v>-1.3360774513304072E-2</v>
      </c>
      <c r="T757" s="12">
        <f t="shared" si="228"/>
        <v>1.3348173971480774E-2</v>
      </c>
      <c r="U757" s="12">
        <f t="shared" si="169"/>
        <v>7.0090261881260889E-4</v>
      </c>
      <c r="V757" s="12">
        <f t="shared" ref="V757:V1011" si="248">S757*P757</f>
        <v>-6.1726778251464803E-4</v>
      </c>
      <c r="W757" s="12">
        <f t="shared" ref="W757:W1011" si="249">T757*P757</f>
        <v>6.1668563748241176E-4</v>
      </c>
      <c r="X757" s="12">
        <f t="shared" ref="X757:X1011" si="250">R757*Q757</f>
        <v>4.2509288699414075E-4</v>
      </c>
      <c r="Y757" s="12">
        <f t="shared" ref="Y757:Y1011" si="251">S757*Q757</f>
        <v>-3.7436890186278007E-4</v>
      </c>
      <c r="Z757" s="12">
        <f t="shared" ref="Z757:Z1011" si="252">T757*Q757</f>
        <v>3.740158346808913E-4</v>
      </c>
    </row>
    <row r="758" spans="1:26" ht="13">
      <c r="A758" s="24" t="str">
        <f t="shared" ref="A758:A761" si="253">A757</f>
        <v>RAL</v>
      </c>
      <c r="B758" s="9">
        <v>2018</v>
      </c>
      <c r="C758" s="19">
        <v>204.33</v>
      </c>
      <c r="D758" s="19">
        <v>1917.77</v>
      </c>
      <c r="E758" s="19">
        <v>2739.79</v>
      </c>
      <c r="F758" s="19">
        <v>2428.4</v>
      </c>
      <c r="G758" s="19">
        <v>1916.94</v>
      </c>
      <c r="H758" s="10">
        <f t="shared" si="229"/>
        <v>7.4578708587154499E-2</v>
      </c>
      <c r="I758" s="10">
        <f t="shared" si="230"/>
        <v>0.69996970570737171</v>
      </c>
      <c r="J758" s="10">
        <f t="shared" si="231"/>
        <v>1.2668106461339426</v>
      </c>
      <c r="K758" s="4">
        <f t="shared" si="242"/>
        <v>-0.65084410869471188</v>
      </c>
      <c r="L758" s="10">
        <f t="shared" si="243"/>
        <v>0.69996970570737171</v>
      </c>
      <c r="M758" s="25">
        <v>-46.88</v>
      </c>
      <c r="N758" s="25">
        <v>95.95</v>
      </c>
      <c r="O758" s="25">
        <v>11.93</v>
      </c>
      <c r="P758" s="27">
        <v>2.9899999999999999E-2</v>
      </c>
      <c r="Q758" s="11">
        <f>Q757</f>
        <v>2.802E-2</v>
      </c>
      <c r="R758" s="12">
        <f t="shared" si="226"/>
        <v>-1.7110800462809196E-2</v>
      </c>
      <c r="S758" s="12">
        <f t="shared" si="227"/>
        <v>3.5020932261231701E-2</v>
      </c>
      <c r="T758" s="12">
        <f t="shared" si="228"/>
        <v>4.3543483259665889E-3</v>
      </c>
      <c r="U758" s="12">
        <f t="shared" si="169"/>
        <v>-5.1161293383799494E-4</v>
      </c>
      <c r="V758" s="12">
        <f t="shared" si="248"/>
        <v>1.0471258746108279E-3</v>
      </c>
      <c r="W758" s="12">
        <f t="shared" si="249"/>
        <v>1.3019501494640099E-4</v>
      </c>
      <c r="X758" s="12">
        <f t="shared" si="250"/>
        <v>-4.7944462896791365E-4</v>
      </c>
      <c r="Y758" s="12">
        <f t="shared" si="251"/>
        <v>9.8128652195971226E-4</v>
      </c>
      <c r="Z758" s="12">
        <f t="shared" si="252"/>
        <v>1.2200884009358382E-4</v>
      </c>
    </row>
    <row r="759" spans="1:26" ht="13">
      <c r="A759" s="24" t="str">
        <f t="shared" si="253"/>
        <v>RAL</v>
      </c>
      <c r="B759" s="9">
        <v>2019</v>
      </c>
      <c r="C759" s="19">
        <v>125.17</v>
      </c>
      <c r="D759" s="19">
        <v>2180.1999999999998</v>
      </c>
      <c r="E759" s="19">
        <v>3014.72</v>
      </c>
      <c r="F759" s="19">
        <v>2716.95</v>
      </c>
      <c r="G759" s="19">
        <v>2179.36</v>
      </c>
      <c r="H759" s="10">
        <f t="shared" si="229"/>
        <v>4.1519610444751089E-2</v>
      </c>
      <c r="I759" s="10">
        <f t="shared" si="230"/>
        <v>0.72318490606092767</v>
      </c>
      <c r="J759" s="10">
        <f t="shared" si="231"/>
        <v>1.2466733352910946</v>
      </c>
      <c r="K759" s="4">
        <f t="shared" si="242"/>
        <v>-0.36967097579525604</v>
      </c>
      <c r="L759" s="10">
        <f t="shared" si="243"/>
        <v>0.72318490606092767</v>
      </c>
      <c r="M759" s="25">
        <v>70.09</v>
      </c>
      <c r="N759" s="25">
        <v>-75.69</v>
      </c>
      <c r="O759" s="25">
        <v>87.04</v>
      </c>
      <c r="P759" s="11">
        <v>0.03</v>
      </c>
      <c r="Q759" s="11">
        <v>1.9300000000000001E-2</v>
      </c>
      <c r="R759" s="12">
        <f t="shared" si="226"/>
        <v>2.3249256979089271E-2</v>
      </c>
      <c r="S759" s="12">
        <f t="shared" si="227"/>
        <v>-2.5106809255917632E-2</v>
      </c>
      <c r="T759" s="12">
        <f t="shared" si="228"/>
        <v>2.8871669674132263E-2</v>
      </c>
      <c r="U759" s="12">
        <f t="shared" si="169"/>
        <v>6.9747770937267806E-4</v>
      </c>
      <c r="V759" s="12">
        <f t="shared" si="248"/>
        <v>-7.5320427767752891E-4</v>
      </c>
      <c r="W759" s="12">
        <f t="shared" si="249"/>
        <v>8.6615009022396783E-4</v>
      </c>
      <c r="X759" s="12">
        <f t="shared" si="250"/>
        <v>4.4871065969642293E-4</v>
      </c>
      <c r="Y759" s="12">
        <f t="shared" si="251"/>
        <v>-4.8456141863921032E-4</v>
      </c>
      <c r="Z759" s="12">
        <f t="shared" si="252"/>
        <v>5.5722322471075275E-4</v>
      </c>
    </row>
    <row r="760" spans="1:26" ht="13">
      <c r="A760" s="24" t="str">
        <f t="shared" si="253"/>
        <v>RAL</v>
      </c>
      <c r="B760" s="9">
        <v>2020</v>
      </c>
      <c r="C760" s="19">
        <v>336.08</v>
      </c>
      <c r="D760" s="19">
        <v>2946.7</v>
      </c>
      <c r="E760" s="19">
        <v>4026.01</v>
      </c>
      <c r="F760" s="19">
        <v>3731.06</v>
      </c>
      <c r="G760" s="19">
        <v>2945.87</v>
      </c>
      <c r="H760" s="10">
        <f t="shared" si="229"/>
        <v>8.3477189574789917E-2</v>
      </c>
      <c r="I760" s="10">
        <f t="shared" si="230"/>
        <v>0.73191571804342259</v>
      </c>
      <c r="J760" s="10">
        <f t="shared" si="231"/>
        <v>1.2665392566542313</v>
      </c>
      <c r="K760" s="4">
        <f t="shared" si="242"/>
        <v>-0.50879391726566248</v>
      </c>
      <c r="L760" s="10">
        <f t="shared" si="243"/>
        <v>0.73191571804342259</v>
      </c>
      <c r="M760" s="25">
        <v>8.19</v>
      </c>
      <c r="N760" s="25">
        <v>-83.16</v>
      </c>
      <c r="O760" s="25">
        <v>396.69</v>
      </c>
      <c r="P760" s="11">
        <v>2.0199999999999999E-2</v>
      </c>
      <c r="Q760" s="11">
        <v>2.06E-2</v>
      </c>
      <c r="R760" s="12">
        <f t="shared" si="226"/>
        <v>2.0342721453747007E-3</v>
      </c>
      <c r="S760" s="12">
        <f t="shared" si="227"/>
        <v>-2.0655686399189271E-2</v>
      </c>
      <c r="T760" s="12">
        <f t="shared" si="228"/>
        <v>9.8531796990072057E-2</v>
      </c>
      <c r="U760" s="12">
        <f t="shared" si="169"/>
        <v>4.1092297336568953E-5</v>
      </c>
      <c r="V760" s="12">
        <f t="shared" si="248"/>
        <v>-4.1724486526362328E-4</v>
      </c>
      <c r="W760" s="12">
        <f t="shared" si="249"/>
        <v>1.9903422991994556E-3</v>
      </c>
      <c r="X760" s="12">
        <f t="shared" si="250"/>
        <v>4.1906006194718832E-5</v>
      </c>
      <c r="Y760" s="12">
        <f t="shared" si="251"/>
        <v>-4.2550713982329898E-4</v>
      </c>
      <c r="Z760" s="12">
        <f t="shared" si="252"/>
        <v>2.0297550179954843E-3</v>
      </c>
    </row>
    <row r="761" spans="1:26" ht="13">
      <c r="A761" s="24" t="str">
        <f t="shared" si="253"/>
        <v>RAL</v>
      </c>
      <c r="B761" s="9">
        <v>2021</v>
      </c>
      <c r="C761" s="19">
        <v>398.24</v>
      </c>
      <c r="D761" s="19">
        <v>4023.21</v>
      </c>
      <c r="E761" s="19">
        <v>5392.3</v>
      </c>
      <c r="F761" s="19">
        <v>4977.55</v>
      </c>
      <c r="G761" s="19">
        <v>4022.37</v>
      </c>
      <c r="H761" s="10">
        <f t="shared" si="229"/>
        <v>7.3853457708213568E-2</v>
      </c>
      <c r="I761" s="10">
        <f t="shared" si="230"/>
        <v>0.74610277618085041</v>
      </c>
      <c r="J761" s="10">
        <f t="shared" si="231"/>
        <v>1.237466965992686</v>
      </c>
      <c r="K761" s="4">
        <f t="shared" si="242"/>
        <v>-0.38450460332008424</v>
      </c>
      <c r="L761" s="10">
        <f t="shared" si="243"/>
        <v>0.74610277618085041</v>
      </c>
      <c r="M761" s="25">
        <v>-238.33</v>
      </c>
      <c r="N761" s="25">
        <v>-214.07</v>
      </c>
      <c r="O761" s="25">
        <v>422.59</v>
      </c>
      <c r="P761" s="11">
        <v>4.1700000000000001E-2</v>
      </c>
      <c r="Q761" s="11">
        <v>1.9199999999999998E-2</v>
      </c>
      <c r="R761" s="12">
        <f t="shared" si="226"/>
        <v>-4.4198208556645587E-2</v>
      </c>
      <c r="S761" s="12">
        <f t="shared" si="227"/>
        <v>-3.9699200712126549E-2</v>
      </c>
      <c r="T761" s="12">
        <f t="shared" si="228"/>
        <v>7.8369156018767497E-2</v>
      </c>
      <c r="U761" s="12">
        <f t="shared" si="169"/>
        <v>-1.843065296812121E-3</v>
      </c>
      <c r="V761" s="12">
        <f t="shared" si="248"/>
        <v>-1.6554566696956772E-3</v>
      </c>
      <c r="W761" s="12">
        <f t="shared" si="249"/>
        <v>3.2679938059826047E-3</v>
      </c>
      <c r="X761" s="12">
        <f t="shared" si="250"/>
        <v>-8.4860560428759522E-4</v>
      </c>
      <c r="Y761" s="12">
        <f t="shared" si="251"/>
        <v>-7.6222465367282966E-4</v>
      </c>
      <c r="Z761" s="12">
        <f t="shared" si="252"/>
        <v>1.5046877955603357E-3</v>
      </c>
    </row>
    <row r="762" spans="1:26" ht="13">
      <c r="A762" s="24" t="s">
        <v>169</v>
      </c>
      <c r="B762" s="9">
        <v>2017</v>
      </c>
      <c r="C762" s="19">
        <v>-55.28</v>
      </c>
      <c r="D762" s="29">
        <v>1024.7</v>
      </c>
      <c r="E762" s="19">
        <v>1559.1</v>
      </c>
      <c r="F762" s="19">
        <v>727.31</v>
      </c>
      <c r="G762" s="19">
        <v>795.9</v>
      </c>
      <c r="H762" s="10">
        <f t="shared" si="229"/>
        <v>-3.5456353024180619E-2</v>
      </c>
      <c r="I762" s="10">
        <f t="shared" si="230"/>
        <v>0.65723815021486764</v>
      </c>
      <c r="J762" s="10">
        <f t="shared" si="231"/>
        <v>0.91382083176278428</v>
      </c>
      <c r="K762" s="4">
        <f t="shared" si="242"/>
        <v>-0.39784423849349237</v>
      </c>
      <c r="L762" s="10">
        <f t="shared" si="243"/>
        <v>0.65723815021486764</v>
      </c>
      <c r="M762" s="25">
        <v>-41.42</v>
      </c>
      <c r="N762" s="25">
        <v>-242.16</v>
      </c>
      <c r="O762" s="25">
        <v>239.59</v>
      </c>
      <c r="P762" s="11">
        <v>2.8E-3</v>
      </c>
      <c r="Q762" s="11">
        <v>0.64359999999999995</v>
      </c>
      <c r="R762" s="12">
        <f t="shared" si="226"/>
        <v>-2.6566608941055739E-2</v>
      </c>
      <c r="S762" s="12">
        <f t="shared" si="227"/>
        <v>-0.15532037714065808</v>
      </c>
      <c r="T762" s="12">
        <f t="shared" si="228"/>
        <v>0.15367199025078573</v>
      </c>
      <c r="U762" s="12">
        <f t="shared" si="169"/>
        <v>-7.4386505034956064E-5</v>
      </c>
      <c r="V762" s="12">
        <f t="shared" si="248"/>
        <v>-4.348970559938426E-4</v>
      </c>
      <c r="W762" s="12">
        <f t="shared" si="249"/>
        <v>4.3028157270220003E-4</v>
      </c>
      <c r="X762" s="12">
        <f t="shared" si="250"/>
        <v>-1.7098269514463471E-2</v>
      </c>
      <c r="Y762" s="12">
        <f t="shared" si="251"/>
        <v>-9.9964194727727537E-2</v>
      </c>
      <c r="Z762" s="12">
        <f t="shared" si="252"/>
        <v>9.8903292925405686E-2</v>
      </c>
    </row>
    <row r="763" spans="1:26" ht="13">
      <c r="A763" s="24" t="str">
        <f t="shared" ref="A763:A766" si="254">A762</f>
        <v>RDP</v>
      </c>
      <c r="B763" s="9">
        <v>2018</v>
      </c>
      <c r="C763" s="19">
        <v>12.1</v>
      </c>
      <c r="D763" s="29">
        <v>1225.79</v>
      </c>
      <c r="E763" s="19">
        <v>1772.28</v>
      </c>
      <c r="F763" s="19">
        <v>813.53</v>
      </c>
      <c r="G763" s="19">
        <v>850.54</v>
      </c>
      <c r="H763" s="10">
        <f t="shared" si="229"/>
        <v>6.8273636220010378E-3</v>
      </c>
      <c r="I763" s="10">
        <f t="shared" si="230"/>
        <v>0.69164578960435141</v>
      </c>
      <c r="J763" s="10">
        <f t="shared" si="231"/>
        <v>0.95648646742069743</v>
      </c>
      <c r="K763" s="4">
        <f t="shared" si="242"/>
        <v>-0.3921680814238846</v>
      </c>
      <c r="L763" s="10">
        <f t="shared" si="243"/>
        <v>0.69164578960435141</v>
      </c>
      <c r="M763" s="25">
        <v>47.76</v>
      </c>
      <c r="N763" s="25">
        <v>-189.74</v>
      </c>
      <c r="O763" s="25">
        <v>153.34</v>
      </c>
      <c r="P763" s="11">
        <v>5.0000000000000001E-3</v>
      </c>
      <c r="Q763" s="11">
        <v>0.64149999999999996</v>
      </c>
      <c r="R763" s="12">
        <f t="shared" si="226"/>
        <v>2.6948337734443766E-2</v>
      </c>
      <c r="S763" s="12">
        <f t="shared" si="227"/>
        <v>-0.10705983253210555</v>
      </c>
      <c r="T763" s="12">
        <f t="shared" si="228"/>
        <v>8.6521317173358619E-2</v>
      </c>
      <c r="U763" s="12">
        <f t="shared" si="169"/>
        <v>1.3474168867221882E-4</v>
      </c>
      <c r="V763" s="12">
        <f t="shared" si="248"/>
        <v>-5.3529916266052777E-4</v>
      </c>
      <c r="W763" s="12">
        <f t="shared" si="249"/>
        <v>4.3260658586679311E-4</v>
      </c>
      <c r="X763" s="12">
        <f t="shared" si="250"/>
        <v>1.7287358656645675E-2</v>
      </c>
      <c r="Y763" s="12">
        <f t="shared" si="251"/>
        <v>-6.8678882569345706E-2</v>
      </c>
      <c r="Z763" s="12">
        <f t="shared" si="252"/>
        <v>5.5503424966709548E-2</v>
      </c>
    </row>
    <row r="764" spans="1:26" ht="13">
      <c r="A764" s="24" t="str">
        <f t="shared" si="254"/>
        <v>RDP</v>
      </c>
      <c r="B764" s="9">
        <v>2019</v>
      </c>
      <c r="C764" s="19">
        <v>70.09</v>
      </c>
      <c r="D764" s="29">
        <v>1618.57</v>
      </c>
      <c r="E764" s="19">
        <v>2271.62</v>
      </c>
      <c r="F764" s="19">
        <v>1133.08</v>
      </c>
      <c r="G764" s="19">
        <v>1251.69</v>
      </c>
      <c r="H764" s="10">
        <f t="shared" si="229"/>
        <v>3.0854632376894026E-2</v>
      </c>
      <c r="I764" s="10">
        <f t="shared" si="230"/>
        <v>0.712517938739754</v>
      </c>
      <c r="J764" s="10">
        <f t="shared" si="231"/>
        <v>0.90524011536402771</v>
      </c>
      <c r="K764" s="4">
        <f t="shared" si="242"/>
        <v>-0.38111455534088123</v>
      </c>
      <c r="L764" s="10">
        <f t="shared" si="243"/>
        <v>0.712517938739754</v>
      </c>
      <c r="M764" s="25">
        <v>-157.15</v>
      </c>
      <c r="N764" s="25">
        <v>-69.42</v>
      </c>
      <c r="O764" s="25">
        <v>242.99</v>
      </c>
      <c r="P764" s="11">
        <v>4.7000000000000002E-3</v>
      </c>
      <c r="Q764" s="11">
        <v>0.64149999999999996</v>
      </c>
      <c r="R764" s="12">
        <f t="shared" si="226"/>
        <v>-6.9179704351960275E-2</v>
      </c>
      <c r="S764" s="12">
        <f t="shared" si="227"/>
        <v>-3.0559688680325058E-2</v>
      </c>
      <c r="T764" s="12">
        <f t="shared" si="228"/>
        <v>0.10696771467058752</v>
      </c>
      <c r="U764" s="12">
        <f t="shared" si="169"/>
        <v>-3.251446104542133E-4</v>
      </c>
      <c r="V764" s="12">
        <f t="shared" si="248"/>
        <v>-1.4363053679752777E-4</v>
      </c>
      <c r="W764" s="12">
        <f t="shared" si="249"/>
        <v>5.0274825895176142E-4</v>
      </c>
      <c r="X764" s="12">
        <f t="shared" si="250"/>
        <v>-4.4378780341782512E-2</v>
      </c>
      <c r="Y764" s="12">
        <f t="shared" si="251"/>
        <v>-1.9604040288428524E-2</v>
      </c>
      <c r="Z764" s="12">
        <f t="shared" si="252"/>
        <v>6.8619788961181885E-2</v>
      </c>
    </row>
    <row r="765" spans="1:26" ht="13">
      <c r="A765" s="24" t="str">
        <f t="shared" si="254"/>
        <v>RDP</v>
      </c>
      <c r="B765" s="9">
        <v>2020</v>
      </c>
      <c r="C765" s="19">
        <v>3.2</v>
      </c>
      <c r="D765" s="29">
        <v>1716.03</v>
      </c>
      <c r="E765" s="19">
        <v>2184.79</v>
      </c>
      <c r="F765" s="19">
        <v>1124.81</v>
      </c>
      <c r="G765" s="19">
        <v>1212.07</v>
      </c>
      <c r="H765" s="10">
        <f t="shared" si="229"/>
        <v>1.4646716618073135E-3</v>
      </c>
      <c r="I765" s="10">
        <f t="shared" si="230"/>
        <v>0.78544390994100122</v>
      </c>
      <c r="J765" s="10">
        <f t="shared" si="231"/>
        <v>0.92800745831511378</v>
      </c>
      <c r="K765" s="4">
        <f t="shared" si="242"/>
        <v>0.16672723435231429</v>
      </c>
      <c r="L765" s="10">
        <f t="shared" si="243"/>
        <v>0.78544390994100122</v>
      </c>
      <c r="M765" s="25">
        <v>29.35</v>
      </c>
      <c r="N765" s="25">
        <v>-0.36</v>
      </c>
      <c r="O765" s="25">
        <v>-41.28</v>
      </c>
      <c r="P765" s="11">
        <v>6.7999999999999996E-3</v>
      </c>
      <c r="Q765" s="11">
        <v>0.64149999999999996</v>
      </c>
      <c r="R765" s="12">
        <f t="shared" si="226"/>
        <v>1.3433785398138953E-2</v>
      </c>
      <c r="S765" s="12">
        <f t="shared" si="227"/>
        <v>-1.6477556195332275E-4</v>
      </c>
      <c r="T765" s="12">
        <f t="shared" si="228"/>
        <v>-1.8894264437314342E-2</v>
      </c>
      <c r="U765" s="12">
        <f t="shared" ref="U765:U1016" si="255">R765*P765</f>
        <v>9.1349740707344875E-5</v>
      </c>
      <c r="V765" s="12">
        <f t="shared" si="248"/>
        <v>-1.1204738212825947E-6</v>
      </c>
      <c r="W765" s="12">
        <f t="shared" si="249"/>
        <v>-1.2848099817373753E-4</v>
      </c>
      <c r="X765" s="12">
        <f t="shared" si="250"/>
        <v>8.6177733329061371E-3</v>
      </c>
      <c r="Y765" s="12">
        <f t="shared" si="251"/>
        <v>-1.0570352299305654E-4</v>
      </c>
      <c r="Z765" s="12">
        <f t="shared" si="252"/>
        <v>-1.2120670636537149E-2</v>
      </c>
    </row>
    <row r="766" spans="1:26" ht="13">
      <c r="A766" s="24" t="str">
        <f t="shared" si="254"/>
        <v>RDP</v>
      </c>
      <c r="B766" s="9">
        <v>2021</v>
      </c>
      <c r="C766" s="19">
        <v>37.729999999999997</v>
      </c>
      <c r="D766" s="29">
        <v>1717.06</v>
      </c>
      <c r="E766" s="19">
        <v>2222.4299999999998</v>
      </c>
      <c r="F766" s="19">
        <v>1180.79</v>
      </c>
      <c r="G766" s="19">
        <v>1316.72</v>
      </c>
      <c r="H766" s="10">
        <f t="shared" si="229"/>
        <v>1.6976912658666413E-2</v>
      </c>
      <c r="I766" s="10">
        <f t="shared" si="230"/>
        <v>0.77260476145480406</v>
      </c>
      <c r="J766" s="10">
        <f t="shared" si="231"/>
        <v>0.8967662069384531</v>
      </c>
      <c r="K766" s="4">
        <f t="shared" si="242"/>
        <v>2.38639685006308E-2</v>
      </c>
      <c r="L766" s="10">
        <f t="shared" si="243"/>
        <v>0.77260476145480406</v>
      </c>
      <c r="M766" s="25">
        <v>-4.79</v>
      </c>
      <c r="N766" s="25">
        <v>9.5299999999999994</v>
      </c>
      <c r="O766" s="25">
        <v>-0.46</v>
      </c>
      <c r="P766" s="11">
        <v>4.7999999999999996E-3</v>
      </c>
      <c r="Q766" s="11">
        <f>Q765</f>
        <v>0.64149999999999996</v>
      </c>
      <c r="R766" s="12">
        <f t="shared" si="226"/>
        <v>-2.1552984795921585E-3</v>
      </c>
      <c r="S766" s="12">
        <f t="shared" si="227"/>
        <v>4.2880990627376337E-3</v>
      </c>
      <c r="T766" s="12">
        <f t="shared" si="228"/>
        <v>-2.0698064730947658E-4</v>
      </c>
      <c r="U766" s="12">
        <f t="shared" si="255"/>
        <v>-1.034543270204236E-5</v>
      </c>
      <c r="V766" s="12">
        <f t="shared" si="248"/>
        <v>2.058287550114064E-5</v>
      </c>
      <c r="W766" s="12">
        <f t="shared" si="249"/>
        <v>-9.9350710708548759E-7</v>
      </c>
      <c r="X766" s="12">
        <f t="shared" si="250"/>
        <v>-1.3826239746583696E-3</v>
      </c>
      <c r="Y766" s="12">
        <f t="shared" si="251"/>
        <v>2.7508155487461919E-3</v>
      </c>
      <c r="Z766" s="12">
        <f t="shared" si="252"/>
        <v>-1.3277808524902923E-4</v>
      </c>
    </row>
    <row r="767" spans="1:26" ht="13">
      <c r="A767" s="24" t="s">
        <v>170</v>
      </c>
      <c r="B767" s="9">
        <v>2017</v>
      </c>
      <c r="C767" s="19">
        <v>134.24</v>
      </c>
      <c r="D767" s="29">
        <v>708.26</v>
      </c>
      <c r="E767" s="19">
        <v>1236.33</v>
      </c>
      <c r="F767" s="19">
        <v>88.16</v>
      </c>
      <c r="G767" s="19">
        <v>150.15</v>
      </c>
      <c r="H767" s="10">
        <f t="shared" si="229"/>
        <v>0.10857942458728657</v>
      </c>
      <c r="I767" s="10">
        <f t="shared" si="230"/>
        <v>0.57287293845494325</v>
      </c>
      <c r="J767" s="10">
        <f t="shared" si="231"/>
        <v>0.58714618714618705</v>
      </c>
      <c r="K767" s="4">
        <f t="shared" si="242"/>
        <v>-1.525580246198198</v>
      </c>
      <c r="L767" s="10">
        <f t="shared" si="243"/>
        <v>0.57287293845494325</v>
      </c>
      <c r="M767" s="25">
        <v>207.94</v>
      </c>
      <c r="N767" s="25">
        <v>12.88</v>
      </c>
      <c r="O767" s="25">
        <v>-178.97</v>
      </c>
      <c r="P767" s="11">
        <v>4.7000000000000002E-3</v>
      </c>
      <c r="Q767" s="11">
        <v>0</v>
      </c>
      <c r="R767" s="12">
        <f t="shared" si="226"/>
        <v>0.16819134049970477</v>
      </c>
      <c r="S767" s="12">
        <f t="shared" si="227"/>
        <v>1.0417930487814744E-2</v>
      </c>
      <c r="T767" s="12">
        <f t="shared" si="228"/>
        <v>-0.14475908535746929</v>
      </c>
      <c r="U767" s="12">
        <f t="shared" si="255"/>
        <v>7.9049930034861247E-4</v>
      </c>
      <c r="V767" s="12">
        <f t="shared" si="248"/>
        <v>4.8964273292729302E-5</v>
      </c>
      <c r="W767" s="12">
        <f t="shared" si="249"/>
        <v>-6.803677011801057E-4</v>
      </c>
      <c r="X767" s="12">
        <f t="shared" si="250"/>
        <v>0</v>
      </c>
      <c r="Y767" s="12">
        <f t="shared" si="251"/>
        <v>0</v>
      </c>
      <c r="Z767" s="12">
        <f t="shared" si="252"/>
        <v>0</v>
      </c>
    </row>
    <row r="768" spans="1:26" ht="13">
      <c r="A768" s="24" t="str">
        <f t="shared" ref="A768:A771" si="256">A767</f>
        <v>S4A</v>
      </c>
      <c r="B768" s="9">
        <v>2018</v>
      </c>
      <c r="C768" s="19">
        <v>131.30000000000001</v>
      </c>
      <c r="D768" s="29">
        <v>643.12</v>
      </c>
      <c r="E768" s="19">
        <v>1122.82</v>
      </c>
      <c r="F768" s="19">
        <v>91.23</v>
      </c>
      <c r="G768" s="19">
        <v>85.16</v>
      </c>
      <c r="H768" s="10">
        <f t="shared" si="229"/>
        <v>0.11693771040772342</v>
      </c>
      <c r="I768" s="10">
        <f t="shared" si="230"/>
        <v>0.57277212732227789</v>
      </c>
      <c r="J768" s="10">
        <f t="shared" si="231"/>
        <v>1.0712775951150777</v>
      </c>
      <c r="K768" s="4">
        <f t="shared" si="242"/>
        <v>-1.5657036814782312</v>
      </c>
      <c r="L768" s="10">
        <f t="shared" si="243"/>
        <v>0.57277212732227789</v>
      </c>
      <c r="M768" s="25">
        <v>161.55000000000001</v>
      </c>
      <c r="N768" s="25">
        <v>-0.01</v>
      </c>
      <c r="O768" s="25">
        <v>-249.22</v>
      </c>
      <c r="P768" s="11">
        <v>2.9999999999999997E-4</v>
      </c>
      <c r="Q768" s="11">
        <v>0</v>
      </c>
      <c r="R768" s="12">
        <f t="shared" si="226"/>
        <v>0.14387880515131546</v>
      </c>
      <c r="S768" s="12">
        <f t="shared" si="227"/>
        <v>-8.9061470226750512E-6</v>
      </c>
      <c r="T768" s="12">
        <f t="shared" si="228"/>
        <v>-0.2219589960991076</v>
      </c>
      <c r="U768" s="12">
        <f t="shared" si="255"/>
        <v>4.3163641545394635E-5</v>
      </c>
      <c r="V768" s="12">
        <f t="shared" si="248"/>
        <v>-2.6718441068025152E-9</v>
      </c>
      <c r="W768" s="12">
        <f t="shared" si="249"/>
        <v>-6.6587698829732273E-5</v>
      </c>
      <c r="X768" s="12">
        <f t="shared" si="250"/>
        <v>0</v>
      </c>
      <c r="Y768" s="12">
        <f t="shared" si="251"/>
        <v>0</v>
      </c>
      <c r="Z768" s="12">
        <f t="shared" si="252"/>
        <v>0</v>
      </c>
    </row>
    <row r="769" spans="1:26" ht="13">
      <c r="A769" s="24" t="str">
        <f t="shared" si="256"/>
        <v>S4A</v>
      </c>
      <c r="B769" s="9">
        <v>2019</v>
      </c>
      <c r="C769" s="19">
        <v>113.46</v>
      </c>
      <c r="D769" s="29">
        <v>562.17999999999995</v>
      </c>
      <c r="E769" s="19">
        <v>1086.1300000000001</v>
      </c>
      <c r="F769" s="19">
        <v>88.36</v>
      </c>
      <c r="G769" s="19">
        <v>100.29</v>
      </c>
      <c r="H769" s="10">
        <f t="shared" si="229"/>
        <v>0.10446263338642703</v>
      </c>
      <c r="I769" s="10">
        <f t="shared" si="230"/>
        <v>0.51759918241831082</v>
      </c>
      <c r="J769" s="10">
        <f t="shared" si="231"/>
        <v>0.88104496958819423</v>
      </c>
      <c r="K769" s="4">
        <f t="shared" si="242"/>
        <v>-1.823290690332902</v>
      </c>
      <c r="L769" s="10">
        <f t="shared" si="243"/>
        <v>0.51759918241831082</v>
      </c>
      <c r="M769" s="25">
        <v>165.08</v>
      </c>
      <c r="N769" s="25">
        <v>0.56999999999999995</v>
      </c>
      <c r="O769" s="25">
        <v>-145.63999999999999</v>
      </c>
      <c r="P769" s="11">
        <v>4.8000000000000001E-4</v>
      </c>
      <c r="Q769" s="11">
        <v>0</v>
      </c>
      <c r="R769" s="12">
        <f t="shared" si="226"/>
        <v>0.15198917256681982</v>
      </c>
      <c r="S769" s="12">
        <f t="shared" si="227"/>
        <v>5.2479905720309713E-4</v>
      </c>
      <c r="T769" s="12">
        <f t="shared" si="228"/>
        <v>-0.13409076261589309</v>
      </c>
      <c r="U769" s="12">
        <f t="shared" si="255"/>
        <v>7.2954802832073519E-5</v>
      </c>
      <c r="V769" s="12">
        <f t="shared" si="248"/>
        <v>2.5190354745748665E-7</v>
      </c>
      <c r="W769" s="12">
        <f t="shared" si="249"/>
        <v>-6.4363566055628687E-5</v>
      </c>
      <c r="X769" s="12">
        <f t="shared" si="250"/>
        <v>0</v>
      </c>
      <c r="Y769" s="12">
        <f t="shared" si="251"/>
        <v>0</v>
      </c>
      <c r="Z769" s="12">
        <f t="shared" si="252"/>
        <v>0</v>
      </c>
    </row>
    <row r="770" spans="1:26" ht="13">
      <c r="A770" s="24" t="str">
        <f t="shared" si="256"/>
        <v>S4A</v>
      </c>
      <c r="B770" s="9">
        <v>2020</v>
      </c>
      <c r="C770" s="19">
        <v>85.93</v>
      </c>
      <c r="D770" s="29">
        <v>492.17</v>
      </c>
      <c r="E770" s="19">
        <v>1018.12</v>
      </c>
      <c r="F770" s="19">
        <v>96.94</v>
      </c>
      <c r="G770" s="19">
        <v>80.52</v>
      </c>
      <c r="H770" s="10">
        <f t="shared" si="229"/>
        <v>8.4400660040073863E-2</v>
      </c>
      <c r="I770" s="10">
        <f t="shared" si="230"/>
        <v>0.48341059992928143</v>
      </c>
      <c r="J770" s="10">
        <f t="shared" si="231"/>
        <v>1.2039244908097368</v>
      </c>
      <c r="K770" s="4">
        <f t="shared" si="242"/>
        <v>-1.9291782485466671</v>
      </c>
      <c r="L770" s="10">
        <f t="shared" si="243"/>
        <v>0.48341059992928143</v>
      </c>
      <c r="M770" s="25">
        <v>144.41999999999999</v>
      </c>
      <c r="N770" s="25">
        <v>-1.51</v>
      </c>
      <c r="O770" s="25">
        <v>-158.05000000000001</v>
      </c>
      <c r="P770" s="11">
        <v>3.4000000000000002E-4</v>
      </c>
      <c r="Q770" s="11">
        <v>0</v>
      </c>
      <c r="R770" s="12">
        <f t="shared" ref="R770:R833" si="257">M770/E770</f>
        <v>0.14184968373079793</v>
      </c>
      <c r="S770" s="12">
        <f t="shared" ref="S770:S833" si="258">N770/E770</f>
        <v>-1.4831257612069305E-3</v>
      </c>
      <c r="T770" s="12">
        <f t="shared" ref="T770:T833" si="259">O770/E770</f>
        <v>-0.15523710368129495</v>
      </c>
      <c r="U770" s="12">
        <f t="shared" si="255"/>
        <v>4.8228892468471297E-5</v>
      </c>
      <c r="V770" s="12">
        <f t="shared" si="248"/>
        <v>-5.0426275881035641E-7</v>
      </c>
      <c r="W770" s="12">
        <f t="shared" si="249"/>
        <v>-5.278061525164029E-5</v>
      </c>
      <c r="X770" s="12">
        <f t="shared" si="250"/>
        <v>0</v>
      </c>
      <c r="Y770" s="12">
        <f t="shared" si="251"/>
        <v>0</v>
      </c>
      <c r="Z770" s="12">
        <f t="shared" si="252"/>
        <v>0</v>
      </c>
    </row>
    <row r="771" spans="1:26" ht="13">
      <c r="A771" s="24" t="str">
        <f t="shared" si="256"/>
        <v>S4A</v>
      </c>
      <c r="B771" s="9">
        <v>2021</v>
      </c>
      <c r="C771" s="19">
        <v>140.61000000000001</v>
      </c>
      <c r="D771" s="29">
        <v>411.39</v>
      </c>
      <c r="E771" s="19">
        <v>992.03</v>
      </c>
      <c r="F771" s="19">
        <v>182.85</v>
      </c>
      <c r="G771" s="19">
        <v>99.3</v>
      </c>
      <c r="H771" s="10">
        <f t="shared" ref="H771:H834" si="260">C771/E771</f>
        <v>0.14173966513109484</v>
      </c>
      <c r="I771" s="10">
        <f t="shared" ref="I771:I834" si="261">D771/E771</f>
        <v>0.41469512010725484</v>
      </c>
      <c r="J771" s="10">
        <f t="shared" ref="J771:J834" si="262">F771/G771</f>
        <v>1.8413897280966767</v>
      </c>
      <c r="K771" s="4">
        <f t="shared" si="242"/>
        <v>-2.5814318673909606</v>
      </c>
      <c r="L771" s="10">
        <f t="shared" si="243"/>
        <v>0.41469512010725484</v>
      </c>
      <c r="M771" s="25">
        <v>198.78</v>
      </c>
      <c r="N771" s="25">
        <v>-3.9</v>
      </c>
      <c r="O771" s="25">
        <v>-170</v>
      </c>
      <c r="P771" s="11">
        <v>5.9000000000000003E-4</v>
      </c>
      <c r="Q771" s="11">
        <v>0</v>
      </c>
      <c r="R771" s="12">
        <f t="shared" si="257"/>
        <v>0.20037700472767961</v>
      </c>
      <c r="S771" s="12">
        <f t="shared" si="258"/>
        <v>-3.9313327217926873E-3</v>
      </c>
      <c r="T771" s="12">
        <f t="shared" si="259"/>
        <v>-0.17136578530891203</v>
      </c>
      <c r="U771" s="12">
        <f t="shared" si="255"/>
        <v>1.1822243278933098E-4</v>
      </c>
      <c r="V771" s="12">
        <f t="shared" si="248"/>
        <v>-2.3194863058576858E-6</v>
      </c>
      <c r="W771" s="12">
        <f t="shared" si="249"/>
        <v>-1.011058133322581E-4</v>
      </c>
      <c r="X771" s="12">
        <f t="shared" si="250"/>
        <v>0</v>
      </c>
      <c r="Y771" s="12">
        <f t="shared" si="251"/>
        <v>0</v>
      </c>
      <c r="Z771" s="12">
        <f t="shared" si="252"/>
        <v>0</v>
      </c>
    </row>
    <row r="772" spans="1:26" ht="13">
      <c r="A772" s="24" t="s">
        <v>171</v>
      </c>
      <c r="B772" s="9">
        <v>2017</v>
      </c>
      <c r="C772" s="19">
        <v>113.95</v>
      </c>
      <c r="D772" s="29">
        <v>1665.02</v>
      </c>
      <c r="E772" s="19">
        <v>4333.25</v>
      </c>
      <c r="F772" s="19">
        <v>877.12</v>
      </c>
      <c r="G772" s="19">
        <v>2363.46</v>
      </c>
      <c r="H772" s="10">
        <f t="shared" si="260"/>
        <v>2.6296659551145216E-2</v>
      </c>
      <c r="I772" s="10">
        <f t="shared" si="261"/>
        <v>0.38424277389949807</v>
      </c>
      <c r="J772" s="10">
        <f t="shared" si="262"/>
        <v>0.37111692180108824</v>
      </c>
      <c r="K772" s="4">
        <f t="shared" si="242"/>
        <v>-2.2296356244402191</v>
      </c>
      <c r="L772" s="10">
        <f t="shared" si="243"/>
        <v>0.38424277389949807</v>
      </c>
      <c r="M772" s="25">
        <v>-509.03</v>
      </c>
      <c r="N772" s="25">
        <v>51.07</v>
      </c>
      <c r="O772" s="25">
        <v>423.95</v>
      </c>
      <c r="P772" s="11">
        <v>5.2999999999999999E-2</v>
      </c>
      <c r="Q772" s="11">
        <v>6.3369999999999996E-2</v>
      </c>
      <c r="R772" s="12">
        <f t="shared" si="257"/>
        <v>-0.11747072059078059</v>
      </c>
      <c r="S772" s="12">
        <f t="shared" si="258"/>
        <v>1.1785611261755034E-2</v>
      </c>
      <c r="T772" s="12">
        <f t="shared" si="259"/>
        <v>9.7836496855708763E-2</v>
      </c>
      <c r="U772" s="12">
        <f t="shared" si="255"/>
        <v>-6.2259481913113715E-3</v>
      </c>
      <c r="V772" s="12">
        <f t="shared" si="248"/>
        <v>6.2463739687301681E-4</v>
      </c>
      <c r="W772" s="12">
        <f t="shared" si="249"/>
        <v>5.1853343333525641E-3</v>
      </c>
      <c r="X772" s="12">
        <f t="shared" si="250"/>
        <v>-7.4441195638377654E-3</v>
      </c>
      <c r="Y772" s="12">
        <f t="shared" si="251"/>
        <v>7.4685418565741644E-4</v>
      </c>
      <c r="Z772" s="12">
        <f t="shared" si="252"/>
        <v>6.1998988057462637E-3</v>
      </c>
    </row>
    <row r="773" spans="1:26" ht="13">
      <c r="A773" s="24" t="str">
        <f t="shared" ref="A773:A776" si="263">A772</f>
        <v>SAM</v>
      </c>
      <c r="B773" s="9">
        <v>2018</v>
      </c>
      <c r="C773" s="19">
        <v>114.96</v>
      </c>
      <c r="D773" s="29">
        <v>2234.77</v>
      </c>
      <c r="E773" s="19">
        <v>5055.75</v>
      </c>
      <c r="F773" s="19">
        <v>1523.36</v>
      </c>
      <c r="G773" s="19">
        <v>2636.84</v>
      </c>
      <c r="H773" s="10">
        <f t="shared" si="260"/>
        <v>2.2738466102952083E-2</v>
      </c>
      <c r="I773" s="10">
        <f t="shared" si="261"/>
        <v>0.44202541660485584</v>
      </c>
      <c r="J773" s="10">
        <f t="shared" si="262"/>
        <v>0.57772181854037397</v>
      </c>
      <c r="K773" s="4">
        <f t="shared" si="242"/>
        <v>-1.8850891100897675</v>
      </c>
      <c r="L773" s="10">
        <f t="shared" si="243"/>
        <v>0.44202541660485584</v>
      </c>
      <c r="M773" s="25">
        <v>217.1</v>
      </c>
      <c r="N773" s="25">
        <v>-461.09</v>
      </c>
      <c r="O773" s="25">
        <v>276.02999999999997</v>
      </c>
      <c r="P773" s="30">
        <v>2.1299999999999999E-2</v>
      </c>
      <c r="Q773" s="11">
        <v>0</v>
      </c>
      <c r="R773" s="12">
        <f t="shared" si="257"/>
        <v>4.2941205558027988E-2</v>
      </c>
      <c r="S773" s="12">
        <f t="shared" si="258"/>
        <v>-9.1201107649705779E-2</v>
      </c>
      <c r="T773" s="12">
        <f t="shared" si="259"/>
        <v>5.4597240765465058E-2</v>
      </c>
      <c r="U773" s="12">
        <f t="shared" si="255"/>
        <v>9.1464767838599613E-4</v>
      </c>
      <c r="V773" s="12">
        <f t="shared" si="248"/>
        <v>-1.9425835929387329E-3</v>
      </c>
      <c r="W773" s="12">
        <f t="shared" si="249"/>
        <v>1.1629212283044057E-3</v>
      </c>
      <c r="X773" s="12">
        <f t="shared" si="250"/>
        <v>0</v>
      </c>
      <c r="Y773" s="12">
        <f t="shared" si="251"/>
        <v>0</v>
      </c>
      <c r="Z773" s="12">
        <f t="shared" si="252"/>
        <v>0</v>
      </c>
    </row>
    <row r="774" spans="1:26" ht="13">
      <c r="A774" s="24" t="str">
        <f t="shared" si="263"/>
        <v>SAM</v>
      </c>
      <c r="B774" s="9">
        <v>2019</v>
      </c>
      <c r="C774" s="19">
        <v>101.39</v>
      </c>
      <c r="D774" s="29">
        <v>2325.59</v>
      </c>
      <c r="E774" s="19">
        <v>5210.9399999999996</v>
      </c>
      <c r="F774" s="19">
        <v>2266.65</v>
      </c>
      <c r="G774" s="19">
        <v>2814.2</v>
      </c>
      <c r="H774" s="10">
        <f t="shared" si="260"/>
        <v>1.9457142089527035E-2</v>
      </c>
      <c r="I774" s="10">
        <f t="shared" si="261"/>
        <v>0.44628992082042784</v>
      </c>
      <c r="J774" s="10">
        <f t="shared" si="262"/>
        <v>0.80543316040082447</v>
      </c>
      <c r="K774" s="4">
        <f t="shared" si="242"/>
        <v>-1.8469263233680362</v>
      </c>
      <c r="L774" s="10">
        <f t="shared" si="243"/>
        <v>0.44628992082042784</v>
      </c>
      <c r="M774" s="25">
        <v>1192.76</v>
      </c>
      <c r="N774" s="25">
        <v>73.81</v>
      </c>
      <c r="O774" s="25">
        <v>-1155.69</v>
      </c>
      <c r="P774" s="27">
        <v>1.6299999999999999E-2</v>
      </c>
      <c r="Q774" s="11">
        <v>0</v>
      </c>
      <c r="R774" s="12">
        <f t="shared" si="257"/>
        <v>0.22889536244900155</v>
      </c>
      <c r="S774" s="12">
        <f t="shared" si="258"/>
        <v>1.4164430985580338E-2</v>
      </c>
      <c r="T774" s="12">
        <f t="shared" si="259"/>
        <v>-0.22178148280348653</v>
      </c>
      <c r="U774" s="12">
        <f t="shared" si="255"/>
        <v>3.7309944079187249E-3</v>
      </c>
      <c r="V774" s="12">
        <f t="shared" si="248"/>
        <v>2.3088022506495949E-4</v>
      </c>
      <c r="W774" s="12">
        <f t="shared" si="249"/>
        <v>-3.61503816969683E-3</v>
      </c>
      <c r="X774" s="12">
        <f t="shared" si="250"/>
        <v>0</v>
      </c>
      <c r="Y774" s="12">
        <f t="shared" si="251"/>
        <v>0</v>
      </c>
      <c r="Z774" s="12">
        <f t="shared" si="252"/>
        <v>0</v>
      </c>
    </row>
    <row r="775" spans="1:26" ht="13">
      <c r="A775" s="24" t="str">
        <f t="shared" si="263"/>
        <v>SAM</v>
      </c>
      <c r="B775" s="9">
        <v>2020</v>
      </c>
      <c r="C775" s="19">
        <v>101.01</v>
      </c>
      <c r="D775" s="29">
        <v>2201.1999999999998</v>
      </c>
      <c r="E775" s="19">
        <v>5668.9</v>
      </c>
      <c r="F775" s="19">
        <v>1844.32</v>
      </c>
      <c r="G775" s="19">
        <v>2386.8200000000002</v>
      </c>
      <c r="H775" s="10">
        <f t="shared" si="260"/>
        <v>1.7818271622360601E-2</v>
      </c>
      <c r="I775" s="10">
        <f t="shared" si="261"/>
        <v>0.38829402529591278</v>
      </c>
      <c r="J775" s="10">
        <f t="shared" si="262"/>
        <v>0.77271013314787029</v>
      </c>
      <c r="K775" s="4">
        <f t="shared" si="242"/>
        <v>-2.1699971186465112</v>
      </c>
      <c r="L775" s="10">
        <f t="shared" si="243"/>
        <v>0.38829402529591278</v>
      </c>
      <c r="M775" s="25">
        <v>-545.21</v>
      </c>
      <c r="N775" s="25">
        <v>30.89</v>
      </c>
      <c r="O775" s="25">
        <v>588.82000000000005</v>
      </c>
      <c r="P775" s="27">
        <v>8.0999999999999996E-3</v>
      </c>
      <c r="Q775" s="11">
        <v>0</v>
      </c>
      <c r="R775" s="12">
        <f t="shared" si="257"/>
        <v>-9.6175624900774415E-2</v>
      </c>
      <c r="S775" s="12">
        <f t="shared" si="258"/>
        <v>5.4490289121346298E-3</v>
      </c>
      <c r="T775" s="12">
        <f t="shared" si="259"/>
        <v>0.10386847536559123</v>
      </c>
      <c r="U775" s="12">
        <f t="shared" si="255"/>
        <v>-7.790225616962727E-4</v>
      </c>
      <c r="V775" s="12">
        <f t="shared" si="248"/>
        <v>4.4137134188290499E-5</v>
      </c>
      <c r="W775" s="12">
        <f t="shared" si="249"/>
        <v>8.4133465046128889E-4</v>
      </c>
      <c r="X775" s="12">
        <f t="shared" si="250"/>
        <v>0</v>
      </c>
      <c r="Y775" s="12">
        <f t="shared" si="251"/>
        <v>0</v>
      </c>
      <c r="Z775" s="12">
        <f t="shared" si="252"/>
        <v>0</v>
      </c>
    </row>
    <row r="776" spans="1:26" ht="13">
      <c r="A776" s="24" t="str">
        <f t="shared" si="263"/>
        <v>SAM</v>
      </c>
      <c r="B776" s="9">
        <v>2021</v>
      </c>
      <c r="C776" s="19">
        <v>159.91999999999999</v>
      </c>
      <c r="D776" s="29">
        <v>2947.79</v>
      </c>
      <c r="E776" s="19">
        <v>7544.3</v>
      </c>
      <c r="F776" s="19">
        <v>2167.54</v>
      </c>
      <c r="G776" s="19">
        <v>3460.86</v>
      </c>
      <c r="H776" s="10">
        <f t="shared" si="260"/>
        <v>2.1197460334292113E-2</v>
      </c>
      <c r="I776" s="10">
        <f t="shared" si="261"/>
        <v>0.39073075036782734</v>
      </c>
      <c r="J776" s="10">
        <f t="shared" si="262"/>
        <v>0.6263009772137561</v>
      </c>
      <c r="K776" s="4">
        <f t="shared" si="242"/>
        <v>-2.1707284983165538</v>
      </c>
      <c r="L776" s="10">
        <f t="shared" si="243"/>
        <v>0.39073075036782734</v>
      </c>
      <c r="M776" s="25">
        <v>-1044.1400000000001</v>
      </c>
      <c r="N776" s="25">
        <v>-246.19</v>
      </c>
      <c r="O776" s="25">
        <v>1832.39</v>
      </c>
      <c r="P776" s="11">
        <f>P775</f>
        <v>8.0999999999999996E-3</v>
      </c>
      <c r="Q776" s="11">
        <v>0</v>
      </c>
      <c r="R776" s="12">
        <f t="shared" si="257"/>
        <v>-0.13840117704757235</v>
      </c>
      <c r="S776" s="12">
        <f t="shared" si="258"/>
        <v>-3.2632583539891041E-2</v>
      </c>
      <c r="T776" s="12">
        <f t="shared" si="259"/>
        <v>0.24288403165303607</v>
      </c>
      <c r="U776" s="12">
        <f t="shared" si="255"/>
        <v>-1.1210495340853359E-3</v>
      </c>
      <c r="V776" s="12">
        <f t="shared" si="248"/>
        <v>-2.6432392667311743E-4</v>
      </c>
      <c r="W776" s="12">
        <f t="shared" si="249"/>
        <v>1.967360656389592E-3</v>
      </c>
      <c r="X776" s="12">
        <f t="shared" si="250"/>
        <v>0</v>
      </c>
      <c r="Y776" s="12">
        <f t="shared" si="251"/>
        <v>0</v>
      </c>
      <c r="Z776" s="12">
        <f t="shared" si="252"/>
        <v>0</v>
      </c>
    </row>
    <row r="777" spans="1:26" ht="13">
      <c r="A777" s="24" t="s">
        <v>172</v>
      </c>
      <c r="B777" s="9">
        <v>2017</v>
      </c>
      <c r="C777" s="19">
        <v>113.1</v>
      </c>
      <c r="D777" s="29">
        <v>154.52000000000001</v>
      </c>
      <c r="E777" s="19">
        <v>612.98</v>
      </c>
      <c r="F777" s="19">
        <v>152.15</v>
      </c>
      <c r="G777" s="19">
        <v>401.49</v>
      </c>
      <c r="H777" s="10">
        <f t="shared" si="260"/>
        <v>0.18450846683415445</v>
      </c>
      <c r="I777" s="10">
        <f t="shared" si="261"/>
        <v>0.25208000261019936</v>
      </c>
      <c r="J777" s="10">
        <f t="shared" si="262"/>
        <v>0.37896336147849263</v>
      </c>
      <c r="K777" s="4">
        <f t="shared" si="242"/>
        <v>-3.6949479393214726</v>
      </c>
      <c r="L777" s="10">
        <f t="shared" si="243"/>
        <v>0.25208000261019936</v>
      </c>
      <c r="M777" s="25">
        <v>123.07</v>
      </c>
      <c r="N777" s="25">
        <v>-43.65</v>
      </c>
      <c r="O777" s="25">
        <v>-128.11000000000001</v>
      </c>
      <c r="P777" s="11">
        <v>0.17299999999999999</v>
      </c>
      <c r="Q777" s="11">
        <v>1.1270000000000001E-2</v>
      </c>
      <c r="R777" s="12">
        <f t="shared" si="257"/>
        <v>0.20077327155861527</v>
      </c>
      <c r="S777" s="12">
        <f t="shared" si="258"/>
        <v>-7.1209501125648472E-2</v>
      </c>
      <c r="T777" s="12">
        <f t="shared" si="259"/>
        <v>-0.20899539952363863</v>
      </c>
      <c r="U777" s="12">
        <f t="shared" si="255"/>
        <v>3.473377597964044E-2</v>
      </c>
      <c r="V777" s="12">
        <f t="shared" si="248"/>
        <v>-1.2319243694737185E-2</v>
      </c>
      <c r="W777" s="12">
        <f t="shared" si="249"/>
        <v>-3.6156204117589477E-2</v>
      </c>
      <c r="X777" s="12">
        <f t="shared" si="250"/>
        <v>2.262714770465594E-3</v>
      </c>
      <c r="Y777" s="12">
        <f t="shared" si="251"/>
        <v>-8.0253107768605831E-4</v>
      </c>
      <c r="Z777" s="12">
        <f t="shared" si="252"/>
        <v>-2.3553781526314075E-3</v>
      </c>
    </row>
    <row r="778" spans="1:26" ht="13">
      <c r="A778" s="24" t="str">
        <f t="shared" ref="A778:A781" si="264">A777</f>
        <v>SBV</v>
      </c>
      <c r="B778" s="9">
        <v>2018</v>
      </c>
      <c r="C778" s="19">
        <v>52.27</v>
      </c>
      <c r="D778" s="29">
        <v>225.33</v>
      </c>
      <c r="E778" s="19">
        <v>692.49</v>
      </c>
      <c r="F778" s="19">
        <v>222.37</v>
      </c>
      <c r="G778" s="19">
        <v>428.71</v>
      </c>
      <c r="H778" s="10">
        <f t="shared" si="260"/>
        <v>7.5481234386056126E-2</v>
      </c>
      <c r="I778" s="10">
        <f t="shared" si="261"/>
        <v>0.32539098037516789</v>
      </c>
      <c r="J778" s="10">
        <f t="shared" si="262"/>
        <v>0.51869562174896788</v>
      </c>
      <c r="K778" s="4">
        <f t="shared" si="242"/>
        <v>-2.7870117490857917</v>
      </c>
      <c r="L778" s="10">
        <f t="shared" si="243"/>
        <v>0.32539098037516789</v>
      </c>
      <c r="M778" s="25">
        <v>-38.36</v>
      </c>
      <c r="N778" s="25">
        <v>-64.02</v>
      </c>
      <c r="O778" s="25">
        <v>5.26</v>
      </c>
      <c r="P778" s="11">
        <v>6.83E-2</v>
      </c>
      <c r="Q778" s="11">
        <v>1.1599999999999999E-2</v>
      </c>
      <c r="R778" s="12">
        <f t="shared" si="257"/>
        <v>-5.539430172276856E-2</v>
      </c>
      <c r="S778" s="12">
        <f t="shared" si="258"/>
        <v>-9.2448988433045956E-2</v>
      </c>
      <c r="T778" s="12">
        <f t="shared" si="259"/>
        <v>7.5957775563546036E-3</v>
      </c>
      <c r="U778" s="12">
        <f t="shared" si="255"/>
        <v>-3.7834308076650927E-3</v>
      </c>
      <c r="V778" s="12">
        <f t="shared" si="248"/>
        <v>-6.3142659099770385E-3</v>
      </c>
      <c r="W778" s="12">
        <f t="shared" si="249"/>
        <v>5.1879160709901939E-4</v>
      </c>
      <c r="X778" s="12">
        <f t="shared" si="250"/>
        <v>-6.4257389998411524E-4</v>
      </c>
      <c r="Y778" s="12">
        <f t="shared" si="251"/>
        <v>-1.0724082658233329E-3</v>
      </c>
      <c r="Z778" s="12">
        <f t="shared" si="252"/>
        <v>8.8111019653713401E-5</v>
      </c>
    </row>
    <row r="779" spans="1:26" ht="13">
      <c r="A779" s="24" t="str">
        <f t="shared" si="264"/>
        <v>SBV</v>
      </c>
      <c r="B779" s="9">
        <v>2019</v>
      </c>
      <c r="C779" s="19">
        <v>57.02</v>
      </c>
      <c r="D779" s="29">
        <v>222.6</v>
      </c>
      <c r="E779" s="19">
        <v>713.7</v>
      </c>
      <c r="F779" s="19">
        <v>200.16</v>
      </c>
      <c r="G779" s="19">
        <v>422.23</v>
      </c>
      <c r="H779" s="10">
        <f t="shared" si="260"/>
        <v>7.9893512680397932E-2</v>
      </c>
      <c r="I779" s="10">
        <f t="shared" si="261"/>
        <v>0.31189575451870533</v>
      </c>
      <c r="J779" s="10">
        <f t="shared" si="262"/>
        <v>0.4740544253132179</v>
      </c>
      <c r="K779" s="4">
        <f t="shared" si="242"/>
        <v>-2.8836112240064229</v>
      </c>
      <c r="L779" s="10">
        <f t="shared" si="243"/>
        <v>0.31189575451870533</v>
      </c>
      <c r="M779" s="25">
        <v>45.84</v>
      </c>
      <c r="N779" s="25">
        <v>-6.52</v>
      </c>
      <c r="O779" s="25">
        <v>-67.61</v>
      </c>
      <c r="P779" s="11">
        <v>8.9800000000000005E-2</v>
      </c>
      <c r="Q779" s="11">
        <v>1.1560000000000001E-2</v>
      </c>
      <c r="R779" s="12">
        <f t="shared" si="257"/>
        <v>6.4228667507356035E-2</v>
      </c>
      <c r="S779" s="12">
        <f t="shared" si="258"/>
        <v>-9.1354911027042157E-3</v>
      </c>
      <c r="T779" s="12">
        <f t="shared" si="259"/>
        <v>-9.4731679977581612E-2</v>
      </c>
      <c r="U779" s="12">
        <f t="shared" si="255"/>
        <v>5.7677343421605725E-3</v>
      </c>
      <c r="V779" s="12">
        <f t="shared" si="248"/>
        <v>-8.2036710102283866E-4</v>
      </c>
      <c r="W779" s="12">
        <f t="shared" si="249"/>
        <v>-8.50690486198683E-3</v>
      </c>
      <c r="X779" s="12">
        <f t="shared" si="250"/>
        <v>7.4248339638503585E-4</v>
      </c>
      <c r="Y779" s="12">
        <f t="shared" si="251"/>
        <v>-1.0560627714726074E-4</v>
      </c>
      <c r="Z779" s="12">
        <f t="shared" si="252"/>
        <v>-1.0950982205408435E-3</v>
      </c>
    </row>
    <row r="780" spans="1:26" ht="13">
      <c r="A780" s="24" t="str">
        <f t="shared" si="264"/>
        <v>SBV</v>
      </c>
      <c r="B780" s="9">
        <v>2020</v>
      </c>
      <c r="C780" s="19">
        <v>67.34</v>
      </c>
      <c r="D780" s="29">
        <v>367.68</v>
      </c>
      <c r="E780" s="19">
        <v>887.01</v>
      </c>
      <c r="F780" s="19">
        <v>295.25</v>
      </c>
      <c r="G780" s="19">
        <v>501.82</v>
      </c>
      <c r="H780" s="10">
        <f t="shared" si="260"/>
        <v>7.5917971612495916E-2</v>
      </c>
      <c r="I780" s="10">
        <f t="shared" si="261"/>
        <v>0.4145161835830487</v>
      </c>
      <c r="J780" s="10">
        <f t="shared" si="262"/>
        <v>0.58835837551313219</v>
      </c>
      <c r="K780" s="4">
        <f t="shared" si="242"/>
        <v>-2.281242059334907</v>
      </c>
      <c r="L780" s="10">
        <f t="shared" si="243"/>
        <v>0.4145161835830487</v>
      </c>
      <c r="M780" s="25">
        <v>-71.88</v>
      </c>
      <c r="N780" s="25">
        <v>-53.62</v>
      </c>
      <c r="O780" s="25">
        <v>115.11</v>
      </c>
      <c r="P780" s="11">
        <v>0.1154</v>
      </c>
      <c r="Q780" s="11">
        <v>1.1039999999999999E-2</v>
      </c>
      <c r="R780" s="12">
        <f t="shared" si="257"/>
        <v>-8.1036290458957619E-2</v>
      </c>
      <c r="S780" s="12">
        <f t="shared" si="258"/>
        <v>-6.0450276772527928E-2</v>
      </c>
      <c r="T780" s="12">
        <f t="shared" si="259"/>
        <v>0.12977305780092671</v>
      </c>
      <c r="U780" s="12">
        <f t="shared" si="255"/>
        <v>-9.3515879189637087E-3</v>
      </c>
      <c r="V780" s="12">
        <f t="shared" si="248"/>
        <v>-6.9759619395497229E-3</v>
      </c>
      <c r="W780" s="12">
        <f t="shared" si="249"/>
        <v>1.4975810870226943E-2</v>
      </c>
      <c r="X780" s="12">
        <f t="shared" si="250"/>
        <v>-8.9464064666689206E-4</v>
      </c>
      <c r="Y780" s="12">
        <f t="shared" si="251"/>
        <v>-6.6737105556870832E-4</v>
      </c>
      <c r="Z780" s="12">
        <f t="shared" si="252"/>
        <v>1.4326945581222309E-3</v>
      </c>
    </row>
    <row r="781" spans="1:26" ht="13">
      <c r="A781" s="24" t="str">
        <f t="shared" si="264"/>
        <v>SBV</v>
      </c>
      <c r="B781" s="9">
        <v>2021</v>
      </c>
      <c r="C781" s="19">
        <v>50.98</v>
      </c>
      <c r="D781" s="29">
        <v>375.79</v>
      </c>
      <c r="E781" s="19">
        <v>911.29</v>
      </c>
      <c r="F781" s="19">
        <v>322.94</v>
      </c>
      <c r="G781" s="19">
        <v>560.05999999999995</v>
      </c>
      <c r="H781" s="10">
        <f t="shared" si="260"/>
        <v>5.5942674669973332E-2</v>
      </c>
      <c r="I781" s="10">
        <f t="shared" si="261"/>
        <v>0.41237147340583136</v>
      </c>
      <c r="J781" s="10">
        <f t="shared" si="262"/>
        <v>0.57661679105810093</v>
      </c>
      <c r="K781" s="4">
        <f t="shared" si="242"/>
        <v>-2.2035311047658737</v>
      </c>
      <c r="L781" s="10">
        <f t="shared" si="243"/>
        <v>0.41237147340583136</v>
      </c>
      <c r="M781" s="25">
        <v>39.9</v>
      </c>
      <c r="N781" s="25">
        <v>-0.49</v>
      </c>
      <c r="O781" s="25">
        <v>-43.9</v>
      </c>
      <c r="P781" s="11">
        <v>0.1115</v>
      </c>
      <c r="Q781" s="11">
        <v>2.1100000000000001E-2</v>
      </c>
      <c r="R781" s="12">
        <f t="shared" si="257"/>
        <v>4.3784086295251788E-2</v>
      </c>
      <c r="S781" s="12">
        <f t="shared" si="258"/>
        <v>-5.3769930538028507E-4</v>
      </c>
      <c r="T781" s="12">
        <f t="shared" si="259"/>
        <v>-4.8173468379988808E-2</v>
      </c>
      <c r="U781" s="12">
        <f t="shared" si="255"/>
        <v>4.8819256219205746E-3</v>
      </c>
      <c r="V781" s="12">
        <f t="shared" si="248"/>
        <v>-5.9953472549901783E-5</v>
      </c>
      <c r="W781" s="12">
        <f t="shared" si="249"/>
        <v>-5.3713417243687524E-3</v>
      </c>
      <c r="X781" s="12">
        <f t="shared" si="250"/>
        <v>9.2384422082981271E-4</v>
      </c>
      <c r="Y781" s="12">
        <f t="shared" si="251"/>
        <v>-1.1345455343524016E-5</v>
      </c>
      <c r="Z781" s="12">
        <f t="shared" si="252"/>
        <v>-1.0164601828177638E-3</v>
      </c>
    </row>
    <row r="782" spans="1:26" ht="13">
      <c r="A782" s="24" t="s">
        <v>173</v>
      </c>
      <c r="B782" s="9">
        <v>2017</v>
      </c>
      <c r="C782" s="19">
        <v>59.98</v>
      </c>
      <c r="D782" s="29">
        <v>1668.2</v>
      </c>
      <c r="E782" s="19">
        <v>2013.64</v>
      </c>
      <c r="F782" s="19">
        <v>1599.9</v>
      </c>
      <c r="G782" s="19">
        <v>1834.73</v>
      </c>
      <c r="H782" s="10">
        <f t="shared" si="260"/>
        <v>2.978685365805208E-2</v>
      </c>
      <c r="I782" s="10">
        <f t="shared" si="261"/>
        <v>0.82844997119644026</v>
      </c>
      <c r="J782" s="10">
        <f t="shared" si="262"/>
        <v>0.87200841540717167</v>
      </c>
      <c r="K782" s="4">
        <f t="shared" si="242"/>
        <v>0.28463596069684655</v>
      </c>
      <c r="L782" s="10">
        <f t="shared" si="243"/>
        <v>0.82844997119644026</v>
      </c>
      <c r="M782" s="25">
        <v>-104.27</v>
      </c>
      <c r="N782" s="25">
        <v>-2.31</v>
      </c>
      <c r="O782" s="25">
        <v>92.4</v>
      </c>
      <c r="P782" s="11">
        <v>4.4699999999999997E-2</v>
      </c>
      <c r="Q782" s="11">
        <v>0.17399999999999999</v>
      </c>
      <c r="R782" s="12">
        <f t="shared" si="257"/>
        <v>-5.1781847798017519E-2</v>
      </c>
      <c r="S782" s="12">
        <f t="shared" si="258"/>
        <v>-1.1471762579209788E-3</v>
      </c>
      <c r="T782" s="12">
        <f t="shared" si="259"/>
        <v>4.5887050316839158E-2</v>
      </c>
      <c r="U782" s="12">
        <f t="shared" si="255"/>
        <v>-2.3146485965713829E-3</v>
      </c>
      <c r="V782" s="12">
        <f t="shared" si="248"/>
        <v>-5.1278778729067747E-5</v>
      </c>
      <c r="W782" s="12">
        <f t="shared" si="249"/>
        <v>2.0511511491627102E-3</v>
      </c>
      <c r="X782" s="12">
        <f t="shared" si="250"/>
        <v>-9.0100415168550482E-3</v>
      </c>
      <c r="Y782" s="12">
        <f t="shared" si="251"/>
        <v>-1.996086688782503E-4</v>
      </c>
      <c r="Z782" s="12">
        <f t="shared" si="252"/>
        <v>7.9843467551300121E-3</v>
      </c>
    </row>
    <row r="783" spans="1:26" ht="13">
      <c r="A783" s="24" t="str">
        <f t="shared" ref="A783:A786" si="265">A782</f>
        <v>SC5</v>
      </c>
      <c r="B783" s="9">
        <v>2018</v>
      </c>
      <c r="C783" s="19">
        <v>39.68</v>
      </c>
      <c r="D783" s="29">
        <v>1567.48</v>
      </c>
      <c r="E783" s="19">
        <v>1916.64</v>
      </c>
      <c r="F783" s="19">
        <v>1496.33</v>
      </c>
      <c r="G783" s="19">
        <v>1838.59</v>
      </c>
      <c r="H783" s="10">
        <f t="shared" si="260"/>
        <v>2.0702896735954587E-2</v>
      </c>
      <c r="I783" s="10">
        <f t="shared" si="261"/>
        <v>0.81782703063694795</v>
      </c>
      <c r="J783" s="10">
        <f t="shared" si="262"/>
        <v>0.81384648018318384</v>
      </c>
      <c r="K783" s="4">
        <f t="shared" si="242"/>
        <v>0.26519565339807483</v>
      </c>
      <c r="L783" s="10">
        <f t="shared" si="243"/>
        <v>0.81782703063694795</v>
      </c>
      <c r="M783" s="25">
        <v>38.659999999999997</v>
      </c>
      <c r="N783" s="25">
        <v>97.26</v>
      </c>
      <c r="O783" s="25">
        <v>-52.83</v>
      </c>
      <c r="P783" s="11">
        <v>4.6699999999999998E-2</v>
      </c>
      <c r="Q783" s="11">
        <v>0.53300000000000003</v>
      </c>
      <c r="R783" s="12">
        <f t="shared" si="257"/>
        <v>2.0170715418649302E-2</v>
      </c>
      <c r="S783" s="12">
        <f t="shared" si="258"/>
        <v>5.0745053844227395E-2</v>
      </c>
      <c r="T783" s="12">
        <f t="shared" si="259"/>
        <v>-2.7563861758076631E-2</v>
      </c>
      <c r="U783" s="12">
        <f t="shared" si="255"/>
        <v>9.4197241005092238E-4</v>
      </c>
      <c r="V783" s="12">
        <f t="shared" si="248"/>
        <v>2.3697940145254192E-3</v>
      </c>
      <c r="W783" s="12">
        <f t="shared" si="249"/>
        <v>-1.2872323441021787E-3</v>
      </c>
      <c r="X783" s="12">
        <f t="shared" si="250"/>
        <v>1.0750991318140078E-2</v>
      </c>
      <c r="Y783" s="12">
        <f t="shared" si="251"/>
        <v>2.7047113698973203E-2</v>
      </c>
      <c r="Z783" s="12">
        <f t="shared" si="252"/>
        <v>-1.4691538317054845E-2</v>
      </c>
    </row>
    <row r="784" spans="1:26" ht="13">
      <c r="A784" s="24" t="str">
        <f t="shared" si="265"/>
        <v>SC5</v>
      </c>
      <c r="B784" s="9">
        <v>2019</v>
      </c>
      <c r="C784" s="19">
        <v>33.770000000000003</v>
      </c>
      <c r="D784" s="29">
        <v>1338.53</v>
      </c>
      <c r="E784" s="19">
        <v>1686.72</v>
      </c>
      <c r="F784" s="19">
        <v>1265.76</v>
      </c>
      <c r="G784" s="19">
        <v>1592.13</v>
      </c>
      <c r="H784" s="10">
        <f t="shared" si="260"/>
        <v>2.0021106051982547E-2</v>
      </c>
      <c r="I784" s="10">
        <f t="shared" si="261"/>
        <v>0.79356976854486816</v>
      </c>
      <c r="J784" s="10">
        <f t="shared" si="262"/>
        <v>0.79501045768875656</v>
      </c>
      <c r="K784" s="4">
        <f t="shared" si="242"/>
        <v>0.13007266164107215</v>
      </c>
      <c r="L784" s="10">
        <f t="shared" si="243"/>
        <v>0.79356976854486816</v>
      </c>
      <c r="M784" s="25">
        <v>-32.020000000000003</v>
      </c>
      <c r="N784" s="25">
        <v>-14.07</v>
      </c>
      <c r="O784" s="25">
        <v>78.239999999999995</v>
      </c>
      <c r="P784" s="11">
        <v>4.48E-2</v>
      </c>
      <c r="Q784" s="11">
        <v>0.52722999999999998</v>
      </c>
      <c r="R784" s="12">
        <f t="shared" si="257"/>
        <v>-1.8983589451716944E-2</v>
      </c>
      <c r="S784" s="12">
        <f t="shared" si="258"/>
        <v>-8.3416334661354577E-3</v>
      </c>
      <c r="T784" s="12">
        <f t="shared" si="259"/>
        <v>4.6385885031303357E-2</v>
      </c>
      <c r="U784" s="12">
        <f t="shared" si="255"/>
        <v>-8.5046480743691908E-4</v>
      </c>
      <c r="V784" s="12">
        <f t="shared" si="248"/>
        <v>-3.737051792828685E-4</v>
      </c>
      <c r="W784" s="12">
        <f t="shared" si="249"/>
        <v>2.0780876494023905E-3</v>
      </c>
      <c r="X784" s="12">
        <f t="shared" si="250"/>
        <v>-1.0008717866628724E-2</v>
      </c>
      <c r="Y784" s="12">
        <f t="shared" si="251"/>
        <v>-4.3979594123505971E-3</v>
      </c>
      <c r="Z784" s="12">
        <f t="shared" si="252"/>
        <v>2.4456030165054068E-2</v>
      </c>
    </row>
    <row r="785" spans="1:26" ht="13">
      <c r="A785" s="24" t="str">
        <f t="shared" si="265"/>
        <v>SC5</v>
      </c>
      <c r="B785" s="9">
        <v>2020</v>
      </c>
      <c r="C785" s="19">
        <v>35.26</v>
      </c>
      <c r="D785" s="29">
        <v>1820.92</v>
      </c>
      <c r="E785" s="19">
        <v>2170.6999999999998</v>
      </c>
      <c r="F785" s="19">
        <v>1778.9</v>
      </c>
      <c r="G785" s="19">
        <v>2054.85</v>
      </c>
      <c r="H785" s="10">
        <f t="shared" si="260"/>
        <v>1.6243608052701895E-2</v>
      </c>
      <c r="I785" s="10">
        <f t="shared" si="261"/>
        <v>0.8388630395724882</v>
      </c>
      <c r="J785" s="10">
        <f t="shared" si="262"/>
        <v>0.86570795921843446</v>
      </c>
      <c r="K785" s="4">
        <f t="shared" si="242"/>
        <v>0.40496025748915104</v>
      </c>
      <c r="L785" s="10">
        <f t="shared" si="243"/>
        <v>0.8388630395724882</v>
      </c>
      <c r="M785" s="25">
        <v>45.68</v>
      </c>
      <c r="N785" s="25">
        <v>-9.11</v>
      </c>
      <c r="O785" s="25">
        <v>-39.33</v>
      </c>
      <c r="P785" s="11">
        <v>4.4400000000000002E-2</v>
      </c>
      <c r="Q785" s="11">
        <v>0.52729999999999999</v>
      </c>
      <c r="R785" s="12">
        <f t="shared" si="257"/>
        <v>2.1043902888469159E-2</v>
      </c>
      <c r="S785" s="12">
        <f t="shared" si="258"/>
        <v>-4.1968028746487305E-3</v>
      </c>
      <c r="T785" s="12">
        <f t="shared" si="259"/>
        <v>-1.8118579260146497E-2</v>
      </c>
      <c r="U785" s="12">
        <f t="shared" si="255"/>
        <v>9.343492882480307E-4</v>
      </c>
      <c r="V785" s="12">
        <f t="shared" si="248"/>
        <v>-1.8633804763440364E-4</v>
      </c>
      <c r="W785" s="12">
        <f t="shared" si="249"/>
        <v>-8.0446491915050447E-4</v>
      </c>
      <c r="X785" s="12">
        <f t="shared" si="250"/>
        <v>1.1096449993089787E-2</v>
      </c>
      <c r="Y785" s="12">
        <f t="shared" si="251"/>
        <v>-2.2129741558022755E-3</v>
      </c>
      <c r="Z785" s="12">
        <f t="shared" si="252"/>
        <v>-9.5539268438752482E-3</v>
      </c>
    </row>
    <row r="786" spans="1:26" ht="13">
      <c r="A786" s="24" t="str">
        <f t="shared" si="265"/>
        <v>SC5</v>
      </c>
      <c r="B786" s="9">
        <v>2021</v>
      </c>
      <c r="C786" s="19">
        <v>33.950000000000003</v>
      </c>
      <c r="D786" s="29">
        <v>2046.51</v>
      </c>
      <c r="E786" s="19">
        <v>2394.98</v>
      </c>
      <c r="F786" s="19">
        <v>2012.12</v>
      </c>
      <c r="G786" s="19">
        <v>2285.39</v>
      </c>
      <c r="H786" s="10">
        <f t="shared" si="260"/>
        <v>1.4175483720114575E-2</v>
      </c>
      <c r="I786" s="10">
        <f t="shared" si="261"/>
        <v>0.85449982880859132</v>
      </c>
      <c r="J786" s="10">
        <f t="shared" si="262"/>
        <v>0.88042741063888441</v>
      </c>
      <c r="K786" s="4">
        <f t="shared" si="242"/>
        <v>0.5033376378258998</v>
      </c>
      <c r="L786" s="10">
        <f t="shared" si="243"/>
        <v>0.85449982880859132</v>
      </c>
      <c r="M786" s="25">
        <v>132.72</v>
      </c>
      <c r="N786" s="26">
        <v>6.7</v>
      </c>
      <c r="O786" s="25">
        <v>-60.01</v>
      </c>
      <c r="P786" s="11">
        <v>4.2999999999999997E-2</v>
      </c>
      <c r="Q786" s="11">
        <v>0.53580000000000005</v>
      </c>
      <c r="R786" s="12">
        <f t="shared" si="257"/>
        <v>5.5415911615128308E-2</v>
      </c>
      <c r="S786" s="12">
        <f t="shared" si="258"/>
        <v>2.7975181421139215E-3</v>
      </c>
      <c r="T786" s="12">
        <f t="shared" si="259"/>
        <v>-2.5056576672874094E-2</v>
      </c>
      <c r="U786" s="12">
        <f t="shared" si="255"/>
        <v>2.3828841994505169E-3</v>
      </c>
      <c r="V786" s="12">
        <f t="shared" si="248"/>
        <v>1.2029328011089861E-4</v>
      </c>
      <c r="W786" s="12">
        <f t="shared" si="249"/>
        <v>-1.0774327969335859E-3</v>
      </c>
      <c r="X786" s="12">
        <f t="shared" si="250"/>
        <v>2.969184544338575E-2</v>
      </c>
      <c r="Y786" s="12">
        <f t="shared" si="251"/>
        <v>1.4989102205446392E-3</v>
      </c>
      <c r="Z786" s="12">
        <f t="shared" si="252"/>
        <v>-1.3425313781325941E-2</v>
      </c>
    </row>
    <row r="787" spans="1:26" ht="13">
      <c r="A787" s="24" t="s">
        <v>174</v>
      </c>
      <c r="B787" s="9">
        <v>2017</v>
      </c>
      <c r="C787" s="19">
        <v>91.95</v>
      </c>
      <c r="D787" s="29">
        <v>649.02</v>
      </c>
      <c r="E787" s="19">
        <v>1237.93</v>
      </c>
      <c r="F787" s="19">
        <v>648.58000000000004</v>
      </c>
      <c r="G787" s="19">
        <v>1016.42</v>
      </c>
      <c r="H787" s="10">
        <f t="shared" si="260"/>
        <v>7.4277220844474245E-2</v>
      </c>
      <c r="I787" s="10">
        <f t="shared" si="261"/>
        <v>0.52427843254465112</v>
      </c>
      <c r="J787" s="10">
        <f t="shared" si="262"/>
        <v>0.6381023592609355</v>
      </c>
      <c r="K787" s="4">
        <f t="shared" si="242"/>
        <v>-1.6484128377326657</v>
      </c>
      <c r="L787" s="10">
        <f t="shared" si="243"/>
        <v>0.52427843254465112</v>
      </c>
      <c r="M787" s="25">
        <v>102.34</v>
      </c>
      <c r="N787" s="25">
        <v>-93.31</v>
      </c>
      <c r="O787" s="25">
        <v>-38.42</v>
      </c>
      <c r="P787" s="27">
        <v>6.4999999999999997E-3</v>
      </c>
      <c r="Q787" s="11">
        <v>0.20558999999999999</v>
      </c>
      <c r="R787" s="12">
        <f t="shared" si="257"/>
        <v>8.2670264069858557E-2</v>
      </c>
      <c r="S787" s="12">
        <f t="shared" si="258"/>
        <v>-7.5375829004871039E-2</v>
      </c>
      <c r="T787" s="12">
        <f t="shared" si="259"/>
        <v>-3.1035680531209357E-2</v>
      </c>
      <c r="U787" s="12">
        <f t="shared" si="255"/>
        <v>5.3735671645408064E-4</v>
      </c>
      <c r="V787" s="12">
        <f t="shared" si="248"/>
        <v>-4.8994288853166171E-4</v>
      </c>
      <c r="W787" s="12">
        <f t="shared" si="249"/>
        <v>-2.0173192345286081E-4</v>
      </c>
      <c r="X787" s="12">
        <f t="shared" si="250"/>
        <v>1.6996179590122219E-2</v>
      </c>
      <c r="Y787" s="12">
        <f t="shared" si="251"/>
        <v>-1.5496516685111436E-2</v>
      </c>
      <c r="Z787" s="12">
        <f t="shared" si="252"/>
        <v>-6.3806255604113319E-3</v>
      </c>
    </row>
    <row r="788" spans="1:26" ht="13">
      <c r="A788" s="24" t="str">
        <f t="shared" ref="A788:A791" si="266">A787</f>
        <v>SFG</v>
      </c>
      <c r="B788" s="9">
        <v>2018</v>
      </c>
      <c r="C788" s="19">
        <v>68.900000000000006</v>
      </c>
      <c r="D788" s="29">
        <v>664.98</v>
      </c>
      <c r="E788" s="19">
        <v>1245.01</v>
      </c>
      <c r="F788" s="19">
        <v>664.64</v>
      </c>
      <c r="G788" s="19">
        <v>1003.98</v>
      </c>
      <c r="H788" s="10">
        <f t="shared" si="260"/>
        <v>5.5340920956458185E-2</v>
      </c>
      <c r="I788" s="10">
        <f t="shared" si="261"/>
        <v>0.53411619183781656</v>
      </c>
      <c r="J788" s="10">
        <f t="shared" si="262"/>
        <v>0.66200521922747457</v>
      </c>
      <c r="K788" s="4">
        <f t="shared" si="242"/>
        <v>-1.5072198717054175</v>
      </c>
      <c r="L788" s="10">
        <f t="shared" si="243"/>
        <v>0.53411619183781656</v>
      </c>
      <c r="M788" s="25">
        <v>-115.85</v>
      </c>
      <c r="N788" s="25">
        <v>57.4</v>
      </c>
      <c r="O788" s="25">
        <v>49.66</v>
      </c>
      <c r="P788" s="11">
        <v>6.3E-3</v>
      </c>
      <c r="Q788" s="11">
        <v>0.43664999999999998</v>
      </c>
      <c r="R788" s="12">
        <f t="shared" si="257"/>
        <v>-9.3051461434044705E-2</v>
      </c>
      <c r="S788" s="12">
        <f t="shared" si="258"/>
        <v>4.6104047357049337E-2</v>
      </c>
      <c r="T788" s="12">
        <f t="shared" si="259"/>
        <v>3.9887229821447212E-2</v>
      </c>
      <c r="U788" s="12">
        <f t="shared" si="255"/>
        <v>-5.8622420703448167E-4</v>
      </c>
      <c r="V788" s="12">
        <f t="shared" si="248"/>
        <v>2.9045549834941085E-4</v>
      </c>
      <c r="W788" s="12">
        <f t="shared" si="249"/>
        <v>2.5128954787511742E-4</v>
      </c>
      <c r="X788" s="12">
        <f t="shared" si="250"/>
        <v>-4.0630920635175621E-2</v>
      </c>
      <c r="Y788" s="12">
        <f t="shared" si="251"/>
        <v>2.0131332278455594E-2</v>
      </c>
      <c r="Z788" s="12">
        <f t="shared" si="252"/>
        <v>1.7416758901534924E-2</v>
      </c>
    </row>
    <row r="789" spans="1:26" ht="13">
      <c r="A789" s="24" t="str">
        <f t="shared" si="266"/>
        <v>SFG</v>
      </c>
      <c r="B789" s="9">
        <v>2019</v>
      </c>
      <c r="C789" s="19">
        <v>1.54</v>
      </c>
      <c r="D789" s="29">
        <v>530.1</v>
      </c>
      <c r="E789" s="19">
        <v>1086.83</v>
      </c>
      <c r="F789" s="19">
        <v>529.76</v>
      </c>
      <c r="G789" s="19">
        <v>831.06</v>
      </c>
      <c r="H789" s="10">
        <f t="shared" si="260"/>
        <v>1.4169649347184014E-3</v>
      </c>
      <c r="I789" s="10">
        <f t="shared" si="261"/>
        <v>0.48774877395728866</v>
      </c>
      <c r="J789" s="10">
        <f t="shared" si="262"/>
        <v>0.63745096623589159</v>
      </c>
      <c r="K789" s="4">
        <f t="shared" si="242"/>
        <v>-1.5287581345146308</v>
      </c>
      <c r="L789" s="10">
        <f t="shared" si="243"/>
        <v>0.48774877395728866</v>
      </c>
      <c r="M789" s="25">
        <v>238.21</v>
      </c>
      <c r="N789" s="25">
        <v>-32.630000000000003</v>
      </c>
      <c r="O789" s="25">
        <v>-202.34</v>
      </c>
      <c r="P789" s="11">
        <f>P788</f>
        <v>6.3E-3</v>
      </c>
      <c r="Q789" s="11">
        <v>0.40205000000000002</v>
      </c>
      <c r="R789" s="12">
        <f t="shared" si="257"/>
        <v>0.21917871240212364</v>
      </c>
      <c r="S789" s="12">
        <f t="shared" si="258"/>
        <v>-3.0023094688221712E-2</v>
      </c>
      <c r="T789" s="12">
        <f t="shared" si="259"/>
        <v>-0.18617447070839047</v>
      </c>
      <c r="U789" s="12">
        <f t="shared" si="255"/>
        <v>1.3808258881333789E-3</v>
      </c>
      <c r="V789" s="12">
        <f t="shared" si="248"/>
        <v>-1.8914549653579679E-4</v>
      </c>
      <c r="W789" s="12">
        <f t="shared" si="249"/>
        <v>-1.17289916546286E-3</v>
      </c>
      <c r="X789" s="12">
        <f t="shared" si="250"/>
        <v>8.8120801321273812E-2</v>
      </c>
      <c r="Y789" s="12">
        <f t="shared" si="251"/>
        <v>-1.2070785219399541E-2</v>
      </c>
      <c r="Z789" s="12">
        <f t="shared" si="252"/>
        <v>-7.4851445948308393E-2</v>
      </c>
    </row>
    <row r="790" spans="1:26" ht="13">
      <c r="A790" s="24" t="str">
        <f t="shared" si="266"/>
        <v>SFG</v>
      </c>
      <c r="B790" s="9">
        <v>2020</v>
      </c>
      <c r="C790" s="19">
        <v>3.03</v>
      </c>
      <c r="D790" s="29">
        <v>495.87</v>
      </c>
      <c r="E790" s="19">
        <v>1055.29</v>
      </c>
      <c r="F790" s="19">
        <v>495.54</v>
      </c>
      <c r="G790" s="19">
        <v>811.55</v>
      </c>
      <c r="H790" s="10">
        <f t="shared" si="260"/>
        <v>2.8712486615053681E-3</v>
      </c>
      <c r="I790" s="10">
        <f t="shared" si="261"/>
        <v>0.4698897933269528</v>
      </c>
      <c r="J790" s="10">
        <f t="shared" si="262"/>
        <v>0.6106093278294622</v>
      </c>
      <c r="K790" s="4">
        <f t="shared" si="242"/>
        <v>-1.6369912343244606</v>
      </c>
      <c r="L790" s="10">
        <f t="shared" si="243"/>
        <v>0.4698897933269528</v>
      </c>
      <c r="M790" s="25">
        <v>48.61</v>
      </c>
      <c r="N790" s="25">
        <v>-48.57</v>
      </c>
      <c r="O790" s="25">
        <v>-17.66</v>
      </c>
      <c r="P790" s="11">
        <v>7.3000000000000001E-3</v>
      </c>
      <c r="Q790" s="11">
        <v>1.6999999999999999E-3</v>
      </c>
      <c r="R790" s="12">
        <f t="shared" si="257"/>
        <v>4.6063167470553119E-2</v>
      </c>
      <c r="S790" s="12">
        <f t="shared" si="258"/>
        <v>-4.6025263197793972E-2</v>
      </c>
      <c r="T790" s="12">
        <f t="shared" si="259"/>
        <v>-1.6734736423163303E-2</v>
      </c>
      <c r="U790" s="12">
        <f t="shared" si="255"/>
        <v>3.3626112253503775E-4</v>
      </c>
      <c r="V790" s="12">
        <f t="shared" si="248"/>
        <v>-3.3598442134389603E-4</v>
      </c>
      <c r="W790" s="12">
        <f t="shared" si="249"/>
        <v>-1.2216357588909211E-4</v>
      </c>
      <c r="X790" s="12">
        <f t="shared" si="250"/>
        <v>7.83073846999403E-5</v>
      </c>
      <c r="Y790" s="12">
        <f t="shared" si="251"/>
        <v>-7.8242947436249748E-5</v>
      </c>
      <c r="Z790" s="12">
        <f t="shared" si="252"/>
        <v>-2.8449051919377612E-5</v>
      </c>
    </row>
    <row r="791" spans="1:26" ht="13">
      <c r="A791" s="24" t="str">
        <f t="shared" si="266"/>
        <v>SFG</v>
      </c>
      <c r="B791" s="9">
        <v>2021</v>
      </c>
      <c r="C791" s="19">
        <v>36.6</v>
      </c>
      <c r="D791" s="29">
        <v>844.84</v>
      </c>
      <c r="E791" s="19">
        <v>1428.5</v>
      </c>
      <c r="F791" s="19">
        <v>843.94</v>
      </c>
      <c r="G791" s="19">
        <v>1186.71</v>
      </c>
      <c r="H791" s="10">
        <f t="shared" si="260"/>
        <v>2.5621281064053203E-2</v>
      </c>
      <c r="I791" s="10">
        <f t="shared" si="261"/>
        <v>0.59141757087854396</v>
      </c>
      <c r="J791" s="10">
        <f t="shared" si="262"/>
        <v>0.71115942395361964</v>
      </c>
      <c r="K791" s="4">
        <f t="shared" si="242"/>
        <v>-1.0470602484763529</v>
      </c>
      <c r="L791" s="10">
        <f t="shared" si="243"/>
        <v>0.59141757087854396</v>
      </c>
      <c r="M791" s="25">
        <v>6.29</v>
      </c>
      <c r="N791" s="25">
        <v>-265.66000000000003</v>
      </c>
      <c r="O791" s="25">
        <v>304.47000000000003</v>
      </c>
      <c r="P791" s="11">
        <f>P790</f>
        <v>7.3000000000000001E-3</v>
      </c>
      <c r="Q791" s="11">
        <f>Q790</f>
        <v>1.6999999999999999E-3</v>
      </c>
      <c r="R791" s="12">
        <f t="shared" si="257"/>
        <v>4.40322016100805E-3</v>
      </c>
      <c r="S791" s="12">
        <f t="shared" si="258"/>
        <v>-0.18597129856492825</v>
      </c>
      <c r="T791" s="12">
        <f t="shared" si="259"/>
        <v>0.21313965698284917</v>
      </c>
      <c r="U791" s="12">
        <f t="shared" si="255"/>
        <v>3.2143507175358765E-5</v>
      </c>
      <c r="V791" s="12">
        <f t="shared" si="248"/>
        <v>-1.3575904795239762E-3</v>
      </c>
      <c r="W791" s="12">
        <f t="shared" si="249"/>
        <v>1.555919495974799E-3</v>
      </c>
      <c r="X791" s="12">
        <f t="shared" si="250"/>
        <v>7.4854742737136845E-6</v>
      </c>
      <c r="Y791" s="12">
        <f t="shared" si="251"/>
        <v>-3.1615120756037799E-4</v>
      </c>
      <c r="Z791" s="12">
        <f t="shared" si="252"/>
        <v>3.6233741687084357E-4</v>
      </c>
    </row>
    <row r="792" spans="1:26" ht="13">
      <c r="A792" s="24" t="s">
        <v>175</v>
      </c>
      <c r="B792" s="9">
        <v>2017</v>
      </c>
      <c r="C792" s="19">
        <v>40.950000000000003</v>
      </c>
      <c r="D792" s="29">
        <v>216.55</v>
      </c>
      <c r="E792" s="19">
        <v>570.42999999999995</v>
      </c>
      <c r="F792" s="19">
        <v>215.22</v>
      </c>
      <c r="G792" s="19">
        <v>397.97</v>
      </c>
      <c r="H792" s="10">
        <f t="shared" si="260"/>
        <v>7.178794944164929E-2</v>
      </c>
      <c r="I792" s="10">
        <f t="shared" si="261"/>
        <v>0.37962589625370341</v>
      </c>
      <c r="J792" s="10">
        <f t="shared" si="262"/>
        <v>0.54079453225117469</v>
      </c>
      <c r="K792" s="4">
        <f t="shared" si="242"/>
        <v>-2.461341341970317</v>
      </c>
      <c r="L792" s="10">
        <f t="shared" si="243"/>
        <v>0.37962589625370341</v>
      </c>
      <c r="M792" s="25">
        <v>-24.91</v>
      </c>
      <c r="N792" s="25">
        <v>-26.48</v>
      </c>
      <c r="O792" s="25">
        <v>-12.81</v>
      </c>
      <c r="P792" s="11">
        <v>0.35160000000000002</v>
      </c>
      <c r="Q792" s="11">
        <v>0.2036</v>
      </c>
      <c r="R792" s="12">
        <f t="shared" si="257"/>
        <v>-4.366881124765528E-2</v>
      </c>
      <c r="S792" s="12">
        <f t="shared" si="258"/>
        <v>-4.642112090878811E-2</v>
      </c>
      <c r="T792" s="12">
        <f t="shared" si="259"/>
        <v>-2.245674315866978E-2</v>
      </c>
      <c r="U792" s="12">
        <f t="shared" si="255"/>
        <v>-1.5353954034675597E-2</v>
      </c>
      <c r="V792" s="12">
        <f t="shared" si="248"/>
        <v>-1.6321666111529902E-2</v>
      </c>
      <c r="W792" s="12">
        <f t="shared" si="249"/>
        <v>-7.8957908945882956E-3</v>
      </c>
      <c r="X792" s="12">
        <f t="shared" si="250"/>
        <v>-8.8909699700226146E-3</v>
      </c>
      <c r="Y792" s="12">
        <f t="shared" si="251"/>
        <v>-9.4513402170292599E-3</v>
      </c>
      <c r="Z792" s="12">
        <f t="shared" si="252"/>
        <v>-4.5721929071051671E-3</v>
      </c>
    </row>
    <row r="793" spans="1:26" ht="13">
      <c r="A793" s="24" t="str">
        <f t="shared" ref="A793:A796" si="267">A792</f>
        <v>SFI</v>
      </c>
      <c r="B793" s="9">
        <v>2018</v>
      </c>
      <c r="C793" s="19">
        <v>54.17</v>
      </c>
      <c r="D793" s="29">
        <v>300.31</v>
      </c>
      <c r="E793" s="19">
        <v>707.33</v>
      </c>
      <c r="F793" s="19">
        <v>298.58</v>
      </c>
      <c r="G793" s="19">
        <v>445.45</v>
      </c>
      <c r="H793" s="10">
        <f t="shared" si="260"/>
        <v>7.6583772779325071E-2</v>
      </c>
      <c r="I793" s="10">
        <f t="shared" si="261"/>
        <v>0.42456844754216561</v>
      </c>
      <c r="J793" s="10">
        <f t="shared" si="262"/>
        <v>0.67028847233135025</v>
      </c>
      <c r="K793" s="4">
        <f t="shared" si="242"/>
        <v>-2.2272679804059443</v>
      </c>
      <c r="L793" s="10">
        <f t="shared" si="243"/>
        <v>0.42456844754216561</v>
      </c>
      <c r="M793" s="25">
        <v>89.21</v>
      </c>
      <c r="N793" s="25">
        <v>-104.35</v>
      </c>
      <c r="O793" s="25">
        <v>-11.78</v>
      </c>
      <c r="P793" s="11">
        <v>0.34439999999999998</v>
      </c>
      <c r="Q793" s="11">
        <v>0.24129999999999999</v>
      </c>
      <c r="R793" s="12">
        <f t="shared" si="257"/>
        <v>0.12612217776709597</v>
      </c>
      <c r="S793" s="12">
        <f t="shared" si="258"/>
        <v>-0.14752661416877552</v>
      </c>
      <c r="T793" s="12">
        <f t="shared" si="259"/>
        <v>-1.6654178389153576E-2</v>
      </c>
      <c r="U793" s="12">
        <f t="shared" si="255"/>
        <v>4.3436478022987848E-2</v>
      </c>
      <c r="V793" s="12">
        <f t="shared" si="248"/>
        <v>-5.0808165919726291E-2</v>
      </c>
      <c r="W793" s="12">
        <f t="shared" si="249"/>
        <v>-5.7356990372244912E-3</v>
      </c>
      <c r="X793" s="12">
        <f t="shared" si="250"/>
        <v>3.0433281495200255E-2</v>
      </c>
      <c r="Y793" s="12">
        <f t="shared" si="251"/>
        <v>-3.559817199892553E-2</v>
      </c>
      <c r="Z793" s="12">
        <f t="shared" si="252"/>
        <v>-4.0186532453027578E-3</v>
      </c>
    </row>
    <row r="794" spans="1:26" ht="13">
      <c r="A794" s="24" t="str">
        <f t="shared" si="267"/>
        <v>SFI</v>
      </c>
      <c r="B794" s="9">
        <v>2019</v>
      </c>
      <c r="C794" s="19">
        <v>44.88</v>
      </c>
      <c r="D794" s="29">
        <v>93.93</v>
      </c>
      <c r="E794" s="19">
        <v>538.94000000000005</v>
      </c>
      <c r="F794" s="19">
        <v>92.5</v>
      </c>
      <c r="G794" s="19">
        <v>277.36</v>
      </c>
      <c r="H794" s="10">
        <f t="shared" si="260"/>
        <v>8.327457601959401E-2</v>
      </c>
      <c r="I794" s="10">
        <f t="shared" si="261"/>
        <v>0.17428656251159683</v>
      </c>
      <c r="J794" s="10">
        <f t="shared" si="262"/>
        <v>0.33350158638592442</v>
      </c>
      <c r="K794" s="4">
        <f t="shared" si="242"/>
        <v>-3.6826361921176147</v>
      </c>
      <c r="L794" s="10">
        <f t="shared" si="243"/>
        <v>0.17428656251159683</v>
      </c>
      <c r="M794" s="25">
        <v>48.42</v>
      </c>
      <c r="N794" s="25">
        <v>-66.87</v>
      </c>
      <c r="O794" s="25">
        <v>-0.3</v>
      </c>
      <c r="P794" s="11">
        <v>0.29959999999999998</v>
      </c>
      <c r="Q794" s="11">
        <v>2.2200000000000001E-2</v>
      </c>
      <c r="R794" s="12">
        <f t="shared" si="257"/>
        <v>8.9843025197610116E-2</v>
      </c>
      <c r="S794" s="12">
        <f t="shared" si="258"/>
        <v>-0.12407689167625338</v>
      </c>
      <c r="T794" s="12">
        <f t="shared" si="259"/>
        <v>-5.5664823542509367E-4</v>
      </c>
      <c r="U794" s="12">
        <f t="shared" si="255"/>
        <v>2.6916970349203987E-2</v>
      </c>
      <c r="V794" s="12">
        <f t="shared" si="248"/>
        <v>-3.7173436746205511E-2</v>
      </c>
      <c r="W794" s="12">
        <f t="shared" si="249"/>
        <v>-1.6677181133335805E-4</v>
      </c>
      <c r="X794" s="12">
        <f t="shared" si="250"/>
        <v>1.9945151593869447E-3</v>
      </c>
      <c r="Y794" s="12">
        <f t="shared" si="251"/>
        <v>-2.7545069952128252E-3</v>
      </c>
      <c r="Z794" s="12">
        <f t="shared" si="252"/>
        <v>-1.235759082643708E-5</v>
      </c>
    </row>
    <row r="795" spans="1:26" ht="13">
      <c r="A795" s="24" t="str">
        <f t="shared" si="267"/>
        <v>SFI</v>
      </c>
      <c r="B795" s="9">
        <v>2020</v>
      </c>
      <c r="C795" s="19">
        <v>82.33</v>
      </c>
      <c r="D795" s="29">
        <v>219.66</v>
      </c>
      <c r="E795" s="19">
        <v>702.04</v>
      </c>
      <c r="F795" s="19">
        <v>218.23</v>
      </c>
      <c r="G795" s="19">
        <v>385.07</v>
      </c>
      <c r="H795" s="10">
        <f t="shared" si="260"/>
        <v>0.11727252008432568</v>
      </c>
      <c r="I795" s="10">
        <f t="shared" si="261"/>
        <v>0.31288815452110991</v>
      </c>
      <c r="J795" s="10">
        <f t="shared" si="262"/>
        <v>0.56672812735346823</v>
      </c>
      <c r="K795" s="4">
        <f t="shared" si="242"/>
        <v>-3.0465307721185524</v>
      </c>
      <c r="L795" s="10">
        <f t="shared" si="243"/>
        <v>0.31288815452110991</v>
      </c>
      <c r="M795" s="25">
        <v>155.16999999999999</v>
      </c>
      <c r="N795" s="25">
        <v>-56.09</v>
      </c>
      <c r="O795" s="25">
        <v>-43.55</v>
      </c>
      <c r="P795" s="11">
        <v>0.1023</v>
      </c>
      <c r="Q795" s="11">
        <v>1.5900000000000001E-2</v>
      </c>
      <c r="R795" s="12">
        <f t="shared" si="257"/>
        <v>0.22102729189219986</v>
      </c>
      <c r="S795" s="12">
        <f t="shared" si="258"/>
        <v>-7.9895732436898195E-2</v>
      </c>
      <c r="T795" s="12">
        <f t="shared" si="259"/>
        <v>-6.2033502364537633E-2</v>
      </c>
      <c r="U795" s="12">
        <f t="shared" si="255"/>
        <v>2.2611091960572045E-2</v>
      </c>
      <c r="V795" s="12">
        <f t="shared" si="248"/>
        <v>-8.1733334282946858E-3</v>
      </c>
      <c r="W795" s="12">
        <f t="shared" si="249"/>
        <v>-6.3460272918922003E-3</v>
      </c>
      <c r="X795" s="12">
        <f t="shared" si="250"/>
        <v>3.5143339410859779E-3</v>
      </c>
      <c r="Y795" s="12">
        <f t="shared" si="251"/>
        <v>-1.2703421457466815E-3</v>
      </c>
      <c r="Z795" s="12">
        <f t="shared" si="252"/>
        <v>-9.8633268759614834E-4</v>
      </c>
    </row>
    <row r="796" spans="1:26" ht="13">
      <c r="A796" s="24" t="str">
        <f t="shared" si="267"/>
        <v>SFI</v>
      </c>
      <c r="B796" s="9">
        <v>2021</v>
      </c>
      <c r="C796" s="19">
        <v>175.04</v>
      </c>
      <c r="D796" s="29">
        <v>313.54000000000002</v>
      </c>
      <c r="E796" s="19">
        <v>933.65</v>
      </c>
      <c r="F796" s="19">
        <v>313.54000000000002</v>
      </c>
      <c r="G796" s="19">
        <v>689.91</v>
      </c>
      <c r="H796" s="10">
        <f t="shared" si="260"/>
        <v>0.18747924811224762</v>
      </c>
      <c r="I796" s="10">
        <f t="shared" si="261"/>
        <v>0.33582177475499386</v>
      </c>
      <c r="J796" s="10">
        <f t="shared" si="262"/>
        <v>0.45446507515473039</v>
      </c>
      <c r="K796" s="4">
        <f t="shared" si="242"/>
        <v>-3.2312903607022672</v>
      </c>
      <c r="L796" s="10">
        <f t="shared" si="243"/>
        <v>0.33582177475499386</v>
      </c>
      <c r="M796" s="25">
        <v>1.61</v>
      </c>
      <c r="N796" s="25">
        <v>128.16</v>
      </c>
      <c r="O796" s="25">
        <v>-34.71</v>
      </c>
      <c r="P796" s="11">
        <v>0.69</v>
      </c>
      <c r="Q796" s="11">
        <v>1.6799999999999999E-2</v>
      </c>
      <c r="R796" s="12">
        <f t="shared" si="257"/>
        <v>1.7244149306485301E-3</v>
      </c>
      <c r="S796" s="12">
        <f t="shared" si="258"/>
        <v>0.13726771274032024</v>
      </c>
      <c r="T796" s="12">
        <f t="shared" si="259"/>
        <v>-3.7176672200503399E-2</v>
      </c>
      <c r="U796" s="12">
        <f t="shared" si="255"/>
        <v>1.1898463021474857E-3</v>
      </c>
      <c r="V796" s="12">
        <f t="shared" si="248"/>
        <v>9.4714721790820952E-2</v>
      </c>
      <c r="W796" s="12">
        <f t="shared" si="249"/>
        <v>-2.5651903818347345E-2</v>
      </c>
      <c r="X796" s="12">
        <f t="shared" si="250"/>
        <v>2.8970170834895304E-5</v>
      </c>
      <c r="Y796" s="12">
        <f t="shared" si="251"/>
        <v>2.3060975740373797E-3</v>
      </c>
      <c r="Z796" s="12">
        <f t="shared" si="252"/>
        <v>-6.2456809296845708E-4</v>
      </c>
    </row>
    <row r="797" spans="1:26" ht="13">
      <c r="A797" s="24" t="s">
        <v>176</v>
      </c>
      <c r="B797" s="9">
        <v>2017</v>
      </c>
      <c r="C797" s="19">
        <v>230.31</v>
      </c>
      <c r="D797" s="29">
        <v>203.89</v>
      </c>
      <c r="E797" s="19">
        <v>698.09</v>
      </c>
      <c r="F797" s="19">
        <v>191.09</v>
      </c>
      <c r="G797" s="19">
        <v>382.57</v>
      </c>
      <c r="H797" s="10">
        <f t="shared" si="260"/>
        <v>0.32991448094085291</v>
      </c>
      <c r="I797" s="10">
        <f t="shared" si="261"/>
        <v>0.29206835794811553</v>
      </c>
      <c r="J797" s="10">
        <f t="shared" si="262"/>
        <v>0.49949028935881018</v>
      </c>
      <c r="K797" s="4">
        <f t="shared" si="242"/>
        <v>-4.121823485087015</v>
      </c>
      <c r="L797" s="10">
        <f t="shared" si="243"/>
        <v>0.29206835794811553</v>
      </c>
      <c r="M797" s="25">
        <v>303.48</v>
      </c>
      <c r="N797" s="25">
        <v>-198.42</v>
      </c>
      <c r="O797" s="25">
        <v>-62.91</v>
      </c>
      <c r="P797" s="11">
        <v>8.1799999999999998E-2</v>
      </c>
      <c r="Q797" s="11">
        <v>1.0239E-2</v>
      </c>
      <c r="R797" s="12">
        <f t="shared" si="257"/>
        <v>0.4347290463980289</v>
      </c>
      <c r="S797" s="12">
        <f t="shared" si="258"/>
        <v>-0.28423269205976304</v>
      </c>
      <c r="T797" s="12">
        <f t="shared" si="259"/>
        <v>-9.0117320116317373E-2</v>
      </c>
      <c r="U797" s="12">
        <f t="shared" si="255"/>
        <v>3.556083599535876E-2</v>
      </c>
      <c r="V797" s="12">
        <f t="shared" si="248"/>
        <v>-2.3250234210488614E-2</v>
      </c>
      <c r="W797" s="12">
        <f t="shared" si="249"/>
        <v>-7.3715967855147611E-3</v>
      </c>
      <c r="X797" s="12">
        <f t="shared" si="250"/>
        <v>4.451190706069418E-3</v>
      </c>
      <c r="Y797" s="12">
        <f t="shared" si="251"/>
        <v>-2.9102585339999135E-3</v>
      </c>
      <c r="Z797" s="12">
        <f t="shared" si="252"/>
        <v>-9.227112406709736E-4</v>
      </c>
    </row>
    <row r="798" spans="1:26" ht="13">
      <c r="A798" s="24" t="str">
        <f t="shared" ref="A798:A801" si="268">A797</f>
        <v>SGN</v>
      </c>
      <c r="B798" s="9">
        <v>2018</v>
      </c>
      <c r="C798" s="19">
        <v>292.93</v>
      </c>
      <c r="D798" s="29">
        <v>268.38</v>
      </c>
      <c r="E798" s="19">
        <v>963.68</v>
      </c>
      <c r="F798" s="19">
        <v>254.04</v>
      </c>
      <c r="G798" s="19">
        <v>644.67999999999995</v>
      </c>
      <c r="H798" s="10">
        <f t="shared" si="260"/>
        <v>0.30397019757595883</v>
      </c>
      <c r="I798" s="10">
        <f t="shared" si="261"/>
        <v>0.27849493607836628</v>
      </c>
      <c r="J798" s="10">
        <f t="shared" si="262"/>
        <v>0.39405596575044988</v>
      </c>
      <c r="K798" s="4">
        <f t="shared" si="242"/>
        <v>-4.0820209773081286</v>
      </c>
      <c r="L798" s="10">
        <f t="shared" si="243"/>
        <v>0.27849493607836628</v>
      </c>
      <c r="M798" s="25">
        <v>375.03</v>
      </c>
      <c r="N798" s="25">
        <v>-53.02</v>
      </c>
      <c r="O798" s="25">
        <v>-67.25</v>
      </c>
      <c r="P798" s="11">
        <v>8.4900000000000003E-2</v>
      </c>
      <c r="Q798" s="11">
        <v>1.09E-2</v>
      </c>
      <c r="R798" s="12">
        <f t="shared" si="257"/>
        <v>0.38916445293043334</v>
      </c>
      <c r="S798" s="12">
        <f t="shared" si="258"/>
        <v>-5.5018263323924961E-2</v>
      </c>
      <c r="T798" s="12">
        <f t="shared" si="259"/>
        <v>-6.978457579279429E-2</v>
      </c>
      <c r="U798" s="12">
        <f t="shared" si="255"/>
        <v>3.3040062053793791E-2</v>
      </c>
      <c r="V798" s="12">
        <f t="shared" si="248"/>
        <v>-4.6710505562012295E-3</v>
      </c>
      <c r="W798" s="12">
        <f t="shared" si="249"/>
        <v>-5.9247104848082358E-3</v>
      </c>
      <c r="X798" s="12">
        <f t="shared" si="250"/>
        <v>4.2418925369417234E-3</v>
      </c>
      <c r="Y798" s="12">
        <f t="shared" si="251"/>
        <v>-5.9969907023078211E-4</v>
      </c>
      <c r="Z798" s="12">
        <f t="shared" si="252"/>
        <v>-7.6065187614145777E-4</v>
      </c>
    </row>
    <row r="799" spans="1:26" ht="13">
      <c r="A799" s="24" t="str">
        <f t="shared" si="268"/>
        <v>SGN</v>
      </c>
      <c r="B799" s="9">
        <v>2019</v>
      </c>
      <c r="C799" s="19">
        <v>378.52</v>
      </c>
      <c r="D799" s="29">
        <v>285.08999999999997</v>
      </c>
      <c r="E799" s="19">
        <v>1253.42</v>
      </c>
      <c r="F799" s="19">
        <v>271.27</v>
      </c>
      <c r="G799" s="19">
        <v>781.26</v>
      </c>
      <c r="H799" s="10">
        <f t="shared" si="260"/>
        <v>0.30198975602750872</v>
      </c>
      <c r="I799" s="10">
        <f t="shared" si="261"/>
        <v>0.2274496976272917</v>
      </c>
      <c r="J799" s="10">
        <f t="shared" si="262"/>
        <v>0.34722115556920868</v>
      </c>
      <c r="K799" s="4">
        <f t="shared" si="242"/>
        <v>-4.3638795102705039</v>
      </c>
      <c r="L799" s="10">
        <f t="shared" si="243"/>
        <v>0.2274496976272917</v>
      </c>
      <c r="M799" s="25">
        <v>349.62</v>
      </c>
      <c r="N799" s="25">
        <v>-443.7</v>
      </c>
      <c r="O799" s="25">
        <v>-78.930000000000007</v>
      </c>
      <c r="P799" s="11">
        <v>2.8799999999999999E-2</v>
      </c>
      <c r="Q799" s="11">
        <v>1.11E-2</v>
      </c>
      <c r="R799" s="12">
        <f t="shared" si="257"/>
        <v>0.27893283975044275</v>
      </c>
      <c r="S799" s="12">
        <f t="shared" si="258"/>
        <v>-0.35399147931260072</v>
      </c>
      <c r="T799" s="12">
        <f t="shared" si="259"/>
        <v>-6.2971709403073187E-2</v>
      </c>
      <c r="U799" s="12">
        <f t="shared" si="255"/>
        <v>8.0332657848127507E-3</v>
      </c>
      <c r="V799" s="12">
        <f t="shared" si="248"/>
        <v>-1.01949546042029E-2</v>
      </c>
      <c r="W799" s="12">
        <f t="shared" si="249"/>
        <v>-1.8135852308085077E-3</v>
      </c>
      <c r="X799" s="12">
        <f t="shared" si="250"/>
        <v>3.0961545212299145E-3</v>
      </c>
      <c r="Y799" s="12">
        <f t="shared" si="251"/>
        <v>-3.9293054203698684E-3</v>
      </c>
      <c r="Z799" s="12">
        <f t="shared" si="252"/>
        <v>-6.9898597437411238E-4</v>
      </c>
    </row>
    <row r="800" spans="1:26" ht="13">
      <c r="A800" s="24" t="str">
        <f t="shared" si="268"/>
        <v>SGN</v>
      </c>
      <c r="B800" s="9">
        <v>2020</v>
      </c>
      <c r="C800" s="19">
        <v>86.11</v>
      </c>
      <c r="D800" s="29">
        <v>160.44999999999999</v>
      </c>
      <c r="E800" s="19">
        <v>1045.52</v>
      </c>
      <c r="F800" s="19">
        <v>149.07</v>
      </c>
      <c r="G800" s="19">
        <v>588.35</v>
      </c>
      <c r="H800" s="10">
        <f t="shared" si="260"/>
        <v>8.2360930446093814E-2</v>
      </c>
      <c r="I800" s="10">
        <f t="shared" si="261"/>
        <v>0.15346430484352283</v>
      </c>
      <c r="J800" s="10">
        <f t="shared" si="262"/>
        <v>0.25336959292937877</v>
      </c>
      <c r="K800" s="4">
        <f t="shared" si="242"/>
        <v>-3.7968911277710595</v>
      </c>
      <c r="L800" s="10">
        <f t="shared" si="243"/>
        <v>0.15346430484352283</v>
      </c>
      <c r="M800" s="25">
        <v>75.760000000000005</v>
      </c>
      <c r="N800" s="25">
        <v>45.19</v>
      </c>
      <c r="O800" s="25">
        <v>-148.28</v>
      </c>
      <c r="P800" s="11">
        <v>2.3900000000000001E-2</v>
      </c>
      <c r="Q800" s="11">
        <v>1.2149999999999999E-2</v>
      </c>
      <c r="R800" s="12">
        <f t="shared" si="257"/>
        <v>7.2461550233376693E-2</v>
      </c>
      <c r="S800" s="12">
        <f t="shared" si="258"/>
        <v>4.3222511286249904E-2</v>
      </c>
      <c r="T800" s="12">
        <f t="shared" si="259"/>
        <v>-0.14182416405233761</v>
      </c>
      <c r="U800" s="12">
        <f t="shared" si="255"/>
        <v>1.7318310505777031E-3</v>
      </c>
      <c r="V800" s="12">
        <f t="shared" si="248"/>
        <v>1.0330180197413727E-3</v>
      </c>
      <c r="W800" s="12">
        <f t="shared" si="249"/>
        <v>-3.3895975208508692E-3</v>
      </c>
      <c r="X800" s="12">
        <f t="shared" si="250"/>
        <v>8.8040783533552681E-4</v>
      </c>
      <c r="Y800" s="12">
        <f t="shared" si="251"/>
        <v>5.251535121279363E-4</v>
      </c>
      <c r="Z800" s="12">
        <f t="shared" si="252"/>
        <v>-1.7231635932359018E-3</v>
      </c>
    </row>
    <row r="801" spans="1:26" ht="13">
      <c r="A801" s="24" t="str">
        <f t="shared" si="268"/>
        <v>SGN</v>
      </c>
      <c r="B801" s="9">
        <v>2021</v>
      </c>
      <c r="C801" s="19">
        <v>42.23</v>
      </c>
      <c r="D801" s="29">
        <v>118.3</v>
      </c>
      <c r="E801" s="19">
        <v>938.59</v>
      </c>
      <c r="F801" s="19">
        <v>105.56</v>
      </c>
      <c r="G801" s="19">
        <v>604.22</v>
      </c>
      <c r="H801" s="10">
        <f t="shared" si="260"/>
        <v>4.4993021447064206E-2</v>
      </c>
      <c r="I801" s="10">
        <f t="shared" si="261"/>
        <v>0.12604012401581094</v>
      </c>
      <c r="J801" s="10">
        <f t="shared" si="262"/>
        <v>0.17470457780278706</v>
      </c>
      <c r="K801" s="4">
        <f t="shared" si="242"/>
        <v>-3.7847387079328776</v>
      </c>
      <c r="L801" s="10">
        <f t="shared" si="243"/>
        <v>0.12604012401581094</v>
      </c>
      <c r="M801" s="25">
        <v>188.12</v>
      </c>
      <c r="N801" s="25">
        <v>8.1300000000000008</v>
      </c>
      <c r="O801" s="25">
        <v>-83.83</v>
      </c>
      <c r="P801" s="11">
        <v>2.4500000000000001E-2</v>
      </c>
      <c r="Q801" s="11">
        <v>1.235E-2</v>
      </c>
      <c r="R801" s="12">
        <f t="shared" si="257"/>
        <v>0.20042830202750936</v>
      </c>
      <c r="S801" s="12">
        <f t="shared" si="258"/>
        <v>8.6619290638084798E-3</v>
      </c>
      <c r="T801" s="12">
        <f t="shared" si="259"/>
        <v>-8.9314823298777948E-2</v>
      </c>
      <c r="U801" s="12">
        <f t="shared" si="255"/>
        <v>4.9104933996739798E-3</v>
      </c>
      <c r="V801" s="12">
        <f t="shared" si="248"/>
        <v>2.1221726206330777E-4</v>
      </c>
      <c r="W801" s="12">
        <f t="shared" si="249"/>
        <v>-2.18821317082006E-3</v>
      </c>
      <c r="X801" s="12">
        <f t="shared" si="250"/>
        <v>2.4752895300397407E-3</v>
      </c>
      <c r="Y801" s="12">
        <f t="shared" si="251"/>
        <v>1.0697482393803473E-4</v>
      </c>
      <c r="Z801" s="12">
        <f t="shared" si="252"/>
        <v>-1.1030380677399076E-3</v>
      </c>
    </row>
    <row r="802" spans="1:26" ht="13">
      <c r="A802" s="24" t="s">
        <v>177</v>
      </c>
      <c r="B802" s="9">
        <v>2017</v>
      </c>
      <c r="C802" s="19">
        <v>139.66</v>
      </c>
      <c r="D802" s="29">
        <v>971.83</v>
      </c>
      <c r="E802" s="19">
        <v>1549.51</v>
      </c>
      <c r="F802" s="19">
        <v>671.94</v>
      </c>
      <c r="G802" s="19">
        <v>1148.08</v>
      </c>
      <c r="H802" s="10">
        <f t="shared" si="260"/>
        <v>9.0131719059573664E-2</v>
      </c>
      <c r="I802" s="10">
        <f t="shared" si="261"/>
        <v>0.62718536827771365</v>
      </c>
      <c r="J802" s="10">
        <f t="shared" si="262"/>
        <v>0.58527280328896947</v>
      </c>
      <c r="K802" s="4">
        <f t="shared" si="242"/>
        <v>-1.1329772277982693</v>
      </c>
      <c r="L802" s="10">
        <f t="shared" si="243"/>
        <v>0.62718536827771365</v>
      </c>
      <c r="M802" s="25">
        <v>-185.69</v>
      </c>
      <c r="N802" s="25">
        <v>-132.55000000000001</v>
      </c>
      <c r="O802" s="25">
        <v>21.37</v>
      </c>
      <c r="P802" s="11">
        <v>1.2E-4</v>
      </c>
      <c r="Q802" s="11">
        <v>0.34229999999999999</v>
      </c>
      <c r="R802" s="12">
        <f t="shared" si="257"/>
        <v>-0.11983788423437086</v>
      </c>
      <c r="S802" s="12">
        <f t="shared" si="258"/>
        <v>-8.5543171712347779E-2</v>
      </c>
      <c r="T802" s="12">
        <f t="shared" si="259"/>
        <v>1.379145665403902E-2</v>
      </c>
      <c r="U802" s="12">
        <f t="shared" si="255"/>
        <v>-1.4380546108124504E-5</v>
      </c>
      <c r="V802" s="12">
        <f t="shared" si="248"/>
        <v>-1.0265180605481734E-5</v>
      </c>
      <c r="W802" s="12">
        <f t="shared" si="249"/>
        <v>1.6549747984846823E-6</v>
      </c>
      <c r="X802" s="12">
        <f t="shared" si="250"/>
        <v>-4.1020507773425148E-2</v>
      </c>
      <c r="Y802" s="12">
        <f t="shared" si="251"/>
        <v>-2.9281427677136644E-2</v>
      </c>
      <c r="Z802" s="12">
        <f t="shared" si="252"/>
        <v>4.720815612677556E-3</v>
      </c>
    </row>
    <row r="803" spans="1:26" ht="13">
      <c r="A803" s="24" t="str">
        <f t="shared" ref="A803:A806" si="269">A802</f>
        <v>SGR</v>
      </c>
      <c r="B803" s="9">
        <v>2018</v>
      </c>
      <c r="C803" s="19">
        <v>128.83000000000001</v>
      </c>
      <c r="D803" s="29">
        <v>1296.8399999999999</v>
      </c>
      <c r="E803" s="19">
        <v>1966.35</v>
      </c>
      <c r="F803" s="19">
        <v>1074.97</v>
      </c>
      <c r="G803" s="19">
        <v>1545.15</v>
      </c>
      <c r="H803" s="10">
        <f t="shared" si="260"/>
        <v>6.5517329061459059E-2</v>
      </c>
      <c r="I803" s="10">
        <f t="shared" si="261"/>
        <v>0.65951636280418036</v>
      </c>
      <c r="J803" s="10">
        <f t="shared" si="262"/>
        <v>0.69570591851923758</v>
      </c>
      <c r="K803" s="4">
        <f t="shared" si="242"/>
        <v>-0.83836753646681406</v>
      </c>
      <c r="L803" s="10">
        <f t="shared" si="243"/>
        <v>0.65951636280418036</v>
      </c>
      <c r="M803" s="25">
        <v>98.3</v>
      </c>
      <c r="N803" s="25">
        <v>364.12</v>
      </c>
      <c r="O803" s="26">
        <v>28.08</v>
      </c>
      <c r="P803" s="11">
        <v>3.4000000000000002E-4</v>
      </c>
      <c r="Q803" s="11">
        <v>5.8799999999999998E-2</v>
      </c>
      <c r="R803" s="12">
        <f t="shared" si="257"/>
        <v>4.9991100261906576E-2</v>
      </c>
      <c r="S803" s="12">
        <f t="shared" si="258"/>
        <v>0.18517557911867166</v>
      </c>
      <c r="T803" s="12">
        <f t="shared" si="259"/>
        <v>1.4280265466473416E-2</v>
      </c>
      <c r="U803" s="12">
        <f t="shared" si="255"/>
        <v>1.6996974089048237E-5</v>
      </c>
      <c r="V803" s="12">
        <f t="shared" si="248"/>
        <v>6.2959696900348374E-5</v>
      </c>
      <c r="W803" s="12">
        <f t="shared" si="249"/>
        <v>4.8552902586009613E-6</v>
      </c>
      <c r="X803" s="12">
        <f t="shared" si="250"/>
        <v>2.9394766954001068E-3</v>
      </c>
      <c r="Y803" s="12">
        <f t="shared" si="251"/>
        <v>1.0888324052177894E-2</v>
      </c>
      <c r="Z803" s="12">
        <f t="shared" si="252"/>
        <v>8.3967960942863686E-4</v>
      </c>
    </row>
    <row r="804" spans="1:26" ht="13">
      <c r="A804" s="24" t="str">
        <f t="shared" si="269"/>
        <v>SGR</v>
      </c>
      <c r="B804" s="9">
        <v>2019</v>
      </c>
      <c r="C804" s="19">
        <v>90.03</v>
      </c>
      <c r="D804" s="29">
        <v>1401.46</v>
      </c>
      <c r="E804" s="19">
        <v>2094.54</v>
      </c>
      <c r="F804" s="19">
        <v>1202.6400000000001</v>
      </c>
      <c r="G804" s="19">
        <v>1527.9</v>
      </c>
      <c r="H804" s="10">
        <f t="shared" si="260"/>
        <v>4.2983184852043888E-2</v>
      </c>
      <c r="I804" s="10">
        <f t="shared" si="261"/>
        <v>0.66910156884089111</v>
      </c>
      <c r="J804" s="10">
        <f t="shared" si="262"/>
        <v>0.78711957588847437</v>
      </c>
      <c r="K804" s="4">
        <f t="shared" si="242"/>
        <v>-0.682693867744672</v>
      </c>
      <c r="L804" s="10">
        <f t="shared" si="243"/>
        <v>0.66910156884089111</v>
      </c>
      <c r="M804" s="25">
        <v>-470.8</v>
      </c>
      <c r="N804" s="25">
        <v>-122.17</v>
      </c>
      <c r="O804" s="25">
        <v>52.53</v>
      </c>
      <c r="P804" s="11">
        <v>1.066E-4</v>
      </c>
      <c r="Q804" s="11">
        <v>5.8799999999999998E-2</v>
      </c>
      <c r="R804" s="12">
        <f t="shared" si="257"/>
        <v>-0.22477489090683397</v>
      </c>
      <c r="S804" s="12">
        <f t="shared" si="258"/>
        <v>-5.8327842867646355E-2</v>
      </c>
      <c r="T804" s="12">
        <f t="shared" si="259"/>
        <v>2.5079492394511446E-2</v>
      </c>
      <c r="U804" s="12">
        <f t="shared" si="255"/>
        <v>-2.3961003370668504E-5</v>
      </c>
      <c r="V804" s="12">
        <f t="shared" si="248"/>
        <v>-6.2177480496911017E-6</v>
      </c>
      <c r="W804" s="12">
        <f t="shared" si="249"/>
        <v>2.6734738892549204E-6</v>
      </c>
      <c r="X804" s="12">
        <f t="shared" si="250"/>
        <v>-1.3216763585321837E-2</v>
      </c>
      <c r="Y804" s="12">
        <f t="shared" si="251"/>
        <v>-3.4296771606176055E-3</v>
      </c>
      <c r="Z804" s="12">
        <f t="shared" si="252"/>
        <v>1.4746741527972729E-3</v>
      </c>
    </row>
    <row r="805" spans="1:26" ht="13">
      <c r="A805" s="24" t="str">
        <f t="shared" si="269"/>
        <v>SGR</v>
      </c>
      <c r="B805" s="9">
        <v>2020</v>
      </c>
      <c r="C805" s="19">
        <v>101.78</v>
      </c>
      <c r="D805" s="29">
        <v>1211.1600000000001</v>
      </c>
      <c r="E805" s="19">
        <v>1956.9</v>
      </c>
      <c r="F805" s="19">
        <v>987.88</v>
      </c>
      <c r="G805" s="19">
        <v>1615.52</v>
      </c>
      <c r="H805" s="10">
        <f t="shared" si="260"/>
        <v>5.2010833461086411E-2</v>
      </c>
      <c r="I805" s="10">
        <f t="shared" si="261"/>
        <v>0.61891767591598956</v>
      </c>
      <c r="J805" s="10">
        <f t="shared" si="262"/>
        <v>0.61149351292463106</v>
      </c>
      <c r="K805" s="4">
        <f t="shared" ref="K805:K868" si="270">-4.3 -4.5*(C805/E805)+5.7*(D805/E805)-0.004*(F805/G805)</f>
        <v>-1.0086639719054464</v>
      </c>
      <c r="L805" s="10">
        <f t="shared" ref="L805:L868" si="271">D805/E805</f>
        <v>0.61891767591598956</v>
      </c>
      <c r="M805" s="25">
        <v>-386.92</v>
      </c>
      <c r="N805" s="25">
        <v>505.38</v>
      </c>
      <c r="O805" s="25">
        <v>-121.97</v>
      </c>
      <c r="P805" s="11">
        <v>3.6300000000000001E-5</v>
      </c>
      <c r="Q805" s="11">
        <v>0.17910000000000001</v>
      </c>
      <c r="R805" s="12">
        <f t="shared" si="257"/>
        <v>-0.19772088507333027</v>
      </c>
      <c r="S805" s="12">
        <f t="shared" si="258"/>
        <v>0.25825540395523533</v>
      </c>
      <c r="T805" s="12">
        <f t="shared" si="259"/>
        <v>-6.2328172108947824E-2</v>
      </c>
      <c r="U805" s="12">
        <f t="shared" si="255"/>
        <v>-7.1772681281618895E-6</v>
      </c>
      <c r="V805" s="12">
        <f t="shared" si="248"/>
        <v>9.3746711635750429E-6</v>
      </c>
      <c r="W805" s="12">
        <f t="shared" si="249"/>
        <v>-2.2625126475548059E-6</v>
      </c>
      <c r="X805" s="12">
        <f t="shared" si="250"/>
        <v>-3.5411810516633453E-2</v>
      </c>
      <c r="Y805" s="12">
        <f t="shared" si="251"/>
        <v>4.6253542848382651E-2</v>
      </c>
      <c r="Z805" s="12">
        <f t="shared" si="252"/>
        <v>-1.1162975624712556E-2</v>
      </c>
    </row>
    <row r="806" spans="1:26" ht="13">
      <c r="A806" s="24" t="str">
        <f t="shared" si="269"/>
        <v>SGR</v>
      </c>
      <c r="B806" s="9">
        <v>2021</v>
      </c>
      <c r="C806" s="19">
        <v>46.71</v>
      </c>
      <c r="D806" s="29">
        <v>1300.97</v>
      </c>
      <c r="E806" s="19">
        <v>1998.57</v>
      </c>
      <c r="F806" s="19">
        <v>1040.4000000000001</v>
      </c>
      <c r="G806" s="19">
        <v>1638.9</v>
      </c>
      <c r="H806" s="10">
        <f t="shared" si="260"/>
        <v>2.3371710773202842E-2</v>
      </c>
      <c r="I806" s="10">
        <f t="shared" si="261"/>
        <v>0.65095042955713334</v>
      </c>
      <c r="J806" s="10">
        <f t="shared" si="262"/>
        <v>0.63481603514552443</v>
      </c>
      <c r="K806" s="4">
        <f t="shared" si="270"/>
        <v>-0.6972945141443343</v>
      </c>
      <c r="L806" s="10">
        <f t="shared" si="271"/>
        <v>0.65095042955713334</v>
      </c>
      <c r="M806" s="25">
        <v>157.47</v>
      </c>
      <c r="N806" s="25">
        <v>-131.44</v>
      </c>
      <c r="O806" s="25">
        <v>2.4300000000000002</v>
      </c>
      <c r="P806" s="11">
        <v>5.2800000000000003E-5</v>
      </c>
      <c r="Q806" s="11">
        <v>0.17910000000000001</v>
      </c>
      <c r="R806" s="12">
        <f t="shared" si="257"/>
        <v>7.8791335805100643E-2</v>
      </c>
      <c r="S806" s="12">
        <f t="shared" si="258"/>
        <v>-6.5767023421746548E-2</v>
      </c>
      <c r="T806" s="12">
        <f t="shared" si="259"/>
        <v>1.2158693465828068E-3</v>
      </c>
      <c r="U806" s="12">
        <f t="shared" si="255"/>
        <v>4.1601825305093145E-6</v>
      </c>
      <c r="V806" s="12">
        <f t="shared" si="248"/>
        <v>-3.4724988366682177E-6</v>
      </c>
      <c r="W806" s="12">
        <f t="shared" si="249"/>
        <v>6.4197901499572199E-8</v>
      </c>
      <c r="X806" s="12">
        <f t="shared" si="250"/>
        <v>1.4111528242693527E-2</v>
      </c>
      <c r="Y806" s="12">
        <f t="shared" si="251"/>
        <v>-1.1778873894834807E-2</v>
      </c>
      <c r="Z806" s="12">
        <f t="shared" si="252"/>
        <v>2.177621999729807E-4</v>
      </c>
    </row>
    <row r="807" spans="1:26" ht="13">
      <c r="A807" s="24" t="s">
        <v>178</v>
      </c>
      <c r="B807" s="9">
        <v>2017</v>
      </c>
      <c r="C807" s="19">
        <v>111.2</v>
      </c>
      <c r="D807" s="19">
        <v>1166.3900000000001</v>
      </c>
      <c r="E807" s="19">
        <v>1789.19</v>
      </c>
      <c r="F807" s="19">
        <v>772.27</v>
      </c>
      <c r="G807" s="19">
        <v>637.03</v>
      </c>
      <c r="H807" s="10">
        <f t="shared" si="260"/>
        <v>6.2151029236693696E-2</v>
      </c>
      <c r="I807" s="10">
        <f t="shared" si="261"/>
        <v>0.65190952330384144</v>
      </c>
      <c r="J807" s="10">
        <f t="shared" si="262"/>
        <v>1.2122976939861545</v>
      </c>
      <c r="K807" s="4">
        <f t="shared" si="270"/>
        <v>-0.86864453950916964</v>
      </c>
      <c r="L807" s="10">
        <f t="shared" si="271"/>
        <v>0.65190952330384144</v>
      </c>
      <c r="M807" s="25">
        <v>99.52</v>
      </c>
      <c r="N807" s="25">
        <v>69.7</v>
      </c>
      <c r="O807" s="25">
        <v>-177.77</v>
      </c>
      <c r="P807" s="11">
        <v>0.13150000000000001</v>
      </c>
      <c r="Q807" s="11">
        <f t="shared" ref="Q807:Q808" si="272">0.06%*2</f>
        <v>1.1999999999999999E-3</v>
      </c>
      <c r="R807" s="12">
        <f t="shared" si="257"/>
        <v>5.5622935518307166E-2</v>
      </c>
      <c r="S807" s="12">
        <f t="shared" si="258"/>
        <v>3.8956175699618262E-2</v>
      </c>
      <c r="T807" s="12">
        <f t="shared" si="259"/>
        <v>-9.9357809958696391E-2</v>
      </c>
      <c r="U807" s="12">
        <f t="shared" si="255"/>
        <v>7.3144160206573931E-3</v>
      </c>
      <c r="V807" s="12">
        <f t="shared" si="248"/>
        <v>5.1227371044998016E-3</v>
      </c>
      <c r="W807" s="12">
        <f t="shared" si="249"/>
        <v>-1.3065552009568576E-2</v>
      </c>
      <c r="X807" s="12">
        <f t="shared" si="250"/>
        <v>6.67475226219686E-5</v>
      </c>
      <c r="Y807" s="12">
        <f t="shared" si="251"/>
        <v>4.674741083954191E-5</v>
      </c>
      <c r="Z807" s="12">
        <f t="shared" si="252"/>
        <v>-1.1922937195043565E-4</v>
      </c>
    </row>
    <row r="808" spans="1:26" ht="13">
      <c r="A808" s="24" t="str">
        <f t="shared" ref="A808:A811" si="273">A807</f>
        <v>SGT</v>
      </c>
      <c r="B808" s="9">
        <v>2018</v>
      </c>
      <c r="C808" s="19">
        <v>117.96</v>
      </c>
      <c r="D808" s="19">
        <v>1193.28</v>
      </c>
      <c r="E808" s="19">
        <v>1945.7</v>
      </c>
      <c r="F808" s="19">
        <v>907.73</v>
      </c>
      <c r="G808" s="19">
        <v>625.21</v>
      </c>
      <c r="H808" s="10">
        <f t="shared" si="260"/>
        <v>6.0625995785578451E-2</v>
      </c>
      <c r="I808" s="10">
        <f t="shared" si="261"/>
        <v>0.61329084648198584</v>
      </c>
      <c r="J808" s="10">
        <f t="shared" si="262"/>
        <v>1.4518801682634634</v>
      </c>
      <c r="K808" s="4">
        <f t="shared" si="270"/>
        <v>-1.0828666767608368</v>
      </c>
      <c r="L808" s="10">
        <f t="shared" si="271"/>
        <v>0.61329084648198584</v>
      </c>
      <c r="M808" s="25">
        <v>28.33</v>
      </c>
      <c r="N808" s="25">
        <v>-12.67</v>
      </c>
      <c r="O808" s="25">
        <v>-11.38</v>
      </c>
      <c r="P808" s="11">
        <f>P807</f>
        <v>0.13150000000000001</v>
      </c>
      <c r="Q808" s="11">
        <f t="shared" si="272"/>
        <v>1.1999999999999999E-3</v>
      </c>
      <c r="R808" s="12">
        <f t="shared" si="257"/>
        <v>1.4560312483938942E-2</v>
      </c>
      <c r="S808" s="12">
        <f t="shared" si="258"/>
        <v>-6.5117952407873769E-3</v>
      </c>
      <c r="T808" s="12">
        <f t="shared" si="259"/>
        <v>-5.8487947782289154E-3</v>
      </c>
      <c r="U808" s="12">
        <f t="shared" si="255"/>
        <v>1.914681091637971E-3</v>
      </c>
      <c r="V808" s="12">
        <f t="shared" si="248"/>
        <v>-8.5630107416354007E-4</v>
      </c>
      <c r="W808" s="12">
        <f t="shared" si="249"/>
        <v>-7.6911651333710245E-4</v>
      </c>
      <c r="X808" s="12">
        <f t="shared" si="250"/>
        <v>1.7472374980726728E-5</v>
      </c>
      <c r="Y808" s="12">
        <f t="shared" si="251"/>
        <v>-7.8141542889448524E-6</v>
      </c>
      <c r="Z808" s="12">
        <f t="shared" si="252"/>
        <v>-7.0185537338746977E-6</v>
      </c>
    </row>
    <row r="809" spans="1:26" ht="13">
      <c r="A809" s="24" t="str">
        <f t="shared" si="273"/>
        <v>SGT</v>
      </c>
      <c r="B809" s="9">
        <v>2019</v>
      </c>
      <c r="C809" s="19">
        <v>11.2</v>
      </c>
      <c r="D809" s="19">
        <v>1322.83</v>
      </c>
      <c r="E809" s="19">
        <v>2089.7399999999998</v>
      </c>
      <c r="F809" s="19">
        <v>907.94</v>
      </c>
      <c r="G809" s="19">
        <v>926.68</v>
      </c>
      <c r="H809" s="10">
        <f t="shared" si="260"/>
        <v>5.3595184089886786E-3</v>
      </c>
      <c r="I809" s="10">
        <f t="shared" si="261"/>
        <v>0.63301176222879407</v>
      </c>
      <c r="J809" s="10">
        <f t="shared" si="262"/>
        <v>0.97977726939180743</v>
      </c>
      <c r="K809" s="4">
        <f t="shared" si="270"/>
        <v>-0.71986989721388994</v>
      </c>
      <c r="L809" s="10">
        <f t="shared" si="271"/>
        <v>0.63301176222879407</v>
      </c>
      <c r="M809" s="25">
        <v>31.41</v>
      </c>
      <c r="N809" s="25">
        <v>-215.32</v>
      </c>
      <c r="O809" s="25">
        <v>149.99</v>
      </c>
      <c r="P809" s="11">
        <v>0.1323</v>
      </c>
      <c r="Q809" s="11">
        <f t="shared" ref="Q809:Q811" si="274">Q808</f>
        <v>1.1999999999999999E-3</v>
      </c>
      <c r="R809" s="12">
        <f t="shared" si="257"/>
        <v>1.5030577966636999E-2</v>
      </c>
      <c r="S809" s="12">
        <f t="shared" si="258"/>
        <v>-0.10303674141280734</v>
      </c>
      <c r="T809" s="12">
        <f t="shared" si="259"/>
        <v>7.1774479121804638E-2</v>
      </c>
      <c r="U809" s="12">
        <f t="shared" si="255"/>
        <v>1.9885454649860752E-3</v>
      </c>
      <c r="V809" s="12">
        <f t="shared" si="248"/>
        <v>-1.3631760888914412E-2</v>
      </c>
      <c r="W809" s="12">
        <f t="shared" si="249"/>
        <v>9.4957635878147543E-3</v>
      </c>
      <c r="X809" s="12">
        <f t="shared" si="250"/>
        <v>1.8036693559964398E-5</v>
      </c>
      <c r="Y809" s="12">
        <f t="shared" si="251"/>
        <v>-1.2364408969536879E-4</v>
      </c>
      <c r="Z809" s="12">
        <f t="shared" si="252"/>
        <v>8.6129374946165561E-5</v>
      </c>
    </row>
    <row r="810" spans="1:26" ht="13">
      <c r="A810" s="24" t="str">
        <f t="shared" si="273"/>
        <v>SGT</v>
      </c>
      <c r="B810" s="9">
        <v>2020</v>
      </c>
      <c r="C810" s="19">
        <v>12.7</v>
      </c>
      <c r="D810" s="19">
        <v>1658.03</v>
      </c>
      <c r="E810" s="19">
        <v>2518.2399999999998</v>
      </c>
      <c r="F810" s="19">
        <v>1415.26</v>
      </c>
      <c r="G810" s="19">
        <v>803.43</v>
      </c>
      <c r="H810" s="10">
        <f t="shared" si="260"/>
        <v>5.0432047779401488E-3</v>
      </c>
      <c r="I810" s="10">
        <f t="shared" si="261"/>
        <v>0.65840825338331532</v>
      </c>
      <c r="J810" s="10">
        <f t="shared" si="262"/>
        <v>1.7615224723995868</v>
      </c>
      <c r="K810" s="4">
        <f t="shared" si="270"/>
        <v>-0.57681346710543124</v>
      </c>
      <c r="L810" s="10">
        <f t="shared" si="271"/>
        <v>0.65840825338331532</v>
      </c>
      <c r="M810" s="25">
        <v>153.65</v>
      </c>
      <c r="N810" s="25">
        <v>-168.08</v>
      </c>
      <c r="O810" s="25">
        <v>113.8</v>
      </c>
      <c r="P810" s="11">
        <v>0.1356</v>
      </c>
      <c r="Q810" s="11">
        <f t="shared" si="274"/>
        <v>1.1999999999999999E-3</v>
      </c>
      <c r="R810" s="12">
        <f t="shared" si="257"/>
        <v>6.1014835758307399E-2</v>
      </c>
      <c r="S810" s="12">
        <f t="shared" si="258"/>
        <v>-6.6745028273714993E-2</v>
      </c>
      <c r="T810" s="12">
        <f t="shared" si="259"/>
        <v>4.5190291632251099E-2</v>
      </c>
      <c r="U810" s="12">
        <f t="shared" si="255"/>
        <v>8.2736117288264837E-3</v>
      </c>
      <c r="V810" s="12">
        <f t="shared" si="248"/>
        <v>-9.0506258339157538E-3</v>
      </c>
      <c r="W810" s="12">
        <f t="shared" si="249"/>
        <v>6.1278035453332493E-3</v>
      </c>
      <c r="X810" s="12">
        <f t="shared" si="250"/>
        <v>7.3217802909968872E-5</v>
      </c>
      <c r="Y810" s="12">
        <f t="shared" si="251"/>
        <v>-8.009403392845798E-5</v>
      </c>
      <c r="Z810" s="12">
        <f t="shared" si="252"/>
        <v>5.4228349958701317E-5</v>
      </c>
    </row>
    <row r="811" spans="1:26" ht="13">
      <c r="A811" s="24" t="str">
        <f t="shared" si="273"/>
        <v>SGT</v>
      </c>
      <c r="B811" s="9">
        <v>2021</v>
      </c>
      <c r="C811" s="19">
        <v>69.81</v>
      </c>
      <c r="D811" s="19">
        <v>3374.22</v>
      </c>
      <c r="E811" s="19">
        <v>4416.75</v>
      </c>
      <c r="F811" s="19">
        <v>1997.81</v>
      </c>
      <c r="G811" s="19">
        <v>1398.45</v>
      </c>
      <c r="H811" s="10">
        <f t="shared" si="260"/>
        <v>1.5805739514348785E-2</v>
      </c>
      <c r="I811" s="10">
        <f t="shared" si="261"/>
        <v>0.76395992528442858</v>
      </c>
      <c r="J811" s="10">
        <f t="shared" si="262"/>
        <v>1.4285887947370302</v>
      </c>
      <c r="K811" s="4">
        <f t="shared" si="270"/>
        <v>-2.2268608872274203E-2</v>
      </c>
      <c r="L811" s="10">
        <f t="shared" si="271"/>
        <v>0.76395992528442858</v>
      </c>
      <c r="M811" s="25">
        <v>-89.36</v>
      </c>
      <c r="N811" s="25">
        <v>-1581.91</v>
      </c>
      <c r="O811" s="25">
        <v>1630.16</v>
      </c>
      <c r="P811" s="11">
        <v>1.1000000000000001E-3</v>
      </c>
      <c r="Q811" s="11">
        <f t="shared" si="274"/>
        <v>1.1999999999999999E-3</v>
      </c>
      <c r="R811" s="12">
        <f t="shared" si="257"/>
        <v>-2.0232071092998245E-2</v>
      </c>
      <c r="S811" s="12">
        <f t="shared" si="258"/>
        <v>-0.35816154412180906</v>
      </c>
      <c r="T811" s="12">
        <f t="shared" si="259"/>
        <v>0.36908586630440937</v>
      </c>
      <c r="U811" s="12">
        <f t="shared" si="255"/>
        <v>-2.2255278202298071E-5</v>
      </c>
      <c r="V811" s="12">
        <f t="shared" si="248"/>
        <v>-3.9397769853398998E-4</v>
      </c>
      <c r="W811" s="12">
        <f t="shared" si="249"/>
        <v>4.0599445293485034E-4</v>
      </c>
      <c r="X811" s="12">
        <f t="shared" si="250"/>
        <v>-2.4278485311597892E-5</v>
      </c>
      <c r="Y811" s="12">
        <f t="shared" si="251"/>
        <v>-4.2979385294617082E-4</v>
      </c>
      <c r="Z811" s="12">
        <f t="shared" si="252"/>
        <v>4.4290303956529123E-4</v>
      </c>
    </row>
    <row r="812" spans="1:26" ht="13">
      <c r="A812" s="24" t="s">
        <v>179</v>
      </c>
      <c r="B812" s="9">
        <v>2017</v>
      </c>
      <c r="C812" s="19">
        <v>35.53</v>
      </c>
      <c r="D812" s="29">
        <v>333.76</v>
      </c>
      <c r="E812" s="19">
        <v>677.19</v>
      </c>
      <c r="F812" s="19">
        <v>321.82</v>
      </c>
      <c r="G812" s="19">
        <v>488.15</v>
      </c>
      <c r="H812" s="10">
        <f t="shared" si="260"/>
        <v>5.246681138232992E-2</v>
      </c>
      <c r="I812" s="10">
        <f t="shared" si="261"/>
        <v>0.49286020171591421</v>
      </c>
      <c r="J812" s="10">
        <f t="shared" si="262"/>
        <v>0.6592645703165011</v>
      </c>
      <c r="K812" s="4">
        <f t="shared" si="270"/>
        <v>-1.7294345597210397</v>
      </c>
      <c r="L812" s="10">
        <f t="shared" si="271"/>
        <v>0.49286020171591421</v>
      </c>
      <c r="M812" s="25">
        <v>-104.93</v>
      </c>
      <c r="N812" s="25">
        <v>-34.9</v>
      </c>
      <c r="O812" s="25">
        <v>151.44</v>
      </c>
      <c r="P812" s="11">
        <v>0.01</v>
      </c>
      <c r="Q812" s="11">
        <v>0</v>
      </c>
      <c r="R812" s="12">
        <f t="shared" si="257"/>
        <v>-0.15494912801429436</v>
      </c>
      <c r="S812" s="12">
        <f t="shared" si="258"/>
        <v>-5.1536496404258766E-2</v>
      </c>
      <c r="T812" s="12">
        <f t="shared" si="259"/>
        <v>0.2236300004430071</v>
      </c>
      <c r="U812" s="12">
        <f t="shared" si="255"/>
        <v>-1.5494912801429436E-3</v>
      </c>
      <c r="V812" s="12">
        <f t="shared" si="248"/>
        <v>-5.1536496404258766E-4</v>
      </c>
      <c r="W812" s="12">
        <f t="shared" si="249"/>
        <v>2.236300004430071E-3</v>
      </c>
      <c r="X812" s="12">
        <f t="shared" si="250"/>
        <v>0</v>
      </c>
      <c r="Y812" s="12">
        <f t="shared" si="251"/>
        <v>0</v>
      </c>
      <c r="Z812" s="12">
        <f t="shared" si="252"/>
        <v>0</v>
      </c>
    </row>
    <row r="813" spans="1:26" ht="13">
      <c r="A813" s="24" t="str">
        <f t="shared" ref="A813:A816" si="275">A812</f>
        <v>SHA</v>
      </c>
      <c r="B813" s="9">
        <v>2018</v>
      </c>
      <c r="C813" s="19">
        <v>35.799999999999997</v>
      </c>
      <c r="D813" s="29">
        <v>384.2</v>
      </c>
      <c r="E813" s="19">
        <v>735.23</v>
      </c>
      <c r="F813" s="19">
        <v>369.28</v>
      </c>
      <c r="G813" s="19">
        <v>543.41</v>
      </c>
      <c r="H813" s="10">
        <f t="shared" si="260"/>
        <v>4.8692245963848045E-2</v>
      </c>
      <c r="I813" s="10">
        <f t="shared" si="261"/>
        <v>0.52255756701984413</v>
      </c>
      <c r="J813" s="10">
        <f t="shared" si="262"/>
        <v>0.67956055280543237</v>
      </c>
      <c r="K813" s="4">
        <f t="shared" si="270"/>
        <v>-1.5432552170354261</v>
      </c>
      <c r="L813" s="10">
        <f t="shared" si="271"/>
        <v>0.52255756701984413</v>
      </c>
      <c r="M813" s="25">
        <v>-36.75</v>
      </c>
      <c r="N813" s="25">
        <v>-11.86</v>
      </c>
      <c r="O813" s="25">
        <v>40.17</v>
      </c>
      <c r="P813" s="11">
        <v>9.1999999999999998E-3</v>
      </c>
      <c r="Q813" s="11">
        <v>0</v>
      </c>
      <c r="R813" s="12">
        <f t="shared" si="257"/>
        <v>-4.9984358636073062E-2</v>
      </c>
      <c r="S813" s="12">
        <f t="shared" si="258"/>
        <v>-1.6131006623777592E-2</v>
      </c>
      <c r="T813" s="12">
        <f t="shared" si="259"/>
        <v>5.4635964256083129E-2</v>
      </c>
      <c r="U813" s="12">
        <f t="shared" si="255"/>
        <v>-4.5985609945187216E-4</v>
      </c>
      <c r="V813" s="12">
        <f t="shared" si="248"/>
        <v>-1.4840526093875384E-4</v>
      </c>
      <c r="W813" s="12">
        <f t="shared" si="249"/>
        <v>5.0265087115596474E-4</v>
      </c>
      <c r="X813" s="12">
        <f t="shared" si="250"/>
        <v>0</v>
      </c>
      <c r="Y813" s="12">
        <f t="shared" si="251"/>
        <v>0</v>
      </c>
      <c r="Z813" s="12">
        <f t="shared" si="252"/>
        <v>0</v>
      </c>
    </row>
    <row r="814" spans="1:26" ht="13">
      <c r="A814" s="24" t="str">
        <f t="shared" si="275"/>
        <v>SHA</v>
      </c>
      <c r="B814" s="9">
        <v>2019</v>
      </c>
      <c r="C814" s="19">
        <v>30.85</v>
      </c>
      <c r="D814" s="29">
        <v>439.99</v>
      </c>
      <c r="E814" s="19">
        <v>807.45</v>
      </c>
      <c r="F814" s="19">
        <v>429.78</v>
      </c>
      <c r="G814" s="19">
        <v>618.54999999999995</v>
      </c>
      <c r="H814" s="10">
        <f t="shared" si="260"/>
        <v>3.8206700105269678E-2</v>
      </c>
      <c r="I814" s="10">
        <f t="shared" si="261"/>
        <v>0.54491299770883639</v>
      </c>
      <c r="J814" s="10">
        <f t="shared" si="262"/>
        <v>0.69481852720071136</v>
      </c>
      <c r="K814" s="4">
        <f t="shared" si="270"/>
        <v>-1.3687053376421485</v>
      </c>
      <c r="L814" s="10">
        <f t="shared" si="271"/>
        <v>0.54491299770883639</v>
      </c>
      <c r="M814" s="25">
        <v>16.420000000000002</v>
      </c>
      <c r="N814" s="25">
        <v>-12.23</v>
      </c>
      <c r="O814" s="25">
        <v>28.24</v>
      </c>
      <c r="P814" s="11">
        <v>1.0200000000000001E-2</v>
      </c>
      <c r="Q814" s="11">
        <v>8.5999999999999993E-2</v>
      </c>
      <c r="R814" s="12">
        <f t="shared" si="257"/>
        <v>2.0335624496872873E-2</v>
      </c>
      <c r="S814" s="12">
        <f t="shared" si="258"/>
        <v>-1.5146448696513716E-2</v>
      </c>
      <c r="T814" s="12">
        <f t="shared" si="259"/>
        <v>3.4974301814353827E-2</v>
      </c>
      <c r="U814" s="12">
        <f t="shared" si="255"/>
        <v>2.074233698681033E-4</v>
      </c>
      <c r="V814" s="12">
        <f t="shared" si="248"/>
        <v>-1.5449377670443993E-4</v>
      </c>
      <c r="W814" s="12">
        <f t="shared" si="249"/>
        <v>3.5673787850640904E-4</v>
      </c>
      <c r="X814" s="12">
        <f t="shared" si="250"/>
        <v>1.7488637067310669E-3</v>
      </c>
      <c r="Y814" s="12">
        <f t="shared" si="251"/>
        <v>-1.3025945879001795E-3</v>
      </c>
      <c r="Z814" s="12">
        <f t="shared" si="252"/>
        <v>3.007789956034429E-3</v>
      </c>
    </row>
    <row r="815" spans="1:26" ht="14.25" customHeight="1">
      <c r="A815" s="24" t="str">
        <f t="shared" si="275"/>
        <v>SHA</v>
      </c>
      <c r="B815" s="9">
        <v>2020</v>
      </c>
      <c r="C815" s="19">
        <v>25.19</v>
      </c>
      <c r="D815" s="29">
        <v>507.45</v>
      </c>
      <c r="E815" s="19">
        <v>890.41</v>
      </c>
      <c r="F815" s="19">
        <v>501.14</v>
      </c>
      <c r="G815" s="19">
        <v>708.92</v>
      </c>
      <c r="H815" s="10">
        <f t="shared" si="260"/>
        <v>2.8290338158825711E-2</v>
      </c>
      <c r="I815" s="10">
        <f t="shared" si="261"/>
        <v>0.56990599836030598</v>
      </c>
      <c r="J815" s="10">
        <f t="shared" si="262"/>
        <v>0.70690627997517352</v>
      </c>
      <c r="K815" s="4">
        <f t="shared" si="270"/>
        <v>-1.1816699561808721</v>
      </c>
      <c r="L815" s="10">
        <f t="shared" si="271"/>
        <v>0.56990599836030598</v>
      </c>
      <c r="M815" s="25">
        <v>69.69</v>
      </c>
      <c r="N815" s="25">
        <v>-26.8</v>
      </c>
      <c r="O815" s="25">
        <v>17.29</v>
      </c>
      <c r="P815" s="11">
        <v>7.6E-3</v>
      </c>
      <c r="Q815" s="11">
        <v>0</v>
      </c>
      <c r="R815" s="12">
        <f t="shared" si="257"/>
        <v>7.826731505710853E-2</v>
      </c>
      <c r="S815" s="12">
        <f t="shared" si="258"/>
        <v>-3.0098493952224258E-2</v>
      </c>
      <c r="T815" s="12">
        <f t="shared" si="259"/>
        <v>1.9418020911714826E-2</v>
      </c>
      <c r="U815" s="12">
        <f t="shared" si="255"/>
        <v>5.9483159443402488E-4</v>
      </c>
      <c r="V815" s="12">
        <f t="shared" si="248"/>
        <v>-2.2874855403690435E-4</v>
      </c>
      <c r="W815" s="12">
        <f t="shared" si="249"/>
        <v>1.4757695892903268E-4</v>
      </c>
      <c r="X815" s="12">
        <f t="shared" si="250"/>
        <v>0</v>
      </c>
      <c r="Y815" s="12">
        <f t="shared" si="251"/>
        <v>0</v>
      </c>
      <c r="Z815" s="12">
        <f t="shared" si="252"/>
        <v>0</v>
      </c>
    </row>
    <row r="816" spans="1:26" ht="13">
      <c r="A816" s="24" t="str">
        <f t="shared" si="275"/>
        <v>SHA</v>
      </c>
      <c r="B816" s="9">
        <v>2021</v>
      </c>
      <c r="C816" s="19">
        <v>17.86</v>
      </c>
      <c r="D816" s="29">
        <v>541.94000000000005</v>
      </c>
      <c r="E816" s="19">
        <v>942.23</v>
      </c>
      <c r="F816" s="19">
        <v>540.15</v>
      </c>
      <c r="G816" s="19">
        <v>724.93</v>
      </c>
      <c r="H816" s="10">
        <f t="shared" si="260"/>
        <v>1.8955032210819015E-2</v>
      </c>
      <c r="I816" s="10">
        <f t="shared" si="261"/>
        <v>0.57516742196703574</v>
      </c>
      <c r="J816" s="10">
        <f t="shared" si="262"/>
        <v>0.74510642406853078</v>
      </c>
      <c r="K816" s="4">
        <f t="shared" si="270"/>
        <v>-1.1098237654328553</v>
      </c>
      <c r="L816" s="10">
        <f t="shared" si="271"/>
        <v>0.57516742196703574</v>
      </c>
      <c r="M816" s="25">
        <v>-58.14</v>
      </c>
      <c r="N816" s="25">
        <v>-64.569999999999993</v>
      </c>
      <c r="O816" s="25">
        <v>45.47</v>
      </c>
      <c r="P816" s="11">
        <v>8.9999999999999993E-3</v>
      </c>
      <c r="Q816" s="11">
        <v>0</v>
      </c>
      <c r="R816" s="12">
        <f t="shared" si="257"/>
        <v>-6.1704679324581048E-2</v>
      </c>
      <c r="S816" s="12">
        <f t="shared" si="258"/>
        <v>-6.8528915445273439E-2</v>
      </c>
      <c r="T816" s="12">
        <f t="shared" si="259"/>
        <v>4.8257856362034744E-2</v>
      </c>
      <c r="U816" s="12">
        <f t="shared" si="255"/>
        <v>-5.5534211392122934E-4</v>
      </c>
      <c r="V816" s="12">
        <f t="shared" si="248"/>
        <v>-6.167602390074609E-4</v>
      </c>
      <c r="W816" s="12">
        <f t="shared" si="249"/>
        <v>4.3432070725831265E-4</v>
      </c>
      <c r="X816" s="12">
        <f t="shared" si="250"/>
        <v>0</v>
      </c>
      <c r="Y816" s="12">
        <f t="shared" si="251"/>
        <v>0</v>
      </c>
      <c r="Z816" s="12">
        <f t="shared" si="252"/>
        <v>0</v>
      </c>
    </row>
    <row r="817" spans="1:26" ht="13">
      <c r="A817" s="24" t="s">
        <v>180</v>
      </c>
      <c r="B817" s="9">
        <v>2017</v>
      </c>
      <c r="C817" s="19">
        <v>105.46</v>
      </c>
      <c r="D817" s="29">
        <v>2060.52</v>
      </c>
      <c r="E817" s="19">
        <v>2977.43</v>
      </c>
      <c r="F817" s="19">
        <v>1778.28</v>
      </c>
      <c r="G817" s="19">
        <v>2190.42</v>
      </c>
      <c r="H817" s="10">
        <f t="shared" si="260"/>
        <v>3.5419808358214969E-2</v>
      </c>
      <c r="I817" s="10">
        <f t="shared" si="261"/>
        <v>0.69204649647514804</v>
      </c>
      <c r="J817" s="10">
        <f t="shared" si="262"/>
        <v>0.81184430383214179</v>
      </c>
      <c r="K817" s="4">
        <f t="shared" si="270"/>
        <v>-0.51797148491895162</v>
      </c>
      <c r="L817" s="10">
        <f t="shared" si="271"/>
        <v>0.69204649647514804</v>
      </c>
      <c r="M817" s="25">
        <v>-298.27</v>
      </c>
      <c r="N817" s="25">
        <v>-177.39</v>
      </c>
      <c r="O817" s="25">
        <v>524.91</v>
      </c>
      <c r="P817" s="11">
        <v>1.7999999999999999E-2</v>
      </c>
      <c r="Q817" s="11">
        <v>4.0000000000000002E-4</v>
      </c>
      <c r="R817" s="12">
        <f t="shared" si="257"/>
        <v>-0.10017699828375479</v>
      </c>
      <c r="S817" s="12">
        <f t="shared" si="258"/>
        <v>-5.9578226860077313E-2</v>
      </c>
      <c r="T817" s="12">
        <f t="shared" si="259"/>
        <v>0.17629633610194026</v>
      </c>
      <c r="U817" s="12">
        <f t="shared" si="255"/>
        <v>-1.803185969107586E-3</v>
      </c>
      <c r="V817" s="12">
        <f t="shared" si="248"/>
        <v>-1.0724080834813915E-3</v>
      </c>
      <c r="W817" s="12">
        <f t="shared" si="249"/>
        <v>3.1733340498349243E-3</v>
      </c>
      <c r="X817" s="12">
        <f t="shared" si="250"/>
        <v>-4.0070799313501917E-5</v>
      </c>
      <c r="Y817" s="12">
        <f t="shared" si="251"/>
        <v>-2.3831290744030925E-5</v>
      </c>
      <c r="Z817" s="12">
        <f t="shared" si="252"/>
        <v>7.0518534440776104E-5</v>
      </c>
    </row>
    <row r="818" spans="1:26" ht="13">
      <c r="A818" s="24" t="str">
        <f t="shared" ref="A818:A821" si="276">A817</f>
        <v>SHI</v>
      </c>
      <c r="B818" s="9">
        <v>2018</v>
      </c>
      <c r="C818" s="19">
        <v>108.13</v>
      </c>
      <c r="D818" s="29">
        <v>2413.25</v>
      </c>
      <c r="E818" s="19">
        <v>3529.52</v>
      </c>
      <c r="F818" s="19">
        <v>2108.42</v>
      </c>
      <c r="G818" s="19">
        <v>2563.5500000000002</v>
      </c>
      <c r="H818" s="10">
        <f t="shared" si="260"/>
        <v>3.0635893832589134E-2</v>
      </c>
      <c r="I818" s="10">
        <f t="shared" si="261"/>
        <v>0.68373319884856865</v>
      </c>
      <c r="J818" s="10">
        <f t="shared" si="262"/>
        <v>0.82246104035419632</v>
      </c>
      <c r="K818" s="4">
        <f t="shared" si="270"/>
        <v>-0.54387213297122627</v>
      </c>
      <c r="L818" s="10">
        <f t="shared" si="271"/>
        <v>0.68373319884856865</v>
      </c>
      <c r="M818" s="25">
        <v>99.32</v>
      </c>
      <c r="N818" s="25">
        <v>-233.1</v>
      </c>
      <c r="O818" s="25">
        <v>197.79</v>
      </c>
      <c r="P818" s="11">
        <v>7.0000000000000001E-3</v>
      </c>
      <c r="Q818" s="11">
        <v>0</v>
      </c>
      <c r="R818" s="12">
        <f t="shared" si="257"/>
        <v>2.8139803712686144E-2</v>
      </c>
      <c r="S818" s="12">
        <f t="shared" si="258"/>
        <v>-6.6042974682109748E-2</v>
      </c>
      <c r="T818" s="12">
        <f t="shared" si="259"/>
        <v>5.6038781477368023E-2</v>
      </c>
      <c r="U818" s="12">
        <f t="shared" si="255"/>
        <v>1.9697862598880303E-4</v>
      </c>
      <c r="V818" s="12">
        <f t="shared" si="248"/>
        <v>-4.6230082277476825E-4</v>
      </c>
      <c r="W818" s="12">
        <f t="shared" si="249"/>
        <v>3.9227147034157615E-4</v>
      </c>
      <c r="X818" s="12">
        <f t="shared" si="250"/>
        <v>0</v>
      </c>
      <c r="Y818" s="12">
        <f t="shared" si="251"/>
        <v>0</v>
      </c>
      <c r="Z818" s="12">
        <f t="shared" si="252"/>
        <v>0</v>
      </c>
    </row>
    <row r="819" spans="1:26" ht="13">
      <c r="A819" s="24" t="str">
        <f t="shared" si="276"/>
        <v>SHI</v>
      </c>
      <c r="B819" s="9">
        <v>2019</v>
      </c>
      <c r="C819" s="19">
        <v>105.75</v>
      </c>
      <c r="D819" s="29">
        <v>2786.5</v>
      </c>
      <c r="E819" s="19">
        <v>4061.24</v>
      </c>
      <c r="F819" s="19">
        <v>2558.5300000000002</v>
      </c>
      <c r="G819" s="19">
        <v>2992.5</v>
      </c>
      <c r="H819" s="10">
        <f t="shared" si="260"/>
        <v>2.603884527878185E-2</v>
      </c>
      <c r="I819" s="10">
        <f t="shared" si="261"/>
        <v>0.68612049521820928</v>
      </c>
      <c r="J819" s="10">
        <f t="shared" si="262"/>
        <v>0.85498078529657484</v>
      </c>
      <c r="K819" s="4">
        <f t="shared" si="270"/>
        <v>-0.50970790415191136</v>
      </c>
      <c r="L819" s="10">
        <f t="shared" si="271"/>
        <v>0.68612049521820928</v>
      </c>
      <c r="M819" s="25">
        <v>-209.83</v>
      </c>
      <c r="N819" s="25">
        <v>-91.97</v>
      </c>
      <c r="O819" s="25">
        <v>263.61</v>
      </c>
      <c r="P819" s="11">
        <v>7.0000000000000001E-3</v>
      </c>
      <c r="Q819" s="11">
        <v>2.9999999999999997E-4</v>
      </c>
      <c r="R819" s="12">
        <f t="shared" si="257"/>
        <v>-5.1666486097842045E-2</v>
      </c>
      <c r="S819" s="12">
        <f t="shared" si="258"/>
        <v>-2.2645792910539638E-2</v>
      </c>
      <c r="T819" s="12">
        <f t="shared" si="259"/>
        <v>6.4908747082171953E-2</v>
      </c>
      <c r="U819" s="12">
        <f t="shared" si="255"/>
        <v>-3.6166540268489433E-4</v>
      </c>
      <c r="V819" s="12">
        <f t="shared" si="248"/>
        <v>-1.5852055037377747E-4</v>
      </c>
      <c r="W819" s="12">
        <f t="shared" si="249"/>
        <v>4.5436122957520365E-4</v>
      </c>
      <c r="X819" s="12">
        <f t="shared" si="250"/>
        <v>-1.5499945829352612E-5</v>
      </c>
      <c r="Y819" s="12">
        <f t="shared" si="251"/>
        <v>-6.7937378731618912E-6</v>
      </c>
      <c r="Z819" s="12">
        <f t="shared" si="252"/>
        <v>1.9472624124651584E-5</v>
      </c>
    </row>
    <row r="820" spans="1:26" ht="13">
      <c r="A820" s="24" t="str">
        <f t="shared" si="276"/>
        <v>SHI</v>
      </c>
      <c r="B820" s="9">
        <v>2020</v>
      </c>
      <c r="C820" s="19">
        <v>89.51</v>
      </c>
      <c r="D820" s="29">
        <v>3182.05</v>
      </c>
      <c r="E820" s="19">
        <v>4504.78</v>
      </c>
      <c r="F820" s="19">
        <v>2968.94</v>
      </c>
      <c r="G820" s="19">
        <v>3424.72</v>
      </c>
      <c r="H820" s="10">
        <f t="shared" si="260"/>
        <v>1.987000475050946E-2</v>
      </c>
      <c r="I820" s="10">
        <f t="shared" si="261"/>
        <v>0.70637189829470037</v>
      </c>
      <c r="J820" s="10">
        <f t="shared" si="262"/>
        <v>0.86691466747646528</v>
      </c>
      <c r="K820" s="4">
        <f t="shared" si="270"/>
        <v>-0.36656285976740577</v>
      </c>
      <c r="L820" s="10">
        <f t="shared" si="271"/>
        <v>0.70637189829470037</v>
      </c>
      <c r="M820" s="25">
        <v>252.81</v>
      </c>
      <c r="N820" s="25">
        <v>-138.91999999999999</v>
      </c>
      <c r="O820" s="25">
        <v>-29.24</v>
      </c>
      <c r="P820" s="11">
        <v>2.0999999999999999E-3</v>
      </c>
      <c r="Q820" s="11">
        <v>0</v>
      </c>
      <c r="R820" s="12">
        <f t="shared" si="257"/>
        <v>5.612038767708967E-2</v>
      </c>
      <c r="S820" s="12">
        <f t="shared" si="258"/>
        <v>-3.0838353926273869E-2</v>
      </c>
      <c r="T820" s="12">
        <f t="shared" si="259"/>
        <v>-6.4908830175946439E-3</v>
      </c>
      <c r="U820" s="12">
        <f t="shared" si="255"/>
        <v>1.1785281412188829E-4</v>
      </c>
      <c r="V820" s="12">
        <f t="shared" si="248"/>
        <v>-6.4760543245175118E-5</v>
      </c>
      <c r="W820" s="12">
        <f t="shared" si="249"/>
        <v>-1.3630854336948752E-5</v>
      </c>
      <c r="X820" s="12">
        <f t="shared" si="250"/>
        <v>0</v>
      </c>
      <c r="Y820" s="12">
        <f t="shared" si="251"/>
        <v>0</v>
      </c>
      <c r="Z820" s="12">
        <f t="shared" si="252"/>
        <v>0</v>
      </c>
    </row>
    <row r="821" spans="1:26" ht="13">
      <c r="A821" s="24" t="str">
        <f t="shared" si="276"/>
        <v>SHI</v>
      </c>
      <c r="B821" s="9">
        <v>2021</v>
      </c>
      <c r="C821" s="19">
        <v>136.68</v>
      </c>
      <c r="D821" s="29">
        <v>4543.01</v>
      </c>
      <c r="E821" s="19">
        <v>5907.41</v>
      </c>
      <c r="F821" s="19">
        <v>4062.86</v>
      </c>
      <c r="G821" s="19">
        <v>4657.2299999999996</v>
      </c>
      <c r="H821" s="10">
        <f t="shared" si="260"/>
        <v>2.3137043137347841E-2</v>
      </c>
      <c r="I821" s="10">
        <f t="shared" si="261"/>
        <v>0.76903583804069808</v>
      </c>
      <c r="J821" s="10">
        <f t="shared" si="262"/>
        <v>0.87237692791637955</v>
      </c>
      <c r="K821" s="4">
        <f t="shared" si="270"/>
        <v>-2.4101924997751944E-2</v>
      </c>
      <c r="L821" s="10">
        <f t="shared" si="271"/>
        <v>0.76903583804069808</v>
      </c>
      <c r="M821" s="25">
        <v>-230.06</v>
      </c>
      <c r="N821" s="25">
        <v>-211.63</v>
      </c>
      <c r="O821" s="25">
        <v>388.93</v>
      </c>
      <c r="P821" s="11">
        <v>1.8E-3</v>
      </c>
      <c r="Q821" s="11">
        <v>0</v>
      </c>
      <c r="R821" s="12">
        <f t="shared" si="257"/>
        <v>-3.8944308927262541E-2</v>
      </c>
      <c r="S821" s="12">
        <f t="shared" si="258"/>
        <v>-3.5824498384232684E-2</v>
      </c>
      <c r="T821" s="12">
        <f t="shared" si="259"/>
        <v>6.5837651356516647E-2</v>
      </c>
      <c r="U821" s="12">
        <f t="shared" si="255"/>
        <v>-7.0099756069072578E-5</v>
      </c>
      <c r="V821" s="12">
        <f t="shared" si="248"/>
        <v>-6.4484097091618831E-5</v>
      </c>
      <c r="W821" s="12">
        <f t="shared" si="249"/>
        <v>1.1850777244172996E-4</v>
      </c>
      <c r="X821" s="12">
        <f t="shared" si="250"/>
        <v>0</v>
      </c>
      <c r="Y821" s="12">
        <f t="shared" si="251"/>
        <v>0</v>
      </c>
      <c r="Z821" s="12">
        <f t="shared" si="252"/>
        <v>0</v>
      </c>
    </row>
    <row r="822" spans="1:26" ht="13">
      <c r="A822" s="24" t="s">
        <v>181</v>
      </c>
      <c r="B822" s="9">
        <v>2017</v>
      </c>
      <c r="C822" s="19">
        <v>185.25</v>
      </c>
      <c r="D822" s="29">
        <v>1256.01</v>
      </c>
      <c r="E822" s="19">
        <v>2473.0700000000002</v>
      </c>
      <c r="F822" s="19">
        <v>238.5</v>
      </c>
      <c r="G822" s="19">
        <v>240.63</v>
      </c>
      <c r="H822" s="10">
        <f t="shared" si="260"/>
        <v>7.4906897095512862E-2</v>
      </c>
      <c r="I822" s="10">
        <f t="shared" si="261"/>
        <v>0.50787482764337444</v>
      </c>
      <c r="J822" s="10">
        <f t="shared" si="262"/>
        <v>0.99114823588081291</v>
      </c>
      <c r="K822" s="4">
        <f t="shared" si="270"/>
        <v>-1.7461591123060967</v>
      </c>
      <c r="L822" s="10">
        <f t="shared" si="271"/>
        <v>0.50787482764337444</v>
      </c>
      <c r="M822" s="25">
        <v>376.4</v>
      </c>
      <c r="N822" s="25">
        <v>-4.43</v>
      </c>
      <c r="O822" s="25">
        <v>-289.58</v>
      </c>
      <c r="P822" s="11">
        <v>4.0399999999999998E-2</v>
      </c>
      <c r="Q822" s="11">
        <v>3.8999999999999998E-3</v>
      </c>
      <c r="R822" s="12">
        <f t="shared" si="257"/>
        <v>0.15219949293792734</v>
      </c>
      <c r="S822" s="12">
        <f t="shared" si="258"/>
        <v>-1.7912958387752871E-3</v>
      </c>
      <c r="T822" s="12">
        <f t="shared" si="259"/>
        <v>-0.11709332934369021</v>
      </c>
      <c r="U822" s="12">
        <f t="shared" si="255"/>
        <v>6.1488595146922641E-3</v>
      </c>
      <c r="V822" s="12">
        <f t="shared" si="248"/>
        <v>-7.2368351886521599E-5</v>
      </c>
      <c r="W822" s="12">
        <f t="shared" si="249"/>
        <v>-4.7305705054850843E-3</v>
      </c>
      <c r="X822" s="12">
        <f t="shared" si="250"/>
        <v>5.9357802245791659E-4</v>
      </c>
      <c r="Y822" s="12">
        <f t="shared" si="251"/>
        <v>-6.9860537712236193E-6</v>
      </c>
      <c r="Z822" s="12">
        <f t="shared" si="252"/>
        <v>-4.5666398444039178E-4</v>
      </c>
    </row>
    <row r="823" spans="1:26" ht="13">
      <c r="A823" s="24" t="str">
        <f t="shared" ref="A823:A826" si="277">A822</f>
        <v>SHP</v>
      </c>
      <c r="B823" s="9">
        <v>2018</v>
      </c>
      <c r="C823" s="19">
        <v>187.52</v>
      </c>
      <c r="D823" s="29">
        <v>1078.03</v>
      </c>
      <c r="E823" s="19">
        <v>2312.2800000000002</v>
      </c>
      <c r="F823" s="19">
        <v>298.67</v>
      </c>
      <c r="G823" s="19">
        <v>255.41</v>
      </c>
      <c r="H823" s="10">
        <f t="shared" si="260"/>
        <v>8.1097444946113789E-2</v>
      </c>
      <c r="I823" s="10">
        <f t="shared" si="261"/>
        <v>0.46621948898922272</v>
      </c>
      <c r="J823" s="10">
        <f t="shared" si="262"/>
        <v>1.1693747308249482</v>
      </c>
      <c r="K823" s="4">
        <f t="shared" si="270"/>
        <v>-2.0121649139422422</v>
      </c>
      <c r="L823" s="10">
        <f t="shared" si="271"/>
        <v>0.46621948898922272</v>
      </c>
      <c r="M823" s="25">
        <v>360.09</v>
      </c>
      <c r="N823" s="25">
        <v>-12.8</v>
      </c>
      <c r="O823" s="25">
        <v>-338.25</v>
      </c>
      <c r="P823" s="11">
        <v>4.9399999999999999E-2</v>
      </c>
      <c r="Q823" s="11">
        <v>1.0809999999999999E-3</v>
      </c>
      <c r="R823" s="12">
        <f t="shared" si="257"/>
        <v>0.15572940993305306</v>
      </c>
      <c r="S823" s="12">
        <f t="shared" si="258"/>
        <v>-5.5356617710657875E-3</v>
      </c>
      <c r="T823" s="12">
        <f t="shared" si="259"/>
        <v>-0.14628418703617208</v>
      </c>
      <c r="U823" s="12">
        <f t="shared" si="255"/>
        <v>7.6930328506928216E-3</v>
      </c>
      <c r="V823" s="12">
        <f t="shared" si="248"/>
        <v>-2.7346169149064991E-4</v>
      </c>
      <c r="W823" s="12">
        <f t="shared" si="249"/>
        <v>-7.2264388395869008E-3</v>
      </c>
      <c r="X823" s="12">
        <f t="shared" si="250"/>
        <v>1.6834349213763034E-4</v>
      </c>
      <c r="Y823" s="12">
        <f t="shared" si="251"/>
        <v>-5.984050374522116E-6</v>
      </c>
      <c r="Z823" s="12">
        <f t="shared" si="252"/>
        <v>-1.5813320618610199E-4</v>
      </c>
    </row>
    <row r="824" spans="1:26" ht="13">
      <c r="A824" s="24" t="str">
        <f t="shared" si="277"/>
        <v>SHP</v>
      </c>
      <c r="B824" s="9">
        <v>2019</v>
      </c>
      <c r="C824" s="19">
        <v>216.43</v>
      </c>
      <c r="D824" s="29">
        <v>831.82</v>
      </c>
      <c r="E824" s="19">
        <v>2085.17</v>
      </c>
      <c r="F824" s="19">
        <v>264.62</v>
      </c>
      <c r="G824" s="19">
        <v>215.79</v>
      </c>
      <c r="H824" s="10">
        <f t="shared" si="260"/>
        <v>0.10379489442107838</v>
      </c>
      <c r="I824" s="10">
        <f t="shared" si="261"/>
        <v>0.3989219104437528</v>
      </c>
      <c r="J824" s="10">
        <f t="shared" si="262"/>
        <v>1.2262848139394782</v>
      </c>
      <c r="K824" s="4">
        <f t="shared" si="270"/>
        <v>-2.4981272746212198</v>
      </c>
      <c r="L824" s="10">
        <f t="shared" si="271"/>
        <v>0.3989219104437528</v>
      </c>
      <c r="M824" s="25">
        <v>387.45</v>
      </c>
      <c r="N824" s="25">
        <v>1.21</v>
      </c>
      <c r="O824" s="25">
        <v>-435.7</v>
      </c>
      <c r="P824" s="11">
        <v>0.05</v>
      </c>
      <c r="Q824" s="11">
        <v>8.0000000000000007E-5</v>
      </c>
      <c r="R824" s="12">
        <f t="shared" si="257"/>
        <v>0.18581218797508114</v>
      </c>
      <c r="S824" s="12">
        <f t="shared" si="258"/>
        <v>5.8028841773092839E-4</v>
      </c>
      <c r="T824" s="12">
        <f t="shared" si="259"/>
        <v>-0.20895178810360784</v>
      </c>
      <c r="U824" s="12">
        <f t="shared" si="255"/>
        <v>9.2906093987540576E-3</v>
      </c>
      <c r="V824" s="12">
        <f t="shared" si="248"/>
        <v>2.901442088654642E-5</v>
      </c>
      <c r="W824" s="12">
        <f t="shared" si="249"/>
        <v>-1.0447589405180393E-2</v>
      </c>
      <c r="X824" s="12">
        <f t="shared" si="250"/>
        <v>1.4864975038006493E-5</v>
      </c>
      <c r="Y824" s="12">
        <f t="shared" si="251"/>
        <v>4.6423073418474277E-8</v>
      </c>
      <c r="Z824" s="12">
        <f t="shared" si="252"/>
        <v>-1.6716143048288628E-5</v>
      </c>
    </row>
    <row r="825" spans="1:26" ht="13">
      <c r="A825" s="24" t="str">
        <f t="shared" si="277"/>
        <v>SHP</v>
      </c>
      <c r="B825" s="9">
        <v>2020</v>
      </c>
      <c r="C825" s="19">
        <v>63.42</v>
      </c>
      <c r="D825" s="29">
        <v>704.25</v>
      </c>
      <c r="E825" s="19">
        <v>1825.1</v>
      </c>
      <c r="F825" s="19">
        <v>323.2</v>
      </c>
      <c r="G825" s="19">
        <v>128.52000000000001</v>
      </c>
      <c r="H825" s="10">
        <f t="shared" si="260"/>
        <v>3.4748780888718432E-2</v>
      </c>
      <c r="I825" s="10">
        <f t="shared" si="261"/>
        <v>0.38586926743740069</v>
      </c>
      <c r="J825" s="10">
        <f t="shared" si="262"/>
        <v>2.5147836912542791</v>
      </c>
      <c r="K825" s="4">
        <f t="shared" si="270"/>
        <v>-2.2669738243710658</v>
      </c>
      <c r="L825" s="10">
        <f t="shared" si="271"/>
        <v>0.38586926743740069</v>
      </c>
      <c r="M825" s="25">
        <v>234.44</v>
      </c>
      <c r="N825" s="25">
        <v>1.78</v>
      </c>
      <c r="O825" s="25">
        <v>-314.70999999999998</v>
      </c>
      <c r="P825" s="11">
        <v>4.99E-2</v>
      </c>
      <c r="Q825" s="11">
        <v>5.8E-4</v>
      </c>
      <c r="R825" s="12">
        <f t="shared" si="257"/>
        <v>0.12845323543915402</v>
      </c>
      <c r="S825" s="12">
        <f t="shared" si="258"/>
        <v>9.7528902525888998E-4</v>
      </c>
      <c r="T825" s="12">
        <f t="shared" si="259"/>
        <v>-0.17243438715686812</v>
      </c>
      <c r="U825" s="12">
        <f t="shared" si="255"/>
        <v>6.4098164484137857E-3</v>
      </c>
      <c r="V825" s="12">
        <f t="shared" si="248"/>
        <v>4.8666922360418611E-5</v>
      </c>
      <c r="W825" s="12">
        <f t="shared" si="249"/>
        <v>-8.6044759191277187E-3</v>
      </c>
      <c r="X825" s="12">
        <f t="shared" si="250"/>
        <v>7.4502876554709337E-5</v>
      </c>
      <c r="Y825" s="12">
        <f t="shared" si="251"/>
        <v>5.6566763465015618E-7</v>
      </c>
      <c r="Z825" s="12">
        <f t="shared" si="252"/>
        <v>-1.0001194455098352E-4</v>
      </c>
    </row>
    <row r="826" spans="1:26" ht="13">
      <c r="A826" s="24" t="str">
        <f t="shared" si="277"/>
        <v>SHP</v>
      </c>
      <c r="B826" s="9">
        <v>2021</v>
      </c>
      <c r="C826" s="19">
        <v>265.13</v>
      </c>
      <c r="D826" s="29">
        <v>495.85</v>
      </c>
      <c r="E826" s="19">
        <v>1832.51</v>
      </c>
      <c r="F826" s="19">
        <v>256.85000000000002</v>
      </c>
      <c r="G826" s="19">
        <v>292.3</v>
      </c>
      <c r="H826" s="10">
        <f t="shared" si="260"/>
        <v>0.14468133871029354</v>
      </c>
      <c r="I826" s="10">
        <f t="shared" si="261"/>
        <v>0.27058515369629638</v>
      </c>
      <c r="J826" s="10">
        <f t="shared" si="262"/>
        <v>0.87872049264454333</v>
      </c>
      <c r="K826" s="4">
        <f t="shared" si="270"/>
        <v>-3.4122455300980095</v>
      </c>
      <c r="L826" s="10">
        <f t="shared" si="271"/>
        <v>0.27058515369629638</v>
      </c>
      <c r="M826" s="25">
        <v>421.28</v>
      </c>
      <c r="N826" s="25">
        <v>-0.96</v>
      </c>
      <c r="O826" s="25">
        <v>-281.82</v>
      </c>
      <c r="P826" s="11">
        <v>5.1900000000000002E-2</v>
      </c>
      <c r="Q826" s="11">
        <v>8.0000000000000007E-5</v>
      </c>
      <c r="R826" s="12">
        <f t="shared" si="257"/>
        <v>0.22989233346612023</v>
      </c>
      <c r="S826" s="12">
        <f t="shared" si="258"/>
        <v>-5.2387162962275787E-4</v>
      </c>
      <c r="T826" s="12">
        <f t="shared" si="259"/>
        <v>-0.15378906527113084</v>
      </c>
      <c r="U826" s="12">
        <f t="shared" si="255"/>
        <v>1.193141210689164E-2</v>
      </c>
      <c r="V826" s="12">
        <f t="shared" si="248"/>
        <v>-2.7188937577421135E-5</v>
      </c>
      <c r="W826" s="12">
        <f t="shared" si="249"/>
        <v>-7.9816524875716902E-3</v>
      </c>
      <c r="X826" s="12">
        <f t="shared" si="250"/>
        <v>1.8391386677289621E-5</v>
      </c>
      <c r="Y826" s="12">
        <f t="shared" si="251"/>
        <v>-4.1909730369820636E-8</v>
      </c>
      <c r="Z826" s="12">
        <f t="shared" si="252"/>
        <v>-1.2303125221690468E-5</v>
      </c>
    </row>
    <row r="827" spans="1:26" ht="13">
      <c r="A827" s="24" t="s">
        <v>182</v>
      </c>
      <c r="B827" s="9">
        <v>2017</v>
      </c>
      <c r="C827" s="19">
        <v>33.03</v>
      </c>
      <c r="D827" s="29">
        <v>1732.03</v>
      </c>
      <c r="E827" s="19">
        <v>3246.81</v>
      </c>
      <c r="F827" s="19">
        <v>193.03</v>
      </c>
      <c r="G827" s="19">
        <v>384.75</v>
      </c>
      <c r="H827" s="10">
        <f t="shared" si="260"/>
        <v>1.0173062174873184E-2</v>
      </c>
      <c r="I827" s="10">
        <f t="shared" si="261"/>
        <v>0.53345591519060243</v>
      </c>
      <c r="J827" s="10">
        <f t="shared" si="262"/>
        <v>0.5017024041585445</v>
      </c>
      <c r="K827" s="4">
        <f t="shared" si="270"/>
        <v>-1.3070868728171294</v>
      </c>
      <c r="L827" s="10">
        <f t="shared" si="271"/>
        <v>0.53345591519060243</v>
      </c>
      <c r="M827" s="25">
        <v>76.989999999999995</v>
      </c>
      <c r="N827" s="25">
        <v>-410.16</v>
      </c>
      <c r="O827" s="25">
        <v>10.96</v>
      </c>
      <c r="P827" s="27">
        <v>0.4894</v>
      </c>
      <c r="Q827" s="11">
        <v>6.9999999999999999E-4</v>
      </c>
      <c r="R827" s="12">
        <f t="shared" si="257"/>
        <v>2.3712505505403766E-2</v>
      </c>
      <c r="S827" s="12">
        <f t="shared" si="258"/>
        <v>-0.12632707180278491</v>
      </c>
      <c r="T827" s="12">
        <f t="shared" si="259"/>
        <v>3.3756209941450226E-3</v>
      </c>
      <c r="U827" s="12">
        <f t="shared" si="255"/>
        <v>1.1604900194344603E-2</v>
      </c>
      <c r="V827" s="12">
        <f t="shared" si="248"/>
        <v>-6.1824468940282935E-2</v>
      </c>
      <c r="W827" s="12">
        <f t="shared" si="249"/>
        <v>1.652028914534574E-3</v>
      </c>
      <c r="X827" s="12">
        <f t="shared" si="250"/>
        <v>1.6598753853782637E-5</v>
      </c>
      <c r="Y827" s="12">
        <f t="shared" si="251"/>
        <v>-8.8428950261949438E-5</v>
      </c>
      <c r="Z827" s="12">
        <f t="shared" si="252"/>
        <v>2.3629346959015158E-6</v>
      </c>
    </row>
    <row r="828" spans="1:26" ht="13">
      <c r="A828" s="24" t="str">
        <f t="shared" ref="A828:A831" si="278">A827</f>
        <v>SII</v>
      </c>
      <c r="B828" s="9">
        <v>2018</v>
      </c>
      <c r="C828" s="19">
        <v>28.3</v>
      </c>
      <c r="D828" s="29">
        <v>1528.7</v>
      </c>
      <c r="E828" s="19">
        <v>3075.09</v>
      </c>
      <c r="F828" s="19">
        <v>208.6</v>
      </c>
      <c r="G828" s="19">
        <v>458.74</v>
      </c>
      <c r="H828" s="10">
        <f t="shared" si="260"/>
        <v>9.2029826769297815E-3</v>
      </c>
      <c r="I828" s="10">
        <f t="shared" si="261"/>
        <v>0.49712366142129172</v>
      </c>
      <c r="J828" s="10">
        <f t="shared" si="262"/>
        <v>0.45472380869337747</v>
      </c>
      <c r="K828" s="4">
        <f t="shared" si="270"/>
        <v>-1.5096274471795947</v>
      </c>
      <c r="L828" s="10">
        <f t="shared" si="271"/>
        <v>0.49712366142129172</v>
      </c>
      <c r="M828" s="25">
        <v>-115.89</v>
      </c>
      <c r="N828" s="25">
        <v>196.77</v>
      </c>
      <c r="O828" s="25">
        <v>-10.63</v>
      </c>
      <c r="P828" s="11">
        <v>0.48959999999999998</v>
      </c>
      <c r="Q828" s="11">
        <v>0</v>
      </c>
      <c r="R828" s="12">
        <f t="shared" si="257"/>
        <v>-3.76867018526287E-2</v>
      </c>
      <c r="S828" s="12">
        <f t="shared" si="258"/>
        <v>6.3988371072066189E-2</v>
      </c>
      <c r="T828" s="12">
        <f t="shared" si="259"/>
        <v>-3.4568093941965928E-3</v>
      </c>
      <c r="U828" s="12">
        <f t="shared" si="255"/>
        <v>-1.8451409227047012E-2</v>
      </c>
      <c r="V828" s="12">
        <f t="shared" si="248"/>
        <v>3.1328706476883607E-2</v>
      </c>
      <c r="W828" s="12">
        <f t="shared" si="249"/>
        <v>-1.6924538793986518E-3</v>
      </c>
      <c r="X828" s="12">
        <f t="shared" si="250"/>
        <v>0</v>
      </c>
      <c r="Y828" s="12">
        <f t="shared" si="251"/>
        <v>0</v>
      </c>
      <c r="Z828" s="12">
        <f t="shared" si="252"/>
        <v>0</v>
      </c>
    </row>
    <row r="829" spans="1:26" ht="13">
      <c r="A829" s="24" t="str">
        <f t="shared" si="278"/>
        <v>SII</v>
      </c>
      <c r="B829" s="9">
        <v>2019</v>
      </c>
      <c r="C829" s="19">
        <v>32.590000000000003</v>
      </c>
      <c r="D829" s="29">
        <v>1273.1400000000001</v>
      </c>
      <c r="E829" s="19">
        <v>2849.3</v>
      </c>
      <c r="F829" s="19">
        <v>381.11</v>
      </c>
      <c r="G829" s="19">
        <v>324.95</v>
      </c>
      <c r="H829" s="10">
        <f t="shared" si="260"/>
        <v>1.1437897027340049E-2</v>
      </c>
      <c r="I829" s="10">
        <f t="shared" si="261"/>
        <v>0.44682553609658515</v>
      </c>
      <c r="J829" s="10">
        <f t="shared" si="262"/>
        <v>1.1728265887059548</v>
      </c>
      <c r="K829" s="4">
        <f t="shared" si="270"/>
        <v>-1.8092562872273186</v>
      </c>
      <c r="L829" s="10">
        <f t="shared" si="271"/>
        <v>0.44682553609658515</v>
      </c>
      <c r="M829" s="25">
        <v>-63.82</v>
      </c>
      <c r="N829" s="25">
        <v>-19.11</v>
      </c>
      <c r="O829" s="25">
        <v>-55.1</v>
      </c>
      <c r="P829" s="11">
        <f t="shared" ref="P829:P830" si="279">P828</f>
        <v>0.48959999999999998</v>
      </c>
      <c r="Q829" s="11">
        <v>0</v>
      </c>
      <c r="R829" s="12">
        <f t="shared" si="257"/>
        <v>-2.2398483838135683E-2</v>
      </c>
      <c r="S829" s="12">
        <f t="shared" si="258"/>
        <v>-6.7069104692380581E-3</v>
      </c>
      <c r="T829" s="12">
        <f t="shared" si="259"/>
        <v>-1.9338083037939144E-2</v>
      </c>
      <c r="U829" s="12">
        <f t="shared" si="255"/>
        <v>-1.096629768715123E-2</v>
      </c>
      <c r="V829" s="12">
        <f t="shared" si="248"/>
        <v>-3.2837033657389532E-3</v>
      </c>
      <c r="W829" s="12">
        <f t="shared" si="249"/>
        <v>-9.4679254553750036E-3</v>
      </c>
      <c r="X829" s="12">
        <f t="shared" si="250"/>
        <v>0</v>
      </c>
      <c r="Y829" s="12">
        <f t="shared" si="251"/>
        <v>0</v>
      </c>
      <c r="Z829" s="12">
        <f t="shared" si="252"/>
        <v>0</v>
      </c>
    </row>
    <row r="830" spans="1:26" ht="13">
      <c r="A830" s="24" t="str">
        <f t="shared" si="278"/>
        <v>SII</v>
      </c>
      <c r="B830" s="9">
        <v>2020</v>
      </c>
      <c r="C830" s="19">
        <v>-111.02</v>
      </c>
      <c r="D830" s="29">
        <v>999.19</v>
      </c>
      <c r="E830" s="19">
        <v>2456.62</v>
      </c>
      <c r="F830" s="19">
        <v>400.34</v>
      </c>
      <c r="G830" s="19">
        <v>130.31</v>
      </c>
      <c r="H830" s="10">
        <f t="shared" si="260"/>
        <v>-4.5192174613900397E-2</v>
      </c>
      <c r="I830" s="10">
        <f t="shared" si="261"/>
        <v>0.40673364215873847</v>
      </c>
      <c r="J830" s="10">
        <f t="shared" si="262"/>
        <v>3.0722124165451614</v>
      </c>
      <c r="K830" s="4">
        <f t="shared" si="270"/>
        <v>-1.7905423035988195</v>
      </c>
      <c r="L830" s="10">
        <f t="shared" si="271"/>
        <v>0.40673364215873847</v>
      </c>
      <c r="M830" s="25">
        <v>-52.3</v>
      </c>
      <c r="N830" s="25">
        <v>128.63999999999999</v>
      </c>
      <c r="O830" s="25">
        <v>-71.62</v>
      </c>
      <c r="P830" s="11">
        <f t="shared" si="279"/>
        <v>0.48959999999999998</v>
      </c>
      <c r="Q830" s="11">
        <v>0</v>
      </c>
      <c r="R830" s="12">
        <f t="shared" si="257"/>
        <v>-2.1289413910169256E-2</v>
      </c>
      <c r="S830" s="12">
        <f t="shared" si="258"/>
        <v>5.2364631078473674E-2</v>
      </c>
      <c r="T830" s="12">
        <f t="shared" si="259"/>
        <v>-2.9153878092663909E-2</v>
      </c>
      <c r="U830" s="12">
        <f t="shared" si="255"/>
        <v>-1.0423297050418867E-2</v>
      </c>
      <c r="V830" s="12">
        <f t="shared" si="248"/>
        <v>2.5637723376020709E-2</v>
      </c>
      <c r="W830" s="12">
        <f t="shared" si="249"/>
        <v>-1.427373871416825E-2</v>
      </c>
      <c r="X830" s="12">
        <f t="shared" si="250"/>
        <v>0</v>
      </c>
      <c r="Y830" s="12">
        <f t="shared" si="251"/>
        <v>0</v>
      </c>
      <c r="Z830" s="12">
        <f t="shared" si="252"/>
        <v>0</v>
      </c>
    </row>
    <row r="831" spans="1:26" ht="13">
      <c r="A831" s="24" t="str">
        <f t="shared" si="278"/>
        <v>SII</v>
      </c>
      <c r="B831" s="9">
        <v>2021</v>
      </c>
      <c r="C831" s="19">
        <v>-78.19</v>
      </c>
      <c r="D831" s="29">
        <v>984.29</v>
      </c>
      <c r="E831" s="19">
        <v>2360.5100000000002</v>
      </c>
      <c r="F831" s="19">
        <v>462.85</v>
      </c>
      <c r="G831" s="19">
        <v>114.83</v>
      </c>
      <c r="H831" s="10">
        <f t="shared" si="260"/>
        <v>-3.3124197736929727E-2</v>
      </c>
      <c r="I831" s="10">
        <f t="shared" si="261"/>
        <v>0.41698192339790974</v>
      </c>
      <c r="J831" s="10">
        <f t="shared" si="262"/>
        <v>4.0307410955325267</v>
      </c>
      <c r="K831" s="4">
        <f t="shared" si="270"/>
        <v>-1.790267111197861</v>
      </c>
      <c r="L831" s="10">
        <f t="shared" si="271"/>
        <v>0.41698192339790974</v>
      </c>
      <c r="M831" s="25">
        <v>-36.35</v>
      </c>
      <c r="N831" s="25">
        <v>101.37</v>
      </c>
      <c r="O831" s="25">
        <v>-37.22</v>
      </c>
      <c r="P831" s="27">
        <v>0.48949999999999999</v>
      </c>
      <c r="Q831" s="11">
        <v>0</v>
      </c>
      <c r="R831" s="12">
        <f t="shared" si="257"/>
        <v>-1.5399214576511007E-2</v>
      </c>
      <c r="S831" s="12">
        <f t="shared" si="258"/>
        <v>4.2944109535651191E-2</v>
      </c>
      <c r="T831" s="12">
        <f t="shared" si="259"/>
        <v>-1.5767778996911681E-2</v>
      </c>
      <c r="U831" s="12">
        <f t="shared" si="255"/>
        <v>-7.5379155352021379E-3</v>
      </c>
      <c r="V831" s="12">
        <f t="shared" si="248"/>
        <v>2.1021141617701258E-2</v>
      </c>
      <c r="W831" s="12">
        <f t="shared" si="249"/>
        <v>-7.7183278189882675E-3</v>
      </c>
      <c r="X831" s="12">
        <f t="shared" si="250"/>
        <v>0</v>
      </c>
      <c r="Y831" s="12">
        <f t="shared" si="251"/>
        <v>0</v>
      </c>
      <c r="Z831" s="12">
        <f t="shared" si="252"/>
        <v>0</v>
      </c>
    </row>
    <row r="832" spans="1:26" ht="13">
      <c r="A832" s="24" t="s">
        <v>183</v>
      </c>
      <c r="B832" s="9">
        <v>2017</v>
      </c>
      <c r="C832" s="19">
        <v>44.22</v>
      </c>
      <c r="D832" s="19">
        <v>386.79</v>
      </c>
      <c r="E832" s="19">
        <v>1232.6600000000001</v>
      </c>
      <c r="F832" s="19">
        <v>570.91999999999996</v>
      </c>
      <c r="G832" s="19">
        <v>302.27</v>
      </c>
      <c r="H832" s="10">
        <f t="shared" si="260"/>
        <v>3.5873639121898983E-2</v>
      </c>
      <c r="I832" s="10">
        <f t="shared" si="261"/>
        <v>0.31378482306556554</v>
      </c>
      <c r="J832" s="10">
        <f t="shared" si="262"/>
        <v>1.8887749363152149</v>
      </c>
      <c r="K832" s="4">
        <f t="shared" si="270"/>
        <v>-2.6804129843200828</v>
      </c>
      <c r="L832" s="10">
        <f t="shared" si="271"/>
        <v>0.31378482306556554</v>
      </c>
      <c r="M832" s="25">
        <v>-103.36</v>
      </c>
      <c r="N832" s="25">
        <v>0.67</v>
      </c>
      <c r="O832" s="25">
        <v>85.7</v>
      </c>
      <c r="P832" s="27">
        <v>5.1999999999999995E-4</v>
      </c>
      <c r="Q832" s="11">
        <v>0.1096</v>
      </c>
      <c r="R832" s="12">
        <f t="shared" si="257"/>
        <v>-8.3851183619165048E-2</v>
      </c>
      <c r="S832" s="12">
        <f t="shared" si="258"/>
        <v>5.4353998669543911E-4</v>
      </c>
      <c r="T832" s="12">
        <f t="shared" si="259"/>
        <v>6.9524443074327064E-2</v>
      </c>
      <c r="U832" s="12">
        <f t="shared" si="255"/>
        <v>-4.3602615481965822E-5</v>
      </c>
      <c r="V832" s="12">
        <f t="shared" si="248"/>
        <v>2.8264079308162831E-7</v>
      </c>
      <c r="W832" s="12">
        <f t="shared" si="249"/>
        <v>3.6152710398650071E-5</v>
      </c>
      <c r="X832" s="12">
        <f t="shared" si="250"/>
        <v>-9.1900897246604898E-3</v>
      </c>
      <c r="Y832" s="12">
        <f t="shared" si="251"/>
        <v>5.9571982541820131E-5</v>
      </c>
      <c r="Z832" s="12">
        <f t="shared" si="252"/>
        <v>7.6198789609462463E-3</v>
      </c>
    </row>
    <row r="833" spans="1:26" ht="13">
      <c r="A833" s="24" t="str">
        <f t="shared" ref="A833:A836" si="280">A832</f>
        <v>SJF</v>
      </c>
      <c r="B833" s="9">
        <v>2018</v>
      </c>
      <c r="C833" s="19">
        <v>47.69</v>
      </c>
      <c r="D833" s="19">
        <v>428.76</v>
      </c>
      <c r="E833" s="19">
        <v>1297.73</v>
      </c>
      <c r="F833" s="19">
        <v>507.28</v>
      </c>
      <c r="G833" s="19">
        <v>359.46</v>
      </c>
      <c r="H833" s="10">
        <f t="shared" si="260"/>
        <v>3.674878441586462E-2</v>
      </c>
      <c r="I833" s="10">
        <f t="shared" si="261"/>
        <v>0.33039230040147027</v>
      </c>
      <c r="J833" s="10">
        <f t="shared" si="262"/>
        <v>1.4112279530406722</v>
      </c>
      <c r="K833" s="4">
        <f t="shared" si="270"/>
        <v>-2.5877783293951726</v>
      </c>
      <c r="L833" s="10">
        <f t="shared" si="271"/>
        <v>0.33039230040147027</v>
      </c>
      <c r="M833" s="25">
        <v>-45.5</v>
      </c>
      <c r="N833" s="25">
        <v>54.67</v>
      </c>
      <c r="O833" s="25">
        <v>-16.43</v>
      </c>
      <c r="P833" s="11">
        <v>2.9999999999999997E-4</v>
      </c>
      <c r="Q833" s="11">
        <v>8.8800000000000004E-2</v>
      </c>
      <c r="R833" s="12">
        <f t="shared" si="257"/>
        <v>-3.5061222288149306E-2</v>
      </c>
      <c r="S833" s="12">
        <f t="shared" si="258"/>
        <v>4.2127407087760936E-2</v>
      </c>
      <c r="T833" s="12">
        <f t="shared" si="259"/>
        <v>-1.2660568839435013E-2</v>
      </c>
      <c r="U833" s="12">
        <f t="shared" si="255"/>
        <v>-1.051836668644479E-5</v>
      </c>
      <c r="V833" s="12">
        <f t="shared" si="248"/>
        <v>1.263822212632828E-5</v>
      </c>
      <c r="W833" s="12">
        <f t="shared" si="249"/>
        <v>-3.7981706518305038E-6</v>
      </c>
      <c r="X833" s="12">
        <f t="shared" si="250"/>
        <v>-3.1134365391876583E-3</v>
      </c>
      <c r="Y833" s="12">
        <f t="shared" si="251"/>
        <v>3.7409137493931714E-3</v>
      </c>
      <c r="Z833" s="12">
        <f t="shared" si="252"/>
        <v>-1.1242585129418291E-3</v>
      </c>
    </row>
    <row r="834" spans="1:26" ht="13">
      <c r="A834" s="24" t="str">
        <f t="shared" si="280"/>
        <v>SJF</v>
      </c>
      <c r="B834" s="9">
        <v>2019</v>
      </c>
      <c r="C834" s="19">
        <v>5.19</v>
      </c>
      <c r="D834" s="19">
        <v>362.87</v>
      </c>
      <c r="E834" s="19">
        <v>1224.93</v>
      </c>
      <c r="F834" s="19">
        <v>508.36</v>
      </c>
      <c r="G834" s="19">
        <v>306.98</v>
      </c>
      <c r="H834" s="10">
        <f t="shared" si="260"/>
        <v>4.2369768068379419E-3</v>
      </c>
      <c r="I834" s="10">
        <f t="shared" si="261"/>
        <v>0.29623733601103736</v>
      </c>
      <c r="J834" s="10">
        <f t="shared" si="262"/>
        <v>1.6560036484461529</v>
      </c>
      <c r="K834" s="4">
        <f t="shared" si="270"/>
        <v>-2.6371375949616422</v>
      </c>
      <c r="L834" s="10">
        <f t="shared" si="271"/>
        <v>0.29623733601103736</v>
      </c>
      <c r="M834" s="25">
        <v>37.28</v>
      </c>
      <c r="N834" s="25">
        <v>-23.1</v>
      </c>
      <c r="O834" s="25">
        <v>-11.69</v>
      </c>
      <c r="P834" s="11">
        <v>3.0999999999999999E-3</v>
      </c>
      <c r="Q834" s="11">
        <v>0.1008</v>
      </c>
      <c r="R834" s="12">
        <f t="shared" ref="R834:R897" si="281">M834/E834</f>
        <v>3.0434392169348453E-2</v>
      </c>
      <c r="S834" s="12">
        <f t="shared" ref="S834:S897" si="282">N834/E834</f>
        <v>-1.885822046974113E-2</v>
      </c>
      <c r="T834" s="12">
        <f t="shared" ref="T834:T897" si="283">O834/E834</f>
        <v>-9.543402480141721E-3</v>
      </c>
      <c r="U834" s="12">
        <f t="shared" si="255"/>
        <v>9.4346615724980206E-5</v>
      </c>
      <c r="V834" s="12">
        <f t="shared" si="248"/>
        <v>-5.8460483456197499E-5</v>
      </c>
      <c r="W834" s="12">
        <f t="shared" si="249"/>
        <v>-2.9584547688439333E-5</v>
      </c>
      <c r="X834" s="12">
        <f t="shared" si="250"/>
        <v>3.067786730670324E-3</v>
      </c>
      <c r="Y834" s="12">
        <f t="shared" si="251"/>
        <v>-1.900908623349906E-3</v>
      </c>
      <c r="Z834" s="12">
        <f t="shared" si="252"/>
        <v>-9.6197496999828546E-4</v>
      </c>
    </row>
    <row r="835" spans="1:26" ht="13">
      <c r="A835" s="24" t="str">
        <f t="shared" si="280"/>
        <v>SJF</v>
      </c>
      <c r="B835" s="9">
        <v>2020</v>
      </c>
      <c r="C835" s="19">
        <v>-28.42</v>
      </c>
      <c r="D835" s="19">
        <v>327.33999999999997</v>
      </c>
      <c r="E835" s="19">
        <v>1160.98</v>
      </c>
      <c r="F835" s="19">
        <v>339.93</v>
      </c>
      <c r="G835" s="19">
        <v>281.58999999999997</v>
      </c>
      <c r="H835" s="10">
        <f t="shared" ref="H835:H898" si="284">C835/E835</f>
        <v>-2.4479319195851782E-2</v>
      </c>
      <c r="I835" s="10">
        <f t="shared" ref="I835:I898" si="285">D835/E835</f>
        <v>0.281951454805423</v>
      </c>
      <c r="J835" s="10">
        <f t="shared" ref="J835:J898" si="286">F835/G835</f>
        <v>1.2071806527220428</v>
      </c>
      <c r="K835" s="4">
        <f t="shared" si="270"/>
        <v>-2.5875484938386437</v>
      </c>
      <c r="L835" s="10">
        <f t="shared" si="271"/>
        <v>0.281951454805423</v>
      </c>
      <c r="M835" s="25">
        <v>16.309999999999999</v>
      </c>
      <c r="N835" s="25">
        <v>-19.28</v>
      </c>
      <c r="O835" s="25">
        <v>-5.05</v>
      </c>
      <c r="P835" s="11">
        <v>2.8E-3</v>
      </c>
      <c r="Q835" s="11">
        <v>5.1900000000000002E-2</v>
      </c>
      <c r="R835" s="12">
        <f t="shared" si="281"/>
        <v>1.4048476287274543E-2</v>
      </c>
      <c r="S835" s="12">
        <f t="shared" si="282"/>
        <v>-1.6606659890781927E-2</v>
      </c>
      <c r="T835" s="12">
        <f t="shared" si="283"/>
        <v>-4.3497734672431907E-3</v>
      </c>
      <c r="U835" s="12">
        <f t="shared" si="255"/>
        <v>3.9335733604368722E-5</v>
      </c>
      <c r="V835" s="12">
        <f t="shared" si="248"/>
        <v>-4.6498647694189393E-5</v>
      </c>
      <c r="W835" s="12">
        <f t="shared" si="249"/>
        <v>-1.2179365708280934E-5</v>
      </c>
      <c r="X835" s="12">
        <f t="shared" si="250"/>
        <v>7.2911591930954886E-4</v>
      </c>
      <c r="Y835" s="12">
        <f t="shared" si="251"/>
        <v>-8.6188564833158206E-4</v>
      </c>
      <c r="Z835" s="12">
        <f t="shared" si="252"/>
        <v>-2.2575324294992161E-4</v>
      </c>
    </row>
    <row r="836" spans="1:26" ht="13">
      <c r="A836" s="24" t="str">
        <f t="shared" si="280"/>
        <v>SJF</v>
      </c>
      <c r="B836" s="9">
        <v>2021</v>
      </c>
      <c r="C836" s="19">
        <v>17.78</v>
      </c>
      <c r="D836" s="19">
        <v>316.16000000000003</v>
      </c>
      <c r="E836" s="19">
        <v>1163.6099999999999</v>
      </c>
      <c r="F836" s="19">
        <v>682.81</v>
      </c>
      <c r="G836" s="19">
        <v>296.06</v>
      </c>
      <c r="H836" s="10">
        <f t="shared" si="284"/>
        <v>1.5280033688263252E-2</v>
      </c>
      <c r="I836" s="10">
        <f t="shared" si="285"/>
        <v>0.27170615584259333</v>
      </c>
      <c r="J836" s="10">
        <f t="shared" si="286"/>
        <v>2.3063230426264942</v>
      </c>
      <c r="K836" s="4">
        <f t="shared" si="270"/>
        <v>-2.8292603554649083</v>
      </c>
      <c r="L836" s="10">
        <f t="shared" si="271"/>
        <v>0.27170615584259333</v>
      </c>
      <c r="M836" s="25">
        <v>180.2</v>
      </c>
      <c r="N836" s="25">
        <v>-101.04</v>
      </c>
      <c r="O836" s="25">
        <v>-75.7</v>
      </c>
      <c r="P836" s="11">
        <v>2.07E-2</v>
      </c>
      <c r="Q836" s="11">
        <v>4.4299999999999999E-2</v>
      </c>
      <c r="R836" s="12">
        <f t="shared" si="281"/>
        <v>0.15486288361220685</v>
      </c>
      <c r="S836" s="12">
        <f t="shared" si="282"/>
        <v>-8.6833217315079814E-2</v>
      </c>
      <c r="T836" s="12">
        <f t="shared" si="283"/>
        <v>-6.5056161428657375E-2</v>
      </c>
      <c r="U836" s="12">
        <f t="shared" si="255"/>
        <v>3.2056616907726815E-3</v>
      </c>
      <c r="V836" s="12">
        <f t="shared" si="248"/>
        <v>-1.7974475984221521E-3</v>
      </c>
      <c r="W836" s="12">
        <f t="shared" si="249"/>
        <v>-1.3466625415732077E-3</v>
      </c>
      <c r="X836" s="12">
        <f t="shared" si="250"/>
        <v>6.8604257440207633E-3</v>
      </c>
      <c r="Y836" s="12">
        <f t="shared" si="251"/>
        <v>-3.8467115270580357E-3</v>
      </c>
      <c r="Z836" s="12">
        <f t="shared" si="252"/>
        <v>-2.8819879512895215E-3</v>
      </c>
    </row>
    <row r="837" spans="1:26" ht="13">
      <c r="A837" s="24" t="s">
        <v>184</v>
      </c>
      <c r="B837" s="9">
        <v>2017</v>
      </c>
      <c r="C837" s="19">
        <v>142.72999999999999</v>
      </c>
      <c r="D837" s="19">
        <v>4009.21</v>
      </c>
      <c r="E837" s="19">
        <v>6284.64</v>
      </c>
      <c r="F837" s="19">
        <v>3850.81</v>
      </c>
      <c r="G837" s="19">
        <v>2575.38</v>
      </c>
      <c r="H837" s="10">
        <f t="shared" si="284"/>
        <v>2.2710926958425619E-2</v>
      </c>
      <c r="I837" s="10">
        <f t="shared" si="285"/>
        <v>0.63793789302171644</v>
      </c>
      <c r="J837" s="10">
        <f t="shared" si="286"/>
        <v>1.4952395374663157</v>
      </c>
      <c r="K837" s="4">
        <f t="shared" si="270"/>
        <v>-0.77193413923899656</v>
      </c>
      <c r="L837" s="10">
        <f t="shared" si="271"/>
        <v>0.63793789302171644</v>
      </c>
      <c r="M837" s="25">
        <v>24.44</v>
      </c>
      <c r="N837" s="25">
        <v>110.5</v>
      </c>
      <c r="O837" s="25">
        <v>-278.58</v>
      </c>
      <c r="P837" s="27">
        <v>0.1144</v>
      </c>
      <c r="Q837" s="11">
        <v>0.15160399999999999</v>
      </c>
      <c r="R837" s="12">
        <f t="shared" si="281"/>
        <v>3.8888464573945364E-3</v>
      </c>
      <c r="S837" s="12">
        <f t="shared" si="282"/>
        <v>1.758255047226253E-2</v>
      </c>
      <c r="T837" s="12">
        <f t="shared" si="283"/>
        <v>-4.4327121362560139E-2</v>
      </c>
      <c r="U837" s="12">
        <f t="shared" si="255"/>
        <v>4.4488403472593496E-4</v>
      </c>
      <c r="V837" s="12">
        <f t="shared" si="248"/>
        <v>2.0114437740268334E-3</v>
      </c>
      <c r="W837" s="12">
        <f t="shared" si="249"/>
        <v>-5.0710226838768802E-3</v>
      </c>
      <c r="X837" s="12">
        <f t="shared" si="250"/>
        <v>5.895646783268412E-4</v>
      </c>
      <c r="Y837" s="12">
        <f t="shared" si="251"/>
        <v>2.6655849817968885E-3</v>
      </c>
      <c r="Z837" s="12">
        <f t="shared" si="252"/>
        <v>-6.7201689070495669E-3</v>
      </c>
    </row>
    <row r="838" spans="1:26" ht="13">
      <c r="A838" s="24" t="str">
        <f t="shared" ref="A838:A841" si="287">A837</f>
        <v>SJS</v>
      </c>
      <c r="B838" s="9">
        <v>2018</v>
      </c>
      <c r="C838" s="19">
        <v>113.56</v>
      </c>
      <c r="D838" s="19">
        <v>4200.04</v>
      </c>
      <c r="E838" s="19">
        <v>6451.99</v>
      </c>
      <c r="F838" s="19">
        <v>3991.84</v>
      </c>
      <c r="G838" s="19">
        <v>3108.23</v>
      </c>
      <c r="H838" s="10">
        <f t="shared" si="284"/>
        <v>1.760077123492132E-2</v>
      </c>
      <c r="I838" s="10">
        <f t="shared" si="285"/>
        <v>0.65096815091157922</v>
      </c>
      <c r="J838" s="10">
        <f t="shared" si="286"/>
        <v>1.2842807642935048</v>
      </c>
      <c r="K838" s="4">
        <f t="shared" si="270"/>
        <v>-0.67382213341831798</v>
      </c>
      <c r="L838" s="10">
        <f t="shared" si="271"/>
        <v>0.65096815091157922</v>
      </c>
      <c r="M838" s="25">
        <v>27.25</v>
      </c>
      <c r="N838" s="25">
        <v>14.58</v>
      </c>
      <c r="O838" s="25">
        <v>-79.89</v>
      </c>
      <c r="P838" s="11">
        <v>0.1021</v>
      </c>
      <c r="Q838" s="11">
        <v>0.15659799999999999</v>
      </c>
      <c r="R838" s="12">
        <f t="shared" si="281"/>
        <v>4.2235031362416872E-3</v>
      </c>
      <c r="S838" s="12">
        <f t="shared" si="282"/>
        <v>2.259767916565277E-3</v>
      </c>
      <c r="T838" s="12">
        <f t="shared" si="283"/>
        <v>-1.2382226258875169E-2</v>
      </c>
      <c r="U838" s="12">
        <f t="shared" si="255"/>
        <v>4.3121967021027627E-4</v>
      </c>
      <c r="V838" s="12">
        <f t="shared" si="248"/>
        <v>2.3072230428131476E-4</v>
      </c>
      <c r="W838" s="12">
        <f t="shared" si="249"/>
        <v>-1.2642253010311548E-3</v>
      </c>
      <c r="X838" s="12">
        <f t="shared" si="250"/>
        <v>6.6139214412917562E-4</v>
      </c>
      <c r="Y838" s="12">
        <f t="shared" si="251"/>
        <v>3.5387513619828921E-4</v>
      </c>
      <c r="Z838" s="12">
        <f t="shared" si="252"/>
        <v>-1.9390318676873336E-3</v>
      </c>
    </row>
    <row r="839" spans="1:26" ht="13">
      <c r="A839" s="24" t="str">
        <f t="shared" si="287"/>
        <v>SJS</v>
      </c>
      <c r="B839" s="9">
        <v>2019</v>
      </c>
      <c r="C839" s="19">
        <v>107.23</v>
      </c>
      <c r="D839" s="19">
        <v>4417.6099999999997</v>
      </c>
      <c r="E839" s="19">
        <v>6652.9</v>
      </c>
      <c r="F839" s="19">
        <v>4141.59</v>
      </c>
      <c r="G839" s="19">
        <v>3783.65</v>
      </c>
      <c r="H839" s="10">
        <f t="shared" si="284"/>
        <v>1.6117783222354163E-2</v>
      </c>
      <c r="I839" s="10">
        <f t="shared" si="285"/>
        <v>0.66401268619699683</v>
      </c>
      <c r="J839" s="10">
        <f t="shared" si="286"/>
        <v>1.0946017734198459</v>
      </c>
      <c r="K839" s="4">
        <f t="shared" si="270"/>
        <v>-0.59203612027139108</v>
      </c>
      <c r="L839" s="10">
        <f t="shared" si="271"/>
        <v>0.66401268619699683</v>
      </c>
      <c r="M839" s="25">
        <v>-3.89</v>
      </c>
      <c r="N839" s="25">
        <v>-0.22</v>
      </c>
      <c r="O839" s="25">
        <v>19.63</v>
      </c>
      <c r="P839" s="11">
        <f>10.21%</f>
        <v>0.10210000000000001</v>
      </c>
      <c r="Q839" s="11">
        <f>Q838</f>
        <v>0.15659799999999999</v>
      </c>
      <c r="R839" s="12">
        <f t="shared" si="281"/>
        <v>-5.8470742082400158E-4</v>
      </c>
      <c r="S839" s="12">
        <f t="shared" si="282"/>
        <v>-3.3068286010611918E-5</v>
      </c>
      <c r="T839" s="12">
        <f t="shared" si="283"/>
        <v>2.9505929744923268E-3</v>
      </c>
      <c r="U839" s="12">
        <f t="shared" si="255"/>
        <v>-5.9698627666130567E-5</v>
      </c>
      <c r="V839" s="12">
        <f t="shared" si="248"/>
        <v>-3.3762720016834774E-6</v>
      </c>
      <c r="W839" s="12">
        <f t="shared" si="249"/>
        <v>3.0125554269566662E-4</v>
      </c>
      <c r="X839" s="12">
        <f t="shared" si="250"/>
        <v>-9.1564012686196989E-5</v>
      </c>
      <c r="Y839" s="12">
        <f t="shared" si="251"/>
        <v>-5.1784274526898045E-6</v>
      </c>
      <c r="Z839" s="12">
        <f t="shared" si="252"/>
        <v>4.6205695861954938E-4</v>
      </c>
    </row>
    <row r="840" spans="1:26" ht="13">
      <c r="A840" s="24" t="str">
        <f t="shared" si="287"/>
        <v>SJS</v>
      </c>
      <c r="B840" s="9">
        <v>2020</v>
      </c>
      <c r="C840" s="19">
        <v>41.94</v>
      </c>
      <c r="D840" s="19">
        <v>4894.16</v>
      </c>
      <c r="E840" s="19">
        <v>7047.54</v>
      </c>
      <c r="F840" s="19">
        <v>4536.1899999999996</v>
      </c>
      <c r="G840" s="19">
        <v>4461.33</v>
      </c>
      <c r="H840" s="10">
        <f t="shared" si="284"/>
        <v>5.9510126937910249E-3</v>
      </c>
      <c r="I840" s="10">
        <f t="shared" si="285"/>
        <v>0.69444941071636346</v>
      </c>
      <c r="J840" s="10">
        <f t="shared" si="286"/>
        <v>1.0167797495365731</v>
      </c>
      <c r="K840" s="4">
        <f t="shared" si="270"/>
        <v>-0.3724850350369342</v>
      </c>
      <c r="L840" s="10">
        <f t="shared" si="271"/>
        <v>0.69444941071636346</v>
      </c>
      <c r="M840" s="25">
        <v>61.58</v>
      </c>
      <c r="N840" s="25">
        <v>-0.32</v>
      </c>
      <c r="O840" s="25">
        <v>104.92</v>
      </c>
      <c r="P840" s="11">
        <v>1.34E-2</v>
      </c>
      <c r="Q840" s="11">
        <v>0.15528900000000001</v>
      </c>
      <c r="R840" s="12">
        <f t="shared" si="281"/>
        <v>8.7378007077646945E-3</v>
      </c>
      <c r="S840" s="12">
        <f t="shared" si="282"/>
        <v>-4.540591468796204E-5</v>
      </c>
      <c r="T840" s="12">
        <f t="shared" si="283"/>
        <v>1.4887464278315554E-2</v>
      </c>
      <c r="U840" s="12">
        <f t="shared" si="255"/>
        <v>1.1708652948404691E-4</v>
      </c>
      <c r="V840" s="12">
        <f t="shared" si="248"/>
        <v>-6.084392568186914E-7</v>
      </c>
      <c r="W840" s="12">
        <f t="shared" si="249"/>
        <v>1.9949202132942844E-4</v>
      </c>
      <c r="X840" s="12">
        <f t="shared" si="250"/>
        <v>1.3568843341080718E-3</v>
      </c>
      <c r="Y840" s="12">
        <f t="shared" si="251"/>
        <v>-7.0510390859789381E-6</v>
      </c>
      <c r="Z840" s="12">
        <f t="shared" si="252"/>
        <v>2.3118594403153444E-3</v>
      </c>
    </row>
    <row r="841" spans="1:26" ht="13">
      <c r="A841" s="24" t="str">
        <f t="shared" si="287"/>
        <v>SJS</v>
      </c>
      <c r="B841" s="9">
        <v>2021</v>
      </c>
      <c r="C841" s="19">
        <v>84.19</v>
      </c>
      <c r="D841" s="19">
        <v>4747.26</v>
      </c>
      <c r="E841" s="19">
        <v>6946.05</v>
      </c>
      <c r="F841" s="19">
        <v>4262.07</v>
      </c>
      <c r="G841" s="19">
        <v>3488.93</v>
      </c>
      <c r="H841" s="10">
        <f t="shared" si="284"/>
        <v>1.2120557727053505E-2</v>
      </c>
      <c r="I841" s="10">
        <f t="shared" si="285"/>
        <v>0.68344742695488803</v>
      </c>
      <c r="J841" s="10">
        <f t="shared" si="286"/>
        <v>1.2215980257557475</v>
      </c>
      <c r="K841" s="4">
        <f t="shared" si="270"/>
        <v>-0.46377856823190167</v>
      </c>
      <c r="L841" s="10">
        <f t="shared" si="271"/>
        <v>0.68344742695488803</v>
      </c>
      <c r="M841" s="25">
        <v>-398.07</v>
      </c>
      <c r="N841" s="25">
        <v>-5.68</v>
      </c>
      <c r="O841" s="25">
        <v>521.13</v>
      </c>
      <c r="P841" s="11">
        <v>1.34E-2</v>
      </c>
      <c r="Q841" s="11">
        <v>0.15452370000000001</v>
      </c>
      <c r="R841" s="12">
        <f t="shared" si="281"/>
        <v>-5.7308830198458116E-2</v>
      </c>
      <c r="S841" s="12">
        <f t="shared" si="282"/>
        <v>-8.177309406065317E-4</v>
      </c>
      <c r="T841" s="12">
        <f t="shared" si="283"/>
        <v>7.5025374133500328E-2</v>
      </c>
      <c r="U841" s="12">
        <f t="shared" si="255"/>
        <v>-7.6793832465933882E-4</v>
      </c>
      <c r="V841" s="12">
        <f t="shared" si="248"/>
        <v>-1.0957594604127525E-5</v>
      </c>
      <c r="W841" s="12">
        <f t="shared" si="249"/>
        <v>1.0053400133889043E-3</v>
      </c>
      <c r="X841" s="12">
        <f t="shared" si="250"/>
        <v>-8.8555724849374833E-3</v>
      </c>
      <c r="Y841" s="12">
        <f t="shared" si="251"/>
        <v>-1.2635881054700153E-4</v>
      </c>
      <c r="Z841" s="12">
        <f t="shared" si="252"/>
        <v>1.1593198404992766E-2</v>
      </c>
    </row>
    <row r="842" spans="1:26" ht="13">
      <c r="A842" s="24" t="s">
        <v>185</v>
      </c>
      <c r="B842" s="9">
        <v>2017</v>
      </c>
      <c r="C842" s="19">
        <v>172.87</v>
      </c>
      <c r="D842" s="19">
        <v>20.97</v>
      </c>
      <c r="E842" s="19">
        <v>825.7</v>
      </c>
      <c r="F842" s="19">
        <v>341.23</v>
      </c>
      <c r="G842" s="19">
        <v>20.97</v>
      </c>
      <c r="H842" s="10">
        <f t="shared" si="284"/>
        <v>0.20936175366355819</v>
      </c>
      <c r="I842" s="10">
        <f t="shared" si="285"/>
        <v>2.5396633159743245E-2</v>
      </c>
      <c r="J842" s="10">
        <f t="shared" si="286"/>
        <v>16.272293752980449</v>
      </c>
      <c r="K842" s="4">
        <f t="shared" si="270"/>
        <v>-5.1624562574873973</v>
      </c>
      <c r="L842" s="10">
        <f t="shared" si="271"/>
        <v>2.5396633159743245E-2</v>
      </c>
      <c r="M842" s="25">
        <v>135.37</v>
      </c>
      <c r="N842" s="25">
        <v>-96.88</v>
      </c>
      <c r="O842" s="25">
        <v>-34.270000000000003</v>
      </c>
      <c r="P842" s="27">
        <v>0.45669999999999999</v>
      </c>
      <c r="Q842" s="11">
        <v>0.18260000000000001</v>
      </c>
      <c r="R842" s="12">
        <f t="shared" si="281"/>
        <v>0.16394574300593437</v>
      </c>
      <c r="S842" s="12">
        <f t="shared" si="282"/>
        <v>-0.11733074966694924</v>
      </c>
      <c r="T842" s="12">
        <f t="shared" si="283"/>
        <v>-4.1504178272980502E-2</v>
      </c>
      <c r="U842" s="12">
        <f t="shared" si="255"/>
        <v>7.4874020830810226E-2</v>
      </c>
      <c r="V842" s="12">
        <f t="shared" si="248"/>
        <v>-5.3584953372895719E-2</v>
      </c>
      <c r="W842" s="12">
        <f t="shared" si="249"/>
        <v>-1.8954958217270196E-2</v>
      </c>
      <c r="X842" s="12">
        <f t="shared" si="250"/>
        <v>2.9936492672883619E-2</v>
      </c>
      <c r="Y842" s="12">
        <f t="shared" si="251"/>
        <v>-2.1424594889184932E-2</v>
      </c>
      <c r="Z842" s="12">
        <f t="shared" si="252"/>
        <v>-7.5786629526462404E-3</v>
      </c>
    </row>
    <row r="843" spans="1:26" ht="13">
      <c r="A843" s="24" t="str">
        <f t="shared" ref="A843:A846" si="288">A842</f>
        <v>SKG</v>
      </c>
      <c r="B843" s="9">
        <v>2018</v>
      </c>
      <c r="C843" s="19">
        <v>133.44999999999999</v>
      </c>
      <c r="D843" s="19">
        <v>19.52</v>
      </c>
      <c r="E843" s="19">
        <v>891.43</v>
      </c>
      <c r="F843" s="19">
        <v>320.02999999999997</v>
      </c>
      <c r="G843" s="19">
        <v>19.52</v>
      </c>
      <c r="H843" s="10">
        <f t="shared" si="284"/>
        <v>0.14970328573191388</v>
      </c>
      <c r="I843" s="10">
        <f t="shared" si="285"/>
        <v>2.1897400805447428E-2</v>
      </c>
      <c r="J843" s="10">
        <f t="shared" si="286"/>
        <v>16.39497950819672</v>
      </c>
      <c r="K843" s="4">
        <f t="shared" si="270"/>
        <v>-4.91442951923535</v>
      </c>
      <c r="L843" s="10">
        <f t="shared" si="271"/>
        <v>2.1897400805447428E-2</v>
      </c>
      <c r="M843" s="25">
        <v>154.30000000000001</v>
      </c>
      <c r="N843" s="25">
        <v>-84.13</v>
      </c>
      <c r="O843" s="25">
        <v>-71.97</v>
      </c>
      <c r="P843" s="27">
        <v>0.43280000000000002</v>
      </c>
      <c r="Q843" s="11">
        <v>0.16585</v>
      </c>
      <c r="R843" s="12">
        <f t="shared" si="281"/>
        <v>0.17309267132584727</v>
      </c>
      <c r="S843" s="12">
        <f t="shared" si="282"/>
        <v>-9.4376451319789556E-2</v>
      </c>
      <c r="T843" s="12">
        <f t="shared" si="283"/>
        <v>-8.0735447539346888E-2</v>
      </c>
      <c r="U843" s="12">
        <f t="shared" si="255"/>
        <v>7.4914508149826697E-2</v>
      </c>
      <c r="V843" s="12">
        <f t="shared" si="248"/>
        <v>-4.0846128131204924E-2</v>
      </c>
      <c r="W843" s="12">
        <f t="shared" si="249"/>
        <v>-3.4942301695029335E-2</v>
      </c>
      <c r="X843" s="12">
        <f t="shared" si="250"/>
        <v>2.8707419539391769E-2</v>
      </c>
      <c r="Y843" s="12">
        <f t="shared" si="251"/>
        <v>-1.5652334451387098E-2</v>
      </c>
      <c r="Z843" s="12">
        <f t="shared" si="252"/>
        <v>-1.3389973974400681E-2</v>
      </c>
    </row>
    <row r="844" spans="1:26" ht="13">
      <c r="A844" s="24" t="str">
        <f t="shared" si="288"/>
        <v>SKG</v>
      </c>
      <c r="B844" s="9">
        <v>2019</v>
      </c>
      <c r="C844" s="19">
        <v>101.1</v>
      </c>
      <c r="D844" s="19">
        <v>17.89</v>
      </c>
      <c r="E844" s="19">
        <v>929.73</v>
      </c>
      <c r="F844" s="19">
        <v>291.45</v>
      </c>
      <c r="G844" s="19">
        <v>17.89</v>
      </c>
      <c r="H844" s="10">
        <f t="shared" si="284"/>
        <v>0.10874124745893968</v>
      </c>
      <c r="I844" s="10">
        <f t="shared" si="285"/>
        <v>1.9242145569143731E-2</v>
      </c>
      <c r="J844" s="10">
        <f t="shared" si="286"/>
        <v>16.291224147568474</v>
      </c>
      <c r="K844" s="4">
        <f t="shared" si="270"/>
        <v>-4.7448202804113837</v>
      </c>
      <c r="L844" s="10">
        <f t="shared" si="271"/>
        <v>1.9242145569143731E-2</v>
      </c>
      <c r="M844" s="25">
        <v>132.66999999999999</v>
      </c>
      <c r="N844" s="25">
        <v>-79.260000000000005</v>
      </c>
      <c r="O844" s="25">
        <v>-57.57</v>
      </c>
      <c r="P844" s="27">
        <v>0.44159999999999999</v>
      </c>
      <c r="Q844" s="11">
        <v>0.16582</v>
      </c>
      <c r="R844" s="12">
        <f t="shared" si="281"/>
        <v>0.14269734223914468</v>
      </c>
      <c r="S844" s="12">
        <f t="shared" si="282"/>
        <v>-8.5250556613210293E-2</v>
      </c>
      <c r="T844" s="12">
        <f t="shared" si="283"/>
        <v>-6.1921202929882867E-2</v>
      </c>
      <c r="U844" s="12">
        <f t="shared" si="255"/>
        <v>6.3015146332806291E-2</v>
      </c>
      <c r="V844" s="12">
        <f t="shared" si="248"/>
        <v>-3.7646645800393667E-2</v>
      </c>
      <c r="W844" s="12">
        <f t="shared" si="249"/>
        <v>-2.7344403213836275E-2</v>
      </c>
      <c r="X844" s="12">
        <f t="shared" si="250"/>
        <v>2.3662073290094971E-2</v>
      </c>
      <c r="Y844" s="12">
        <f t="shared" si="251"/>
        <v>-1.4136247297602531E-2</v>
      </c>
      <c r="Z844" s="12">
        <f t="shared" si="252"/>
        <v>-1.0267773869833177E-2</v>
      </c>
    </row>
    <row r="845" spans="1:26" ht="13">
      <c r="A845" s="24" t="str">
        <f t="shared" si="288"/>
        <v>SKG</v>
      </c>
      <c r="B845" s="9">
        <v>2020</v>
      </c>
      <c r="C845" s="19">
        <v>22.71</v>
      </c>
      <c r="D845" s="19">
        <v>13.75</v>
      </c>
      <c r="E845" s="19">
        <v>884.96</v>
      </c>
      <c r="F845" s="19">
        <v>311.14</v>
      </c>
      <c r="G845" s="19">
        <v>13.75</v>
      </c>
      <c r="H845" s="10">
        <f t="shared" si="284"/>
        <v>2.5662176821551256E-2</v>
      </c>
      <c r="I845" s="10">
        <f t="shared" si="285"/>
        <v>1.5537425420357982E-2</v>
      </c>
      <c r="J845" s="10">
        <f t="shared" si="286"/>
        <v>22.628363636363634</v>
      </c>
      <c r="K845" s="4">
        <f t="shared" si="270"/>
        <v>-4.4174299253463944</v>
      </c>
      <c r="L845" s="10">
        <f t="shared" si="271"/>
        <v>1.5537425420357982E-2</v>
      </c>
      <c r="M845" s="25">
        <v>69.53</v>
      </c>
      <c r="N845" s="25">
        <v>1.48</v>
      </c>
      <c r="O845" s="25">
        <v>-63.33</v>
      </c>
      <c r="P845" s="11">
        <f>P844</f>
        <v>0.44159999999999999</v>
      </c>
      <c r="Q845" s="11">
        <v>0.16585</v>
      </c>
      <c r="R845" s="12">
        <f t="shared" si="281"/>
        <v>7.8568522871090216E-2</v>
      </c>
      <c r="S845" s="12">
        <f t="shared" si="282"/>
        <v>1.6723919725185319E-3</v>
      </c>
      <c r="T845" s="12">
        <f t="shared" si="283"/>
        <v>-7.1562556499728799E-2</v>
      </c>
      <c r="U845" s="12">
        <f t="shared" si="255"/>
        <v>3.4695859699873439E-2</v>
      </c>
      <c r="V845" s="12">
        <f t="shared" si="248"/>
        <v>7.3852829506418371E-4</v>
      </c>
      <c r="W845" s="12">
        <f t="shared" si="249"/>
        <v>-3.1602024950280236E-2</v>
      </c>
      <c r="X845" s="12">
        <f t="shared" si="250"/>
        <v>1.3030589518170313E-2</v>
      </c>
      <c r="Y845" s="12">
        <f t="shared" si="251"/>
        <v>2.7736620864219849E-4</v>
      </c>
      <c r="Z845" s="12">
        <f t="shared" si="252"/>
        <v>-1.1868649995480022E-2</v>
      </c>
    </row>
    <row r="846" spans="1:26" ht="13">
      <c r="A846" s="24" t="str">
        <f t="shared" si="288"/>
        <v>SKG</v>
      </c>
      <c r="B846" s="9">
        <v>2021</v>
      </c>
      <c r="C846" s="19">
        <v>-38.54</v>
      </c>
      <c r="D846" s="19">
        <v>10.53</v>
      </c>
      <c r="E846" s="19">
        <v>811.53</v>
      </c>
      <c r="F846" s="19">
        <v>286.89999999999998</v>
      </c>
      <c r="G846" s="19">
        <v>10.53</v>
      </c>
      <c r="H846" s="10">
        <f t="shared" si="284"/>
        <v>-4.7490542555420012E-2</v>
      </c>
      <c r="I846" s="10">
        <f t="shared" si="285"/>
        <v>1.2975490739713873E-2</v>
      </c>
      <c r="J846" s="10">
        <f t="shared" si="286"/>
        <v>27.245963912630579</v>
      </c>
      <c r="K846" s="4">
        <f t="shared" si="270"/>
        <v>-4.1213161169347625</v>
      </c>
      <c r="L846" s="10">
        <f t="shared" si="271"/>
        <v>1.2975490739713873E-2</v>
      </c>
      <c r="M846" s="25">
        <v>8.52</v>
      </c>
      <c r="N846" s="25">
        <v>16.75</v>
      </c>
      <c r="O846" s="25">
        <v>-31.66</v>
      </c>
      <c r="P846" s="11">
        <v>0.43980000000000002</v>
      </c>
      <c r="Q846" s="11">
        <f>Q845</f>
        <v>0.16585</v>
      </c>
      <c r="R846" s="12">
        <f t="shared" si="281"/>
        <v>1.0498687664041995E-2</v>
      </c>
      <c r="S846" s="12">
        <f t="shared" si="282"/>
        <v>2.0640025630598993E-2</v>
      </c>
      <c r="T846" s="12">
        <f t="shared" si="283"/>
        <v>-3.9012729042672487E-2</v>
      </c>
      <c r="U846" s="12">
        <f t="shared" si="255"/>
        <v>4.6173228346456695E-3</v>
      </c>
      <c r="V846" s="12">
        <f t="shared" si="248"/>
        <v>9.0774832723374381E-3</v>
      </c>
      <c r="W846" s="12">
        <f t="shared" si="249"/>
        <v>-1.7157798232967359E-2</v>
      </c>
      <c r="X846" s="12">
        <f t="shared" si="250"/>
        <v>1.7412073490813648E-3</v>
      </c>
      <c r="Y846" s="12">
        <f t="shared" si="251"/>
        <v>3.4231482508348429E-3</v>
      </c>
      <c r="Z846" s="12">
        <f t="shared" si="252"/>
        <v>-6.4702611117272322E-3</v>
      </c>
    </row>
    <row r="847" spans="1:26" ht="13">
      <c r="A847" s="24" t="s">
        <v>186</v>
      </c>
      <c r="B847" s="9">
        <v>2017</v>
      </c>
      <c r="C847" s="19">
        <v>276.36</v>
      </c>
      <c r="D847" s="19">
        <v>3844.85</v>
      </c>
      <c r="E847" s="19">
        <v>5054.72</v>
      </c>
      <c r="F847" s="19">
        <v>4026.27</v>
      </c>
      <c r="G847" s="19">
        <v>3766.55</v>
      </c>
      <c r="H847" s="10">
        <f t="shared" si="284"/>
        <v>5.467365155735629E-2</v>
      </c>
      <c r="I847" s="10">
        <f t="shared" si="285"/>
        <v>0.76064549569511264</v>
      </c>
      <c r="J847" s="10">
        <f t="shared" si="286"/>
        <v>1.0689543481435264</v>
      </c>
      <c r="K847" s="4">
        <f t="shared" si="270"/>
        <v>-0.21462792393853491</v>
      </c>
      <c r="L847" s="10">
        <f t="shared" si="271"/>
        <v>0.76064549569511264</v>
      </c>
      <c r="M847" s="25">
        <v>628.51</v>
      </c>
      <c r="N847" s="25">
        <v>124.69</v>
      </c>
      <c r="O847" s="25">
        <v>-621.30999999999995</v>
      </c>
      <c r="P847" s="11">
        <v>0.33510000000000001</v>
      </c>
      <c r="Q847" s="11">
        <v>1.6299999999999999E-2</v>
      </c>
      <c r="R847" s="12">
        <f t="shared" si="281"/>
        <v>0.12434120979994935</v>
      </c>
      <c r="S847" s="12">
        <f t="shared" si="282"/>
        <v>2.4668033046340843E-2</v>
      </c>
      <c r="T847" s="12">
        <f t="shared" si="283"/>
        <v>-0.1229167985565966</v>
      </c>
      <c r="U847" s="12">
        <f t="shared" si="255"/>
        <v>4.1666739403963031E-2</v>
      </c>
      <c r="V847" s="12">
        <f t="shared" si="248"/>
        <v>8.2662578738288174E-3</v>
      </c>
      <c r="W847" s="12">
        <f t="shared" si="249"/>
        <v>-4.1189419196315517E-2</v>
      </c>
      <c r="X847" s="12">
        <f t="shared" si="250"/>
        <v>2.0267617197391743E-3</v>
      </c>
      <c r="Y847" s="12">
        <f t="shared" si="251"/>
        <v>4.0208893865535569E-4</v>
      </c>
      <c r="Z847" s="12">
        <f t="shared" si="252"/>
        <v>-2.0035438164725241E-3</v>
      </c>
    </row>
    <row r="848" spans="1:26" ht="13">
      <c r="A848" s="24" t="str">
        <f t="shared" ref="A848:A851" si="289">A847</f>
        <v>SMC</v>
      </c>
      <c r="B848" s="9">
        <v>2018</v>
      </c>
      <c r="C848" s="19">
        <v>168.09</v>
      </c>
      <c r="D848" s="19">
        <v>3788.59</v>
      </c>
      <c r="E848" s="19">
        <v>5083.1899999999996</v>
      </c>
      <c r="F848" s="19">
        <v>3870.83</v>
      </c>
      <c r="G848" s="19">
        <v>3687.67</v>
      </c>
      <c r="H848" s="10">
        <f t="shared" si="284"/>
        <v>3.3067817649940295E-2</v>
      </c>
      <c r="I848" s="10">
        <f t="shared" si="285"/>
        <v>0.74531740894989174</v>
      </c>
      <c r="J848" s="10">
        <f t="shared" si="286"/>
        <v>1.0496682186855113</v>
      </c>
      <c r="K848" s="4">
        <f t="shared" si="270"/>
        <v>-0.20469462128509061</v>
      </c>
      <c r="L848" s="10">
        <f t="shared" si="271"/>
        <v>0.74531740894989174</v>
      </c>
      <c r="M848" s="25">
        <v>-43</v>
      </c>
      <c r="N848" s="25">
        <v>-410.04</v>
      </c>
      <c r="O848" s="25">
        <v>243.73</v>
      </c>
      <c r="P848" s="11">
        <v>0.33779999999999999</v>
      </c>
      <c r="Q848" s="11">
        <v>2.249E-2</v>
      </c>
      <c r="R848" s="12">
        <f t="shared" si="281"/>
        <v>-8.4592549166960119E-3</v>
      </c>
      <c r="S848" s="12">
        <f t="shared" si="282"/>
        <v>-8.066588107074496E-2</v>
      </c>
      <c r="T848" s="12">
        <f t="shared" si="283"/>
        <v>4.7948237228984163E-2</v>
      </c>
      <c r="U848" s="12">
        <f t="shared" si="255"/>
        <v>-2.8575363108599128E-3</v>
      </c>
      <c r="V848" s="12">
        <f t="shared" si="248"/>
        <v>-2.7248934625697645E-2</v>
      </c>
      <c r="W848" s="12">
        <f t="shared" si="249"/>
        <v>1.6196914535950849E-2</v>
      </c>
      <c r="X848" s="12">
        <f t="shared" si="250"/>
        <v>-1.902486430764933E-4</v>
      </c>
      <c r="Y848" s="12">
        <f t="shared" si="251"/>
        <v>-1.8141756652810541E-3</v>
      </c>
      <c r="Z848" s="12">
        <f t="shared" si="252"/>
        <v>1.0783558552798537E-3</v>
      </c>
    </row>
    <row r="849" spans="1:26" ht="13">
      <c r="A849" s="24" t="str">
        <f t="shared" si="289"/>
        <v>SMC</v>
      </c>
      <c r="B849" s="9">
        <v>2019</v>
      </c>
      <c r="C849" s="19">
        <v>99.81</v>
      </c>
      <c r="D849" s="19">
        <v>3743.4</v>
      </c>
      <c r="E849" s="19">
        <v>5076.3100000000004</v>
      </c>
      <c r="F849" s="19">
        <v>3819.57</v>
      </c>
      <c r="G849" s="19">
        <v>3672.06</v>
      </c>
      <c r="H849" s="10">
        <f t="shared" si="284"/>
        <v>1.9661919780312863E-2</v>
      </c>
      <c r="I849" s="10">
        <f t="shared" si="285"/>
        <v>0.73742541334158074</v>
      </c>
      <c r="J849" s="10">
        <f t="shared" si="286"/>
        <v>1.0401709122399962</v>
      </c>
      <c r="K849" s="4">
        <f t="shared" si="270"/>
        <v>-0.18931446661335699</v>
      </c>
      <c r="L849" s="10">
        <f t="shared" si="271"/>
        <v>0.73742541334158074</v>
      </c>
      <c r="M849" s="25">
        <v>463.08</v>
      </c>
      <c r="N849" s="25">
        <v>-46.75</v>
      </c>
      <c r="O849" s="25">
        <v>-10.210000000000001</v>
      </c>
      <c r="P849" s="11">
        <v>0.33100000000000002</v>
      </c>
      <c r="Q849" s="11">
        <v>0.02</v>
      </c>
      <c r="R849" s="12">
        <f t="shared" si="281"/>
        <v>9.1223743230811352E-2</v>
      </c>
      <c r="S849" s="12">
        <f t="shared" si="282"/>
        <v>-9.2094454436391776E-3</v>
      </c>
      <c r="T849" s="12">
        <f t="shared" si="283"/>
        <v>-2.0113034861937115E-3</v>
      </c>
      <c r="U849" s="12">
        <f t="shared" si="255"/>
        <v>3.0195059009398558E-2</v>
      </c>
      <c r="V849" s="12">
        <f t="shared" si="248"/>
        <v>-3.048326441844568E-3</v>
      </c>
      <c r="W849" s="12">
        <f t="shared" si="249"/>
        <v>-6.657414539301185E-4</v>
      </c>
      <c r="X849" s="12">
        <f t="shared" si="250"/>
        <v>1.8244748646162271E-3</v>
      </c>
      <c r="Y849" s="12">
        <f t="shared" si="251"/>
        <v>-1.8418890887278354E-4</v>
      </c>
      <c r="Z849" s="12">
        <f t="shared" si="252"/>
        <v>-4.0226069723874227E-5</v>
      </c>
    </row>
    <row r="850" spans="1:26" ht="13">
      <c r="A850" s="24" t="str">
        <f t="shared" si="289"/>
        <v>SMC</v>
      </c>
      <c r="B850" s="9">
        <v>2020</v>
      </c>
      <c r="C850" s="19">
        <v>316.10000000000002</v>
      </c>
      <c r="D850" s="19">
        <v>5136.96</v>
      </c>
      <c r="E850" s="19">
        <v>6721.25</v>
      </c>
      <c r="F850" s="19">
        <v>5516.48</v>
      </c>
      <c r="G850" s="19">
        <v>5083.29</v>
      </c>
      <c r="H850" s="10">
        <f t="shared" si="284"/>
        <v>4.7029942347033664E-2</v>
      </c>
      <c r="I850" s="10">
        <f t="shared" si="285"/>
        <v>0.76428640505858281</v>
      </c>
      <c r="J850" s="10">
        <f t="shared" si="286"/>
        <v>1.0852184313702347</v>
      </c>
      <c r="K850" s="4">
        <f t="shared" si="270"/>
        <v>-0.15954310545320957</v>
      </c>
      <c r="L850" s="10">
        <f t="shared" si="271"/>
        <v>0.76428640505858281</v>
      </c>
      <c r="M850" s="25">
        <v>444.69</v>
      </c>
      <c r="N850" s="25">
        <v>-291.10000000000002</v>
      </c>
      <c r="O850" s="25">
        <v>432.91</v>
      </c>
      <c r="P850" s="11">
        <v>0.33700000000000002</v>
      </c>
      <c r="Q850" s="11">
        <v>6.8900000000000003E-2</v>
      </c>
      <c r="R850" s="12">
        <f t="shared" si="281"/>
        <v>6.6161800260368234E-2</v>
      </c>
      <c r="S850" s="12">
        <f t="shared" si="282"/>
        <v>-4.3310396131671938E-2</v>
      </c>
      <c r="T850" s="12">
        <f t="shared" si="283"/>
        <v>6.440915008368979E-2</v>
      </c>
      <c r="U850" s="12">
        <f t="shared" si="255"/>
        <v>2.2296526687744095E-2</v>
      </c>
      <c r="V850" s="12">
        <f t="shared" si="248"/>
        <v>-1.4595603496373444E-2</v>
      </c>
      <c r="W850" s="12">
        <f t="shared" si="249"/>
        <v>2.170588357820346E-2</v>
      </c>
      <c r="X850" s="12">
        <f t="shared" si="250"/>
        <v>4.5585480379393712E-3</v>
      </c>
      <c r="Y850" s="12">
        <f t="shared" si="251"/>
        <v>-2.9840862934721966E-3</v>
      </c>
      <c r="Z850" s="12">
        <f t="shared" si="252"/>
        <v>4.437790440766227E-3</v>
      </c>
    </row>
    <row r="851" spans="1:26" ht="13">
      <c r="A851" s="24" t="str">
        <f t="shared" si="289"/>
        <v>SMC</v>
      </c>
      <c r="B851" s="9">
        <v>2021</v>
      </c>
      <c r="C851" s="19">
        <v>901.05</v>
      </c>
      <c r="D851" s="19">
        <v>6586.9</v>
      </c>
      <c r="E851" s="19">
        <v>9005.7800000000007</v>
      </c>
      <c r="F851" s="19">
        <v>7021.18</v>
      </c>
      <c r="G851" s="19">
        <v>6120.49</v>
      </c>
      <c r="H851" s="10">
        <f t="shared" si="284"/>
        <v>0.10005241078507357</v>
      </c>
      <c r="I851" s="10">
        <f t="shared" si="285"/>
        <v>0.73140805127373743</v>
      </c>
      <c r="J851" s="10">
        <f t="shared" si="286"/>
        <v>1.1471597862262664</v>
      </c>
      <c r="K851" s="4">
        <f t="shared" si="270"/>
        <v>-0.58579859541743229</v>
      </c>
      <c r="L851" s="10">
        <f t="shared" si="271"/>
        <v>0.73140805127373743</v>
      </c>
      <c r="M851" s="25">
        <v>-752.28</v>
      </c>
      <c r="N851" s="25">
        <v>-636.33000000000004</v>
      </c>
      <c r="O851" s="25">
        <v>830.06</v>
      </c>
      <c r="P851" s="11">
        <v>0.2089</v>
      </c>
      <c r="Q851" s="11">
        <v>9.5999999999999992E-3</v>
      </c>
      <c r="R851" s="12">
        <f t="shared" si="281"/>
        <v>-8.3533019904994343E-2</v>
      </c>
      <c r="S851" s="12">
        <f t="shared" si="282"/>
        <v>-7.0657955224311494E-2</v>
      </c>
      <c r="T851" s="12">
        <f t="shared" si="283"/>
        <v>9.2169695462247569E-2</v>
      </c>
      <c r="U851" s="12">
        <f t="shared" si="255"/>
        <v>-1.7450047858153319E-2</v>
      </c>
      <c r="V851" s="12">
        <f t="shared" si="248"/>
        <v>-1.4760446846358671E-2</v>
      </c>
      <c r="W851" s="12">
        <f t="shared" si="249"/>
        <v>1.9254249382063517E-2</v>
      </c>
      <c r="X851" s="12">
        <f t="shared" si="250"/>
        <v>-8.0191699108794561E-4</v>
      </c>
      <c r="Y851" s="12">
        <f t="shared" si="251"/>
        <v>-6.7831637015339024E-4</v>
      </c>
      <c r="Z851" s="12">
        <f t="shared" si="252"/>
        <v>8.848290764375766E-4</v>
      </c>
    </row>
    <row r="852" spans="1:26" ht="14">
      <c r="A852" s="31" t="s">
        <v>187</v>
      </c>
      <c r="B852" s="9">
        <v>2017</v>
      </c>
      <c r="C852" s="19">
        <v>84.6</v>
      </c>
      <c r="D852" s="19">
        <v>1219.8800000000001</v>
      </c>
      <c r="E852" s="19">
        <v>1701.45</v>
      </c>
      <c r="F852" s="19">
        <v>1420.6</v>
      </c>
      <c r="G852" s="19">
        <v>1200.44</v>
      </c>
      <c r="H852" s="10">
        <f t="shared" si="284"/>
        <v>4.9722295688971165E-2</v>
      </c>
      <c r="I852" s="10">
        <f t="shared" si="285"/>
        <v>0.71696494166740143</v>
      </c>
      <c r="J852" s="10">
        <f t="shared" si="286"/>
        <v>1.1833994202125886</v>
      </c>
      <c r="K852" s="4">
        <f t="shared" si="270"/>
        <v>-0.44178376077703152</v>
      </c>
      <c r="L852" s="10">
        <f t="shared" si="271"/>
        <v>0.71696494166740143</v>
      </c>
      <c r="M852" s="25">
        <v>-171.31</v>
      </c>
      <c r="N852" s="25">
        <v>73.23</v>
      </c>
      <c r="O852" s="25">
        <v>130.79</v>
      </c>
      <c r="P852" s="11">
        <v>0.2656</v>
      </c>
      <c r="Q852" s="11">
        <v>3.2500000000000001E-2</v>
      </c>
      <c r="R852" s="12">
        <f t="shared" si="281"/>
        <v>-0.10068471010020864</v>
      </c>
      <c r="S852" s="12">
        <f t="shared" si="282"/>
        <v>4.303976020453143E-2</v>
      </c>
      <c r="T852" s="12">
        <f t="shared" si="283"/>
        <v>7.6869728760762868E-2</v>
      </c>
      <c r="U852" s="12">
        <f t="shared" si="255"/>
        <v>-2.6741859002615415E-2</v>
      </c>
      <c r="V852" s="12">
        <f t="shared" si="248"/>
        <v>1.1431360310323548E-2</v>
      </c>
      <c r="W852" s="12">
        <f t="shared" si="249"/>
        <v>2.0416599958858618E-2</v>
      </c>
      <c r="X852" s="12">
        <f t="shared" si="250"/>
        <v>-3.272253078256781E-3</v>
      </c>
      <c r="Y852" s="12">
        <f t="shared" si="251"/>
        <v>1.3987922066472716E-3</v>
      </c>
      <c r="Z852" s="12">
        <f t="shared" si="252"/>
        <v>2.4982661847247935E-3</v>
      </c>
    </row>
    <row r="853" spans="1:26" ht="13">
      <c r="A853" s="24" t="str">
        <f t="shared" ref="A853:A856" si="290">A852</f>
        <v>SRF</v>
      </c>
      <c r="B853" s="9">
        <v>2018</v>
      </c>
      <c r="C853" s="19">
        <v>83.48</v>
      </c>
      <c r="D853" s="19">
        <v>1127.1500000000001</v>
      </c>
      <c r="E853" s="19">
        <v>1633.81</v>
      </c>
      <c r="F853" s="19">
        <v>1349.06</v>
      </c>
      <c r="G853" s="19">
        <v>1110.72</v>
      </c>
      <c r="H853" s="10">
        <f t="shared" si="284"/>
        <v>5.1095292598282549E-2</v>
      </c>
      <c r="I853" s="10">
        <f t="shared" si="285"/>
        <v>0.68989050134348551</v>
      </c>
      <c r="J853" s="10">
        <f t="shared" si="286"/>
        <v>1.2145815326995102</v>
      </c>
      <c r="K853" s="4">
        <f t="shared" si="270"/>
        <v>-0.60241128516520182</v>
      </c>
      <c r="L853" s="10">
        <f t="shared" si="271"/>
        <v>0.68989050134348551</v>
      </c>
      <c r="M853" s="25">
        <v>-36.47</v>
      </c>
      <c r="N853" s="25">
        <v>40.78</v>
      </c>
      <c r="O853" s="25">
        <v>-89.67</v>
      </c>
      <c r="P853" s="11">
        <v>0.26840000000000003</v>
      </c>
      <c r="Q853" s="11">
        <v>3.3702999999999997E-2</v>
      </c>
      <c r="R853" s="12">
        <f t="shared" si="281"/>
        <v>-2.232205703233546E-2</v>
      </c>
      <c r="S853" s="12">
        <f t="shared" si="282"/>
        <v>2.4960062675586515E-2</v>
      </c>
      <c r="T853" s="12">
        <f t="shared" si="283"/>
        <v>-5.4883982837661667E-2</v>
      </c>
      <c r="U853" s="12">
        <f t="shared" si="255"/>
        <v>-5.9912401074788384E-3</v>
      </c>
      <c r="V853" s="12">
        <f t="shared" si="248"/>
        <v>6.699280822127421E-3</v>
      </c>
      <c r="W853" s="12">
        <f t="shared" si="249"/>
        <v>-1.4730860993628393E-2</v>
      </c>
      <c r="X853" s="12">
        <f t="shared" si="250"/>
        <v>-7.5232028816080198E-4</v>
      </c>
      <c r="Y853" s="12">
        <f t="shared" si="251"/>
        <v>8.412289923552923E-4</v>
      </c>
      <c r="Z853" s="12">
        <f t="shared" si="252"/>
        <v>-1.8497548735777109E-3</v>
      </c>
    </row>
    <row r="854" spans="1:26" ht="13">
      <c r="A854" s="24" t="str">
        <f t="shared" si="290"/>
        <v>SRF</v>
      </c>
      <c r="B854" s="9">
        <v>2019</v>
      </c>
      <c r="C854" s="19">
        <v>72.47</v>
      </c>
      <c r="D854" s="19">
        <v>1404.71</v>
      </c>
      <c r="E854" s="19">
        <v>1909.71</v>
      </c>
      <c r="F854" s="19">
        <v>1490.02</v>
      </c>
      <c r="G854" s="19">
        <v>1313.1</v>
      </c>
      <c r="H854" s="10">
        <f t="shared" si="284"/>
        <v>3.7948170141016174E-2</v>
      </c>
      <c r="I854" s="10">
        <f t="shared" si="285"/>
        <v>0.73556194396007768</v>
      </c>
      <c r="J854" s="10">
        <f t="shared" si="286"/>
        <v>1.1347345975173255</v>
      </c>
      <c r="K854" s="4">
        <f t="shared" si="270"/>
        <v>-0.28260262345219939</v>
      </c>
      <c r="L854" s="10">
        <f t="shared" si="271"/>
        <v>0.73556194396007768</v>
      </c>
      <c r="M854" s="25">
        <v>-20.82</v>
      </c>
      <c r="N854" s="25">
        <v>-95.94</v>
      </c>
      <c r="O854" s="25">
        <v>113.23</v>
      </c>
      <c r="P854" s="11">
        <v>0.46810000000000002</v>
      </c>
      <c r="Q854" s="11">
        <v>7.3000000000000001E-3</v>
      </c>
      <c r="R854" s="12">
        <f t="shared" si="281"/>
        <v>-1.0902178864853826E-2</v>
      </c>
      <c r="S854" s="12">
        <f t="shared" si="282"/>
        <v>-5.023799425043593E-2</v>
      </c>
      <c r="T854" s="12">
        <f t="shared" si="283"/>
        <v>5.9291724921584951E-2</v>
      </c>
      <c r="U854" s="12">
        <f t="shared" si="255"/>
        <v>-5.1033099266380765E-3</v>
      </c>
      <c r="V854" s="12">
        <f t="shared" si="248"/>
        <v>-2.3516405108629061E-2</v>
      </c>
      <c r="W854" s="12">
        <f t="shared" si="249"/>
        <v>2.7754456435793915E-2</v>
      </c>
      <c r="X854" s="12">
        <f t="shared" si="250"/>
        <v>-7.9585905713432928E-5</v>
      </c>
      <c r="Y854" s="12">
        <f t="shared" si="251"/>
        <v>-3.6673735802818231E-4</v>
      </c>
      <c r="Z854" s="12">
        <f t="shared" si="252"/>
        <v>4.3282959192757014E-4</v>
      </c>
    </row>
    <row r="855" spans="1:26" ht="13">
      <c r="A855" s="24" t="str">
        <f t="shared" si="290"/>
        <v>SRF</v>
      </c>
      <c r="B855" s="9">
        <v>2020</v>
      </c>
      <c r="C855" s="19">
        <v>42.92</v>
      </c>
      <c r="D855" s="19">
        <v>1419.61</v>
      </c>
      <c r="E855" s="19">
        <v>1956.36</v>
      </c>
      <c r="F855" s="19">
        <v>1442.69</v>
      </c>
      <c r="G855" s="19">
        <v>1332.35</v>
      </c>
      <c r="H855" s="10">
        <f t="shared" si="284"/>
        <v>2.193870248829459E-2</v>
      </c>
      <c r="I855" s="10">
        <f t="shared" si="285"/>
        <v>0.72563843055470367</v>
      </c>
      <c r="J855" s="10">
        <f t="shared" si="286"/>
        <v>1.0828160768566819</v>
      </c>
      <c r="K855" s="4">
        <f t="shared" si="270"/>
        <v>-0.26691637134294105</v>
      </c>
      <c r="L855" s="10">
        <f t="shared" si="271"/>
        <v>0.72563843055470367</v>
      </c>
      <c r="M855" s="25">
        <v>6.38</v>
      </c>
      <c r="N855" s="25">
        <v>-45.87</v>
      </c>
      <c r="O855" s="25">
        <v>51.16</v>
      </c>
      <c r="P855" s="11">
        <v>0.46889999999999998</v>
      </c>
      <c r="Q855" s="11">
        <f t="shared" ref="Q855:Q856" si="291">Q854</f>
        <v>7.3000000000000001E-3</v>
      </c>
      <c r="R855" s="12">
        <f t="shared" si="281"/>
        <v>3.261158477989736E-3</v>
      </c>
      <c r="S855" s="12">
        <f t="shared" si="282"/>
        <v>-2.3446604919339999E-2</v>
      </c>
      <c r="T855" s="12">
        <f t="shared" si="283"/>
        <v>2.6150606227892618E-2</v>
      </c>
      <c r="U855" s="12">
        <f t="shared" si="255"/>
        <v>1.5291572103293871E-3</v>
      </c>
      <c r="V855" s="12">
        <f t="shared" si="248"/>
        <v>-1.0994113046678525E-2</v>
      </c>
      <c r="W855" s="12">
        <f t="shared" si="249"/>
        <v>1.2262019260258848E-2</v>
      </c>
      <c r="X855" s="12">
        <f t="shared" si="250"/>
        <v>2.3806456889325075E-5</v>
      </c>
      <c r="Y855" s="12">
        <f t="shared" si="251"/>
        <v>-1.7116021591118201E-4</v>
      </c>
      <c r="Z855" s="12">
        <f t="shared" si="252"/>
        <v>1.9089942546361612E-4</v>
      </c>
    </row>
    <row r="856" spans="1:26" ht="13">
      <c r="A856" s="24" t="str">
        <f t="shared" si="290"/>
        <v>SRF</v>
      </c>
      <c r="B856" s="9">
        <v>2021</v>
      </c>
      <c r="C856" s="19">
        <v>34.36</v>
      </c>
      <c r="D856" s="19">
        <v>1279.58</v>
      </c>
      <c r="E856" s="19">
        <v>1853.26</v>
      </c>
      <c r="F856" s="19">
        <v>1332.53</v>
      </c>
      <c r="G856" s="19">
        <v>1182.8499999999999</v>
      </c>
      <c r="H856" s="10">
        <f t="shared" si="284"/>
        <v>1.8540301954393879E-2</v>
      </c>
      <c r="I856" s="10">
        <f t="shared" si="285"/>
        <v>0.69044818320149359</v>
      </c>
      <c r="J856" s="10">
        <f t="shared" si="286"/>
        <v>1.1265418269433995</v>
      </c>
      <c r="K856" s="4">
        <f t="shared" si="270"/>
        <v>-0.45238288185403258</v>
      </c>
      <c r="L856" s="10">
        <f t="shared" si="271"/>
        <v>0.69044818320149359</v>
      </c>
      <c r="M856" s="25">
        <v>9.33</v>
      </c>
      <c r="N856" s="25">
        <v>71.55</v>
      </c>
      <c r="O856" s="25">
        <v>-83.51</v>
      </c>
      <c r="P856" s="11">
        <v>0.46850000000000003</v>
      </c>
      <c r="Q856" s="11">
        <f t="shared" si="291"/>
        <v>7.3000000000000001E-3</v>
      </c>
      <c r="R856" s="12">
        <f t="shared" si="281"/>
        <v>5.0343718636348921E-3</v>
      </c>
      <c r="S856" s="12">
        <f t="shared" si="282"/>
        <v>3.8607642748454074E-2</v>
      </c>
      <c r="T856" s="12">
        <f t="shared" si="283"/>
        <v>-4.5061135512556257E-2</v>
      </c>
      <c r="U856" s="12">
        <f t="shared" si="255"/>
        <v>2.3586032181129469E-3</v>
      </c>
      <c r="V856" s="12">
        <f t="shared" si="248"/>
        <v>1.8087680627650735E-2</v>
      </c>
      <c r="W856" s="12">
        <f t="shared" si="249"/>
        <v>-2.1111141987632608E-2</v>
      </c>
      <c r="X856" s="12">
        <f t="shared" si="250"/>
        <v>3.6750914604534712E-5</v>
      </c>
      <c r="Y856" s="12">
        <f t="shared" si="251"/>
        <v>2.8183579206371472E-4</v>
      </c>
      <c r="Z856" s="12">
        <f t="shared" si="252"/>
        <v>-3.2894628924166067E-4</v>
      </c>
    </row>
    <row r="857" spans="1:26" ht="14">
      <c r="A857" s="32" t="s">
        <v>188</v>
      </c>
      <c r="B857" s="9">
        <v>2017</v>
      </c>
      <c r="C857" s="19">
        <v>64.680000000000007</v>
      </c>
      <c r="D857" s="19">
        <v>104.63</v>
      </c>
      <c r="E857" s="19">
        <v>405.01</v>
      </c>
      <c r="F857" s="19">
        <v>301.11</v>
      </c>
      <c r="G857" s="19">
        <v>104.63</v>
      </c>
      <c r="H857" s="10">
        <f t="shared" si="284"/>
        <v>0.15969976049974077</v>
      </c>
      <c r="I857" s="10">
        <f t="shared" si="285"/>
        <v>0.258339300264191</v>
      </c>
      <c r="J857" s="10">
        <f t="shared" si="286"/>
        <v>2.8778552996272584</v>
      </c>
      <c r="K857" s="4">
        <f t="shared" si="270"/>
        <v>-3.5576263319414538</v>
      </c>
      <c r="L857" s="10">
        <f t="shared" si="271"/>
        <v>0.258339300264191</v>
      </c>
      <c r="M857" s="25">
        <v>104.88</v>
      </c>
      <c r="N857" s="25">
        <v>-2.63</v>
      </c>
      <c r="O857" s="25">
        <v>-71.209999999999994</v>
      </c>
      <c r="P857" s="27">
        <v>1.349E-2</v>
      </c>
      <c r="Q857" s="11">
        <v>1E-4</v>
      </c>
      <c r="R857" s="12">
        <f t="shared" si="281"/>
        <v>0.25895656897360558</v>
      </c>
      <c r="S857" s="12">
        <f t="shared" si="282"/>
        <v>-6.4936668230414062E-3</v>
      </c>
      <c r="T857" s="12">
        <f t="shared" si="283"/>
        <v>-0.17582281918964962</v>
      </c>
      <c r="U857" s="12">
        <f t="shared" si="255"/>
        <v>3.4933241154539393E-3</v>
      </c>
      <c r="V857" s="12">
        <f t="shared" si="248"/>
        <v>-8.7599565442828572E-5</v>
      </c>
      <c r="W857" s="12">
        <f t="shared" si="249"/>
        <v>-2.3718498308683733E-3</v>
      </c>
      <c r="X857" s="12">
        <f t="shared" si="250"/>
        <v>2.5895656897360558E-5</v>
      </c>
      <c r="Y857" s="12">
        <f t="shared" si="251"/>
        <v>-6.4936668230414066E-7</v>
      </c>
      <c r="Z857" s="12">
        <f t="shared" si="252"/>
        <v>-1.7582281918964965E-5</v>
      </c>
    </row>
    <row r="858" spans="1:26" ht="13">
      <c r="A858" s="24" t="str">
        <f t="shared" ref="A858:A861" si="292">A857</f>
        <v>SSC</v>
      </c>
      <c r="B858" s="9">
        <v>2018</v>
      </c>
      <c r="C858" s="19">
        <v>92.48</v>
      </c>
      <c r="D858" s="19">
        <v>129.97999999999999</v>
      </c>
      <c r="E858" s="19">
        <v>476.7</v>
      </c>
      <c r="F858" s="19">
        <v>367.19</v>
      </c>
      <c r="G858" s="19">
        <v>129.97999999999999</v>
      </c>
      <c r="H858" s="10">
        <f t="shared" si="284"/>
        <v>0.19400041955108036</v>
      </c>
      <c r="I858" s="10">
        <f t="shared" si="285"/>
        <v>0.27266624711558629</v>
      </c>
      <c r="J858" s="10">
        <f t="shared" si="286"/>
        <v>2.8249730727804279</v>
      </c>
      <c r="K858" s="4">
        <f t="shared" si="270"/>
        <v>-3.6301041717121412</v>
      </c>
      <c r="L858" s="10">
        <f t="shared" si="271"/>
        <v>0.27266624711558629</v>
      </c>
      <c r="M858" s="25">
        <v>174.55</v>
      </c>
      <c r="N858" s="25">
        <v>-14.56</v>
      </c>
      <c r="O858" s="25">
        <v>-64.97</v>
      </c>
      <c r="P858" s="27">
        <v>1.09E-2</v>
      </c>
      <c r="Q858" s="11">
        <v>0</v>
      </c>
      <c r="R858" s="12">
        <f t="shared" si="281"/>
        <v>0.36616320537025387</v>
      </c>
      <c r="S858" s="12">
        <f t="shared" si="282"/>
        <v>-3.0543318649045522E-2</v>
      </c>
      <c r="T858" s="12">
        <f t="shared" si="283"/>
        <v>-0.13629116844975875</v>
      </c>
      <c r="U858" s="12">
        <f t="shared" si="255"/>
        <v>3.9911789385357671E-3</v>
      </c>
      <c r="V858" s="12">
        <f t="shared" si="248"/>
        <v>-3.329221732745962E-4</v>
      </c>
      <c r="W858" s="12">
        <f t="shared" si="249"/>
        <v>-1.4855737361023703E-3</v>
      </c>
      <c r="X858" s="12">
        <f t="shared" si="250"/>
        <v>0</v>
      </c>
      <c r="Y858" s="12">
        <f t="shared" si="251"/>
        <v>0</v>
      </c>
      <c r="Z858" s="12">
        <f t="shared" si="252"/>
        <v>0</v>
      </c>
    </row>
    <row r="859" spans="1:26" ht="13">
      <c r="A859" s="24" t="str">
        <f t="shared" si="292"/>
        <v>SSC</v>
      </c>
      <c r="B859" s="9">
        <v>2019</v>
      </c>
      <c r="C859" s="19">
        <v>73.84</v>
      </c>
      <c r="D859" s="19">
        <v>144.83000000000001</v>
      </c>
      <c r="E859" s="19">
        <v>473.93</v>
      </c>
      <c r="F859" s="19">
        <v>365.53</v>
      </c>
      <c r="G859" s="19">
        <v>144.83000000000001</v>
      </c>
      <c r="H859" s="10">
        <f t="shared" si="284"/>
        <v>0.15580359968771759</v>
      </c>
      <c r="I859" s="10">
        <f t="shared" si="285"/>
        <v>0.30559365307112868</v>
      </c>
      <c r="J859" s="10">
        <f t="shared" si="286"/>
        <v>2.5238555547883723</v>
      </c>
      <c r="K859" s="4">
        <f t="shared" si="270"/>
        <v>-3.2693277983084488</v>
      </c>
      <c r="L859" s="10">
        <f t="shared" si="271"/>
        <v>0.30559365307112868</v>
      </c>
      <c r="M859" s="25">
        <v>44.54</v>
      </c>
      <c r="N859" s="25">
        <v>-3.23</v>
      </c>
      <c r="O859" s="25">
        <v>-71.89</v>
      </c>
      <c r="P859" s="11">
        <v>0.01</v>
      </c>
      <c r="Q859" s="11">
        <v>0</v>
      </c>
      <c r="R859" s="12">
        <f t="shared" si="281"/>
        <v>9.3980123646952074E-2</v>
      </c>
      <c r="S859" s="12">
        <f t="shared" si="282"/>
        <v>-6.8153524782140823E-3</v>
      </c>
      <c r="T859" s="12">
        <f t="shared" si="283"/>
        <v>-0.15168906800582366</v>
      </c>
      <c r="U859" s="12">
        <f t="shared" si="255"/>
        <v>9.3980123646952081E-4</v>
      </c>
      <c r="V859" s="12">
        <f t="shared" si="248"/>
        <v>-6.8153524782140821E-5</v>
      </c>
      <c r="W859" s="12">
        <f t="shared" si="249"/>
        <v>-1.5168906800582366E-3</v>
      </c>
      <c r="X859" s="12">
        <f t="shared" si="250"/>
        <v>0</v>
      </c>
      <c r="Y859" s="12">
        <f t="shared" si="251"/>
        <v>0</v>
      </c>
      <c r="Z859" s="12">
        <f t="shared" si="252"/>
        <v>0</v>
      </c>
    </row>
    <row r="860" spans="1:26" ht="13">
      <c r="A860" s="24" t="str">
        <f t="shared" si="292"/>
        <v>SSC</v>
      </c>
      <c r="B860" s="9">
        <v>2020</v>
      </c>
      <c r="C860" s="19">
        <v>40.08</v>
      </c>
      <c r="D860" s="19">
        <v>139.82</v>
      </c>
      <c r="E860" s="19">
        <v>482.41</v>
      </c>
      <c r="F860" s="19">
        <v>294.58</v>
      </c>
      <c r="G860" s="19">
        <v>139.82</v>
      </c>
      <c r="H860" s="10">
        <f t="shared" si="284"/>
        <v>8.308285483302584E-2</v>
      </c>
      <c r="I860" s="10">
        <f t="shared" si="285"/>
        <v>0.28983644617648885</v>
      </c>
      <c r="J860" s="10">
        <f t="shared" si="286"/>
        <v>2.1068516664282648</v>
      </c>
      <c r="K860" s="4">
        <f t="shared" si="270"/>
        <v>-3.0302325102083429</v>
      </c>
      <c r="L860" s="10">
        <f t="shared" si="271"/>
        <v>0.28983644617648885</v>
      </c>
      <c r="M860" s="25">
        <v>48.43</v>
      </c>
      <c r="N860" s="25">
        <v>-62.01</v>
      </c>
      <c r="O860" s="25">
        <v>-26.53</v>
      </c>
      <c r="P860" s="11">
        <v>1.0999999999999999E-2</v>
      </c>
      <c r="Q860" s="11">
        <v>0</v>
      </c>
      <c r="R860" s="12">
        <f t="shared" si="281"/>
        <v>0.10039178292323957</v>
      </c>
      <c r="S860" s="12">
        <f t="shared" si="282"/>
        <v>-0.12854211148193445</v>
      </c>
      <c r="T860" s="12">
        <f t="shared" si="283"/>
        <v>-5.4994714039924543E-2</v>
      </c>
      <c r="U860" s="12">
        <f t="shared" si="255"/>
        <v>1.1043096121556351E-3</v>
      </c>
      <c r="V860" s="12">
        <f t="shared" si="248"/>
        <v>-1.4139632263012788E-3</v>
      </c>
      <c r="W860" s="12">
        <f t="shared" si="249"/>
        <v>-6.0494185443916992E-4</v>
      </c>
      <c r="X860" s="12">
        <f t="shared" si="250"/>
        <v>0</v>
      </c>
      <c r="Y860" s="12">
        <f t="shared" si="251"/>
        <v>0</v>
      </c>
      <c r="Z860" s="12">
        <f t="shared" si="252"/>
        <v>0</v>
      </c>
    </row>
    <row r="861" spans="1:26" ht="13">
      <c r="A861" s="24" t="str">
        <f t="shared" si="292"/>
        <v>SSC</v>
      </c>
      <c r="B861" s="9">
        <v>2021</v>
      </c>
      <c r="C861" s="19">
        <v>54.45</v>
      </c>
      <c r="D861" s="19">
        <v>140.80000000000001</v>
      </c>
      <c r="E861" s="19">
        <v>514.42999999999995</v>
      </c>
      <c r="F861" s="19">
        <v>324.66000000000003</v>
      </c>
      <c r="G861" s="19">
        <v>140.80000000000001</v>
      </c>
      <c r="H861" s="10">
        <f t="shared" si="284"/>
        <v>0.10584530451178976</v>
      </c>
      <c r="I861" s="10">
        <f t="shared" si="285"/>
        <v>0.27370098944462806</v>
      </c>
      <c r="J861" s="10">
        <f t="shared" si="286"/>
        <v>2.3058238636363635</v>
      </c>
      <c r="K861" s="4">
        <f t="shared" si="270"/>
        <v>-3.2254315259232196</v>
      </c>
      <c r="L861" s="10">
        <f t="shared" si="271"/>
        <v>0.27370098944462806</v>
      </c>
      <c r="M861" s="25">
        <v>68.290000000000006</v>
      </c>
      <c r="N861" s="25">
        <v>-36.18</v>
      </c>
      <c r="O861" s="25">
        <v>-19.86</v>
      </c>
      <c r="P861" s="11">
        <v>1.2E-2</v>
      </c>
      <c r="Q861" s="11">
        <v>0</v>
      </c>
      <c r="R861" s="12">
        <f t="shared" si="281"/>
        <v>0.13274886767879016</v>
      </c>
      <c r="S861" s="12">
        <f t="shared" si="282"/>
        <v>-7.0330268452461958E-2</v>
      </c>
      <c r="T861" s="12">
        <f t="shared" si="283"/>
        <v>-3.8605835585016429E-2</v>
      </c>
      <c r="U861" s="12">
        <f t="shared" si="255"/>
        <v>1.5929864121454818E-3</v>
      </c>
      <c r="V861" s="12">
        <f t="shared" si="248"/>
        <v>-8.4396322142954352E-4</v>
      </c>
      <c r="W861" s="12">
        <f t="shared" si="249"/>
        <v>-4.6327002702019717E-4</v>
      </c>
      <c r="X861" s="12">
        <f t="shared" si="250"/>
        <v>0</v>
      </c>
      <c r="Y861" s="12">
        <f t="shared" si="251"/>
        <v>0</v>
      </c>
      <c r="Z861" s="12">
        <f t="shared" si="252"/>
        <v>0</v>
      </c>
    </row>
    <row r="862" spans="1:26" ht="14">
      <c r="A862" s="31" t="s">
        <v>189</v>
      </c>
      <c r="B862" s="9">
        <v>2017</v>
      </c>
      <c r="C862" s="19">
        <v>28.7</v>
      </c>
      <c r="D862" s="19">
        <v>130.38999999999999</v>
      </c>
      <c r="E862" s="19">
        <v>470.49</v>
      </c>
      <c r="F862" s="19">
        <v>336.16</v>
      </c>
      <c r="G862" s="19">
        <v>128.63999999999999</v>
      </c>
      <c r="H862" s="10">
        <f t="shared" si="284"/>
        <v>6.1000233798805495E-2</v>
      </c>
      <c r="I862" s="10">
        <f t="shared" si="285"/>
        <v>0.27713660226572295</v>
      </c>
      <c r="J862" s="10">
        <f t="shared" si="286"/>
        <v>2.6131840796019907</v>
      </c>
      <c r="K862" s="4">
        <f t="shared" si="270"/>
        <v>-3.0052751554984116</v>
      </c>
      <c r="L862" s="10">
        <f t="shared" si="271"/>
        <v>0.27713660226572295</v>
      </c>
      <c r="M862" s="25">
        <v>33.82</v>
      </c>
      <c r="N862" s="25">
        <v>-20.97</v>
      </c>
      <c r="O862" s="25">
        <v>2.99</v>
      </c>
      <c r="P862" s="11">
        <v>0.4914</v>
      </c>
      <c r="Q862" s="11">
        <v>0.53049999999999997</v>
      </c>
      <c r="R862" s="12">
        <f t="shared" si="281"/>
        <v>7.1882505473017486E-2</v>
      </c>
      <c r="S862" s="12">
        <f t="shared" si="282"/>
        <v>-4.4570554103169034E-2</v>
      </c>
      <c r="T862" s="12">
        <f t="shared" si="283"/>
        <v>6.3550766222448939E-3</v>
      </c>
      <c r="U862" s="12">
        <f t="shared" si="255"/>
        <v>3.5323063189440791E-2</v>
      </c>
      <c r="V862" s="12">
        <f t="shared" si="248"/>
        <v>-2.1901970286297263E-2</v>
      </c>
      <c r="W862" s="12">
        <f t="shared" si="249"/>
        <v>3.1228846521711407E-3</v>
      </c>
      <c r="X862" s="12">
        <f t="shared" si="250"/>
        <v>3.8133669153435773E-2</v>
      </c>
      <c r="Y862" s="12">
        <f t="shared" si="251"/>
        <v>-2.3644678951731172E-2</v>
      </c>
      <c r="Z862" s="12">
        <f t="shared" si="252"/>
        <v>3.3713681481009161E-3</v>
      </c>
    </row>
    <row r="863" spans="1:26" ht="13">
      <c r="A863" s="24" t="str">
        <f t="shared" ref="A863:A866" si="293">A862</f>
        <v>ST8</v>
      </c>
      <c r="B863" s="9">
        <v>2018</v>
      </c>
      <c r="C863" s="19">
        <v>44.29</v>
      </c>
      <c r="D863" s="19">
        <v>118.17</v>
      </c>
      <c r="E863" s="19">
        <v>451.69</v>
      </c>
      <c r="F863" s="19">
        <v>342.91</v>
      </c>
      <c r="G863" s="19">
        <v>116.21</v>
      </c>
      <c r="H863" s="10">
        <f t="shared" si="284"/>
        <v>9.8053975071398528E-2</v>
      </c>
      <c r="I863" s="10">
        <f t="shared" si="285"/>
        <v>0.26161748101574089</v>
      </c>
      <c r="J863" s="10">
        <f t="shared" si="286"/>
        <v>2.9507787625849757</v>
      </c>
      <c r="K863" s="4">
        <f t="shared" si="270"/>
        <v>-3.2618263610819103</v>
      </c>
      <c r="L863" s="10">
        <f t="shared" si="271"/>
        <v>0.26161748101574089</v>
      </c>
      <c r="M863" s="25">
        <v>16.440000000000001</v>
      </c>
      <c r="N863" s="25">
        <v>9.5399999999999991</v>
      </c>
      <c r="O863" s="25">
        <v>-56.34</v>
      </c>
      <c r="P863" s="11">
        <f t="shared" ref="P863:P866" si="294">P862</f>
        <v>0.4914</v>
      </c>
      <c r="Q863" s="11">
        <v>0.49049999999999999</v>
      </c>
      <c r="R863" s="12">
        <f t="shared" si="281"/>
        <v>3.6396643715822803E-2</v>
      </c>
      <c r="S863" s="12">
        <f t="shared" si="282"/>
        <v>2.1120680112466515E-2</v>
      </c>
      <c r="T863" s="12">
        <f t="shared" si="283"/>
        <v>-0.12473156368305698</v>
      </c>
      <c r="U863" s="12">
        <f t="shared" si="255"/>
        <v>1.7885310721955327E-2</v>
      </c>
      <c r="V863" s="12">
        <f t="shared" si="248"/>
        <v>1.0378702207266045E-2</v>
      </c>
      <c r="W863" s="12">
        <f t="shared" si="249"/>
        <v>-6.1293090393854201E-2</v>
      </c>
      <c r="X863" s="12">
        <f t="shared" si="250"/>
        <v>1.7852553742611084E-2</v>
      </c>
      <c r="Y863" s="12">
        <f t="shared" si="251"/>
        <v>1.0359693595164825E-2</v>
      </c>
      <c r="Z863" s="12">
        <f t="shared" si="252"/>
        <v>-6.1180831986539445E-2</v>
      </c>
    </row>
    <row r="864" spans="1:26" ht="13">
      <c r="A864" s="24" t="str">
        <f t="shared" si="293"/>
        <v>ST8</v>
      </c>
      <c r="B864" s="9">
        <v>2019</v>
      </c>
      <c r="C864" s="19">
        <v>24.84</v>
      </c>
      <c r="D864" s="19">
        <v>129.83000000000001</v>
      </c>
      <c r="E864" s="19">
        <v>474.58</v>
      </c>
      <c r="F864" s="19">
        <v>364.01</v>
      </c>
      <c r="G864" s="19">
        <v>128.69999999999999</v>
      </c>
      <c r="H864" s="10">
        <f t="shared" si="284"/>
        <v>5.23410173205782E-2</v>
      </c>
      <c r="I864" s="10">
        <f t="shared" si="285"/>
        <v>0.27356820767836826</v>
      </c>
      <c r="J864" s="10">
        <f t="shared" si="286"/>
        <v>2.8283605283605286</v>
      </c>
      <c r="K864" s="4">
        <f t="shared" si="270"/>
        <v>-2.9875092362893447</v>
      </c>
      <c r="L864" s="10">
        <f t="shared" si="271"/>
        <v>0.27356820767836826</v>
      </c>
      <c r="M864" s="25">
        <v>-0.39</v>
      </c>
      <c r="N864" s="25">
        <v>0.75</v>
      </c>
      <c r="O864" s="25">
        <v>5.41</v>
      </c>
      <c r="P864" s="11">
        <f t="shared" si="294"/>
        <v>0.4914</v>
      </c>
      <c r="Q864" s="11">
        <f>Q863</f>
        <v>0.49049999999999999</v>
      </c>
      <c r="R864" s="12">
        <f t="shared" si="281"/>
        <v>-8.2177925744869151E-4</v>
      </c>
      <c r="S864" s="12">
        <f t="shared" si="282"/>
        <v>1.5803447258628683E-3</v>
      </c>
      <c r="T864" s="12">
        <f t="shared" si="283"/>
        <v>1.1399553289224157E-2</v>
      </c>
      <c r="U864" s="12">
        <f t="shared" si="255"/>
        <v>-4.0382232711028702E-4</v>
      </c>
      <c r="V864" s="12">
        <f t="shared" si="248"/>
        <v>7.7658139828901346E-4</v>
      </c>
      <c r="W864" s="12">
        <f t="shared" si="249"/>
        <v>5.6017404863247505E-3</v>
      </c>
      <c r="X864" s="12">
        <f t="shared" si="250"/>
        <v>-4.030827257785832E-4</v>
      </c>
      <c r="Y864" s="12">
        <f t="shared" si="251"/>
        <v>7.7515908803573689E-4</v>
      </c>
      <c r="Z864" s="12">
        <f t="shared" si="252"/>
        <v>5.5914808883644491E-3</v>
      </c>
    </row>
    <row r="865" spans="1:26" ht="13">
      <c r="A865" s="24" t="str">
        <f t="shared" si="293"/>
        <v>ST8</v>
      </c>
      <c r="B865" s="9">
        <v>2020</v>
      </c>
      <c r="C865" s="19">
        <v>16.14</v>
      </c>
      <c r="D865" s="19">
        <v>206</v>
      </c>
      <c r="E865" s="19">
        <v>532.37</v>
      </c>
      <c r="F865" s="19">
        <v>435.12</v>
      </c>
      <c r="G865" s="19">
        <v>203.11</v>
      </c>
      <c r="H865" s="10">
        <f t="shared" si="284"/>
        <v>3.0317260551871818E-2</v>
      </c>
      <c r="I865" s="10">
        <f t="shared" si="285"/>
        <v>0.38694892649848789</v>
      </c>
      <c r="J865" s="10">
        <f t="shared" si="286"/>
        <v>2.142287430456403</v>
      </c>
      <c r="K865" s="4">
        <f t="shared" si="270"/>
        <v>-2.2393879411638675</v>
      </c>
      <c r="L865" s="10">
        <f t="shared" si="271"/>
        <v>0.38694892649848789</v>
      </c>
      <c r="M865" s="25">
        <v>58.95</v>
      </c>
      <c r="N865" s="25">
        <v>-0.53</v>
      </c>
      <c r="O865" s="25">
        <v>-8.7200000000000006</v>
      </c>
      <c r="P865" s="11">
        <f t="shared" si="294"/>
        <v>0.4914</v>
      </c>
      <c r="Q865" s="11">
        <v>0.25280000000000002</v>
      </c>
      <c r="R865" s="12">
        <f t="shared" si="281"/>
        <v>0.11073125833536826</v>
      </c>
      <c r="S865" s="12">
        <f t="shared" si="282"/>
        <v>-9.9554820895242043E-4</v>
      </c>
      <c r="T865" s="12">
        <f t="shared" si="283"/>
        <v>-1.6379585626537935E-2</v>
      </c>
      <c r="U865" s="12">
        <f t="shared" si="255"/>
        <v>5.4413340345999962E-2</v>
      </c>
      <c r="V865" s="12">
        <f t="shared" si="248"/>
        <v>-4.8921238987921945E-4</v>
      </c>
      <c r="W865" s="12">
        <f t="shared" si="249"/>
        <v>-8.0489283768807405E-3</v>
      </c>
      <c r="X865" s="12">
        <f t="shared" si="250"/>
        <v>2.7992862107181098E-2</v>
      </c>
      <c r="Y865" s="12">
        <f t="shared" si="251"/>
        <v>-2.5167458722317191E-4</v>
      </c>
      <c r="Z865" s="12">
        <f t="shared" si="252"/>
        <v>-4.1407592463887904E-3</v>
      </c>
    </row>
    <row r="866" spans="1:26" ht="13">
      <c r="A866" s="24" t="str">
        <f t="shared" si="293"/>
        <v>ST8</v>
      </c>
      <c r="B866" s="9">
        <v>2021</v>
      </c>
      <c r="C866" s="19">
        <v>14.49</v>
      </c>
      <c r="D866" s="19">
        <v>146.09</v>
      </c>
      <c r="E866" s="19">
        <v>472.99</v>
      </c>
      <c r="F866" s="19">
        <v>377.17</v>
      </c>
      <c r="G866" s="19">
        <v>140.94999999999999</v>
      </c>
      <c r="H866" s="10">
        <f t="shared" si="284"/>
        <v>3.0634897143702825E-2</v>
      </c>
      <c r="I866" s="10">
        <f t="shared" si="285"/>
        <v>0.30886488086428887</v>
      </c>
      <c r="J866" s="10">
        <f t="shared" si="286"/>
        <v>2.6759134444838599</v>
      </c>
      <c r="K866" s="4">
        <f t="shared" si="270"/>
        <v>-2.6880308699981512</v>
      </c>
      <c r="L866" s="10">
        <f t="shared" si="271"/>
        <v>0.30886488086428887</v>
      </c>
      <c r="M866" s="25">
        <v>-37.1</v>
      </c>
      <c r="N866" s="25">
        <v>-23.57</v>
      </c>
      <c r="O866" s="25">
        <v>-0.85</v>
      </c>
      <c r="P866" s="11">
        <f t="shared" si="294"/>
        <v>0.4914</v>
      </c>
      <c r="Q866" s="11">
        <v>3.0999999999999999E-3</v>
      </c>
      <c r="R866" s="12">
        <f t="shared" si="281"/>
        <v>-7.8437176261654584E-2</v>
      </c>
      <c r="S866" s="12">
        <f t="shared" si="282"/>
        <v>-4.9831920336582167E-2</v>
      </c>
      <c r="T866" s="12">
        <f t="shared" si="283"/>
        <v>-1.7970781623290132E-3</v>
      </c>
      <c r="U866" s="12">
        <f t="shared" si="255"/>
        <v>-3.8544028414977061E-2</v>
      </c>
      <c r="V866" s="12">
        <f t="shared" si="248"/>
        <v>-2.4487405653396476E-2</v>
      </c>
      <c r="W866" s="12">
        <f t="shared" si="249"/>
        <v>-8.8308420896847709E-4</v>
      </c>
      <c r="X866" s="12">
        <f t="shared" si="250"/>
        <v>-2.4315524641112921E-4</v>
      </c>
      <c r="Y866" s="12">
        <f t="shared" si="251"/>
        <v>-1.5447895304340471E-4</v>
      </c>
      <c r="Z866" s="12">
        <f t="shared" si="252"/>
        <v>-5.5709423032199407E-6</v>
      </c>
    </row>
    <row r="867" spans="1:26" ht="14">
      <c r="A867" s="33" t="s">
        <v>190</v>
      </c>
      <c r="B867" s="9">
        <v>2017</v>
      </c>
      <c r="C867" s="19">
        <v>521.28</v>
      </c>
      <c r="D867" s="19">
        <v>956.06</v>
      </c>
      <c r="E867" s="19">
        <v>2473.42</v>
      </c>
      <c r="F867" s="19">
        <v>1254.53</v>
      </c>
      <c r="G867" s="19">
        <v>518.85</v>
      </c>
      <c r="H867" s="10">
        <f t="shared" si="284"/>
        <v>0.21075272295040873</v>
      </c>
      <c r="I867" s="10">
        <f t="shared" si="285"/>
        <v>0.38653362550638382</v>
      </c>
      <c r="J867" s="10">
        <f t="shared" si="286"/>
        <v>2.4179049821721113</v>
      </c>
      <c r="K867" s="4">
        <f t="shared" si="270"/>
        <v>-3.0548172078191391</v>
      </c>
      <c r="L867" s="10">
        <f t="shared" si="271"/>
        <v>0.38653362550638382</v>
      </c>
      <c r="M867" s="25">
        <v>95.42</v>
      </c>
      <c r="N867" s="25">
        <v>319.56</v>
      </c>
      <c r="O867" s="25">
        <v>-329.5</v>
      </c>
      <c r="P867" s="11">
        <v>5.3E-3</v>
      </c>
      <c r="Q867" s="11">
        <v>8.3000000000000001E-4</v>
      </c>
      <c r="R867" s="12">
        <f t="shared" si="281"/>
        <v>3.857816302932781E-2</v>
      </c>
      <c r="S867" s="12">
        <f t="shared" si="282"/>
        <v>0.12919762919358621</v>
      </c>
      <c r="T867" s="12">
        <f t="shared" si="283"/>
        <v>-0.13321635630018355</v>
      </c>
      <c r="U867" s="12">
        <f t="shared" si="255"/>
        <v>2.0446426405543739E-4</v>
      </c>
      <c r="V867" s="12">
        <f t="shared" si="248"/>
        <v>6.8474743472600691E-4</v>
      </c>
      <c r="W867" s="12">
        <f t="shared" si="249"/>
        <v>-7.060466883909728E-4</v>
      </c>
      <c r="X867" s="12">
        <f t="shared" si="250"/>
        <v>3.2019875314342085E-5</v>
      </c>
      <c r="Y867" s="12">
        <f t="shared" si="251"/>
        <v>1.0723403223067655E-4</v>
      </c>
      <c r="Z867" s="12">
        <f t="shared" si="252"/>
        <v>-1.1056957572915235E-4</v>
      </c>
    </row>
    <row r="868" spans="1:26" ht="14">
      <c r="A868" s="34" t="str">
        <f t="shared" ref="A868:A871" si="295">A867</f>
        <v>STG</v>
      </c>
      <c r="B868" s="9">
        <v>2018</v>
      </c>
      <c r="C868" s="19">
        <v>157.66</v>
      </c>
      <c r="D868" s="19">
        <v>724.03</v>
      </c>
      <c r="E868" s="19">
        <v>2347.2199999999998</v>
      </c>
      <c r="F868" s="19">
        <v>1106.31</v>
      </c>
      <c r="G868" s="19">
        <v>574.47</v>
      </c>
      <c r="H868" s="10">
        <f t="shared" si="284"/>
        <v>6.7168820988232888E-2</v>
      </c>
      <c r="I868" s="10">
        <f t="shared" si="285"/>
        <v>0.30846277724286603</v>
      </c>
      <c r="J868" s="10">
        <f t="shared" si="286"/>
        <v>1.9257924695806568</v>
      </c>
      <c r="K868" s="4">
        <f t="shared" si="270"/>
        <v>-2.8517250340410336</v>
      </c>
      <c r="L868" s="10">
        <f t="shared" si="271"/>
        <v>0.30846277724286603</v>
      </c>
      <c r="M868" s="25">
        <v>81.56</v>
      </c>
      <c r="N868" s="25">
        <v>71.25</v>
      </c>
      <c r="O868" s="25">
        <v>-210.3</v>
      </c>
      <c r="P868" s="11">
        <v>1.2999999999999999E-3</v>
      </c>
      <c r="Q868" s="11">
        <f>0.087%</f>
        <v>8.699999999999999E-4</v>
      </c>
      <c r="R868" s="12">
        <f t="shared" si="281"/>
        <v>3.4747488518332328E-2</v>
      </c>
      <c r="S868" s="12">
        <f t="shared" si="282"/>
        <v>3.0355058324315575E-2</v>
      </c>
      <c r="T868" s="12">
        <f t="shared" si="283"/>
        <v>-8.9595351096190393E-2</v>
      </c>
      <c r="U868" s="12">
        <f t="shared" si="255"/>
        <v>4.5171735073832022E-5</v>
      </c>
      <c r="V868" s="12">
        <f t="shared" si="248"/>
        <v>3.9461575821610243E-5</v>
      </c>
      <c r="W868" s="12">
        <f t="shared" si="249"/>
        <v>-1.164739564250475E-4</v>
      </c>
      <c r="X868" s="12">
        <f t="shared" si="250"/>
        <v>3.0230315010949123E-5</v>
      </c>
      <c r="Y868" s="12">
        <f t="shared" si="251"/>
        <v>2.6408900742154548E-5</v>
      </c>
      <c r="Z868" s="12">
        <f t="shared" si="252"/>
        <v>-7.7947955453685629E-5</v>
      </c>
    </row>
    <row r="869" spans="1:26" ht="13">
      <c r="A869" s="24" t="str">
        <f t="shared" si="295"/>
        <v>STG</v>
      </c>
      <c r="B869" s="9">
        <v>2019</v>
      </c>
      <c r="C869" s="19">
        <v>122.92</v>
      </c>
      <c r="D869" s="19">
        <v>574.62</v>
      </c>
      <c r="E869" s="19">
        <v>2275.46</v>
      </c>
      <c r="F869" s="19">
        <v>1034.94</v>
      </c>
      <c r="G869" s="19">
        <v>458.53</v>
      </c>
      <c r="H869" s="10">
        <f t="shared" si="284"/>
        <v>5.4019846536524481E-2</v>
      </c>
      <c r="I869" s="10">
        <f t="shared" si="285"/>
        <v>0.2525291589392914</v>
      </c>
      <c r="J869" s="10">
        <f t="shared" si="286"/>
        <v>2.2570824155453297</v>
      </c>
      <c r="K869" s="4">
        <f t="shared" ref="K869:K932" si="296">-4.3 -4.5*(C869/E869)+5.7*(D869/E869)-0.004*(F869/G869)</f>
        <v>-3.1127014331225804</v>
      </c>
      <c r="L869" s="10">
        <f t="shared" ref="L869:L932" si="297">D869/E869</f>
        <v>0.2525291589392914</v>
      </c>
      <c r="M869" s="25">
        <v>148.41999999999999</v>
      </c>
      <c r="N869" s="25">
        <v>99.76</v>
      </c>
      <c r="O869" s="25">
        <v>-208.6</v>
      </c>
      <c r="P869" s="11">
        <v>8.9999999999999998E-4</v>
      </c>
      <c r="Q869" s="11">
        <f>Q868</f>
        <v>8.699999999999999E-4</v>
      </c>
      <c r="R869" s="12">
        <f t="shared" si="281"/>
        <v>6.5226371810535005E-2</v>
      </c>
      <c r="S869" s="12">
        <f t="shared" si="282"/>
        <v>4.3841684758246686E-2</v>
      </c>
      <c r="T869" s="12">
        <f t="shared" si="283"/>
        <v>-9.1673771457199862E-2</v>
      </c>
      <c r="U869" s="12">
        <f t="shared" si="255"/>
        <v>5.8703734629481505E-5</v>
      </c>
      <c r="V869" s="12">
        <f t="shared" si="248"/>
        <v>3.9457516282422018E-5</v>
      </c>
      <c r="W869" s="12">
        <f t="shared" si="249"/>
        <v>-8.250639431147987E-5</v>
      </c>
      <c r="X869" s="12">
        <f t="shared" si="250"/>
        <v>5.6746943475165447E-5</v>
      </c>
      <c r="Y869" s="12">
        <f t="shared" si="251"/>
        <v>3.8142265739674611E-5</v>
      </c>
      <c r="Z869" s="12">
        <f t="shared" si="252"/>
        <v>-7.9756181167763869E-5</v>
      </c>
    </row>
    <row r="870" spans="1:26" ht="13">
      <c r="A870" s="24" t="str">
        <f t="shared" si="295"/>
        <v>STG</v>
      </c>
      <c r="B870" s="9">
        <v>2020</v>
      </c>
      <c r="C870" s="19">
        <v>117.77</v>
      </c>
      <c r="D870" s="19">
        <v>694.98</v>
      </c>
      <c r="E870" s="19">
        <v>2339.2199999999998</v>
      </c>
      <c r="F870" s="19">
        <v>898.18</v>
      </c>
      <c r="G870" s="19">
        <v>509.02</v>
      </c>
      <c r="H870" s="10">
        <f t="shared" si="284"/>
        <v>5.0345841776318602E-2</v>
      </c>
      <c r="I870" s="10">
        <f t="shared" si="285"/>
        <v>0.29709903301100371</v>
      </c>
      <c r="J870" s="10">
        <f t="shared" si="286"/>
        <v>1.764527916388354</v>
      </c>
      <c r="K870" s="4">
        <f t="shared" si="296"/>
        <v>-2.8401499114962658</v>
      </c>
      <c r="L870" s="10">
        <f t="shared" si="297"/>
        <v>0.29709903301100371</v>
      </c>
      <c r="M870" s="25">
        <v>207.84</v>
      </c>
      <c r="N870" s="25">
        <v>-277.61</v>
      </c>
      <c r="O870" s="25">
        <v>73.13</v>
      </c>
      <c r="P870" s="11">
        <v>6.9999999999999999E-4</v>
      </c>
      <c r="Q870" s="11">
        <f>0.114%</f>
        <v>1.14E-3</v>
      </c>
      <c r="R870" s="12">
        <f t="shared" si="281"/>
        <v>8.8850129530356287E-2</v>
      </c>
      <c r="S870" s="12">
        <f t="shared" si="282"/>
        <v>-0.11867631090705451</v>
      </c>
      <c r="T870" s="12">
        <f t="shared" si="283"/>
        <v>3.1262557604671642E-2</v>
      </c>
      <c r="U870" s="12">
        <f t="shared" si="255"/>
        <v>6.2195090671249395E-5</v>
      </c>
      <c r="V870" s="12">
        <f t="shared" si="248"/>
        <v>-8.3073417634938157E-5</v>
      </c>
      <c r="W870" s="12">
        <f t="shared" si="249"/>
        <v>2.1883790323270149E-5</v>
      </c>
      <c r="X870" s="12">
        <f t="shared" si="250"/>
        <v>1.0128914766460617E-4</v>
      </c>
      <c r="Y870" s="12">
        <f t="shared" si="251"/>
        <v>-1.3529099443404212E-4</v>
      </c>
      <c r="Z870" s="12">
        <f t="shared" si="252"/>
        <v>3.5639315669325669E-5</v>
      </c>
    </row>
    <row r="871" spans="1:26" ht="13">
      <c r="A871" s="24" t="str">
        <f t="shared" si="295"/>
        <v>STG</v>
      </c>
      <c r="B871" s="9">
        <v>2021</v>
      </c>
      <c r="C871" s="19">
        <v>246.65</v>
      </c>
      <c r="D871" s="19">
        <v>799.16</v>
      </c>
      <c r="E871" s="19">
        <v>2684.19</v>
      </c>
      <c r="F871" s="19">
        <v>996.62</v>
      </c>
      <c r="G871" s="19">
        <v>570.66</v>
      </c>
      <c r="H871" s="10">
        <f t="shared" si="284"/>
        <v>9.1889918373885604E-2</v>
      </c>
      <c r="I871" s="10">
        <f t="shared" si="285"/>
        <v>0.29772855125754882</v>
      </c>
      <c r="J871" s="10">
        <f t="shared" si="286"/>
        <v>1.7464339536676832</v>
      </c>
      <c r="K871" s="4">
        <f t="shared" si="296"/>
        <v>-3.0234376263291276</v>
      </c>
      <c r="L871" s="10">
        <f t="shared" si="297"/>
        <v>0.29772855125754882</v>
      </c>
      <c r="M871" s="25">
        <v>259.56</v>
      </c>
      <c r="N871" s="25">
        <v>-194.87</v>
      </c>
      <c r="O871" s="25">
        <v>-39.35</v>
      </c>
      <c r="P871" s="11">
        <v>1.1000000000000001E-3</v>
      </c>
      <c r="Q871" s="11">
        <f>0.087%</f>
        <v>8.699999999999999E-4</v>
      </c>
      <c r="R871" s="12">
        <f t="shared" si="281"/>
        <v>9.6699562996658203E-2</v>
      </c>
      <c r="S871" s="12">
        <f t="shared" si="282"/>
        <v>-7.2599182621200437E-2</v>
      </c>
      <c r="T871" s="12">
        <f t="shared" si="283"/>
        <v>-1.4659916026808833E-2</v>
      </c>
      <c r="U871" s="12">
        <f t="shared" si="255"/>
        <v>1.0636951929632402E-4</v>
      </c>
      <c r="V871" s="12">
        <f t="shared" si="248"/>
        <v>-7.9859100883320492E-5</v>
      </c>
      <c r="W871" s="12">
        <f t="shared" si="249"/>
        <v>-1.6125907629489716E-5</v>
      </c>
      <c r="X871" s="12">
        <f t="shared" si="250"/>
        <v>8.4128619807092631E-5</v>
      </c>
      <c r="Y871" s="12">
        <f t="shared" si="251"/>
        <v>-6.3161288880444374E-5</v>
      </c>
      <c r="Z871" s="12">
        <f t="shared" si="252"/>
        <v>-1.2754126943323683E-5</v>
      </c>
    </row>
    <row r="872" spans="1:26" ht="14">
      <c r="A872" s="31" t="s">
        <v>191</v>
      </c>
      <c r="B872" s="9">
        <v>2017</v>
      </c>
      <c r="C872" s="19">
        <v>99.62</v>
      </c>
      <c r="D872" s="19">
        <v>1199.8900000000001</v>
      </c>
      <c r="E872" s="19">
        <v>1978.54</v>
      </c>
      <c r="F872" s="19">
        <v>613.15</v>
      </c>
      <c r="G872" s="19">
        <v>732.36</v>
      </c>
      <c r="H872" s="10">
        <f t="shared" si="284"/>
        <v>5.0350258271250524E-2</v>
      </c>
      <c r="I872" s="10">
        <f t="shared" si="285"/>
        <v>0.60645223245423396</v>
      </c>
      <c r="J872" s="10">
        <f t="shared" si="286"/>
        <v>0.83722486208968261</v>
      </c>
      <c r="K872" s="4">
        <f t="shared" si="296"/>
        <v>-1.0731473366798525</v>
      </c>
      <c r="L872" s="10">
        <f t="shared" si="297"/>
        <v>0.60645223245423396</v>
      </c>
      <c r="M872" s="25">
        <v>305.74</v>
      </c>
      <c r="N872" s="25">
        <v>-27.13</v>
      </c>
      <c r="O872" s="25">
        <v>-248.63</v>
      </c>
      <c r="P872" s="11">
        <v>8.5999999999999993E-2</v>
      </c>
      <c r="Q872" s="11">
        <v>0.13900000000000001</v>
      </c>
      <c r="R872" s="12">
        <f t="shared" si="281"/>
        <v>0.15452808636671486</v>
      </c>
      <c r="S872" s="12">
        <f t="shared" si="282"/>
        <v>-1.3712131167426487E-2</v>
      </c>
      <c r="T872" s="12">
        <f t="shared" si="283"/>
        <v>-0.12566336793797447</v>
      </c>
      <c r="U872" s="12">
        <f t="shared" si="255"/>
        <v>1.3289415427537477E-2</v>
      </c>
      <c r="V872" s="12">
        <f t="shared" si="248"/>
        <v>-1.1792432803986778E-3</v>
      </c>
      <c r="W872" s="12">
        <f t="shared" si="249"/>
        <v>-1.0807049642665803E-2</v>
      </c>
      <c r="X872" s="12">
        <f t="shared" si="250"/>
        <v>2.1479404004973366E-2</v>
      </c>
      <c r="Y872" s="12">
        <f t="shared" si="251"/>
        <v>-1.9059862322722818E-3</v>
      </c>
      <c r="Z872" s="12">
        <f t="shared" si="252"/>
        <v>-1.7467208143378453E-2</v>
      </c>
    </row>
    <row r="873" spans="1:26" ht="13">
      <c r="A873" s="24" t="str">
        <f t="shared" ref="A873:A876" si="298">A872</f>
        <v>STK</v>
      </c>
      <c r="B873" s="9">
        <v>2018</v>
      </c>
      <c r="C873" s="19">
        <v>178.35</v>
      </c>
      <c r="D873" s="19">
        <v>1210.3800000000001</v>
      </c>
      <c r="E873" s="19">
        <v>2119.4299999999998</v>
      </c>
      <c r="F873" s="19">
        <v>804.31</v>
      </c>
      <c r="G873" s="19">
        <v>862.13</v>
      </c>
      <c r="H873" s="10">
        <f t="shared" si="284"/>
        <v>8.4149983722038482E-2</v>
      </c>
      <c r="I873" s="10">
        <f t="shared" si="285"/>
        <v>0.5710875093775214</v>
      </c>
      <c r="J873" s="10">
        <f t="shared" si="286"/>
        <v>0.93293354830477992</v>
      </c>
      <c r="K873" s="4">
        <f t="shared" si="296"/>
        <v>-1.4272078574905203</v>
      </c>
      <c r="L873" s="10">
        <f t="shared" si="297"/>
        <v>0.5710875093775214</v>
      </c>
      <c r="M873" s="25">
        <v>248.07</v>
      </c>
      <c r="N873" s="25">
        <v>-113.02</v>
      </c>
      <c r="O873" s="25">
        <v>-98.66</v>
      </c>
      <c r="P873" s="11">
        <v>6.8199999999999997E-2</v>
      </c>
      <c r="Q873" s="11">
        <v>0.13930000000000001</v>
      </c>
      <c r="R873" s="12">
        <f t="shared" si="281"/>
        <v>0.11704562075652417</v>
      </c>
      <c r="S873" s="12">
        <f t="shared" si="282"/>
        <v>-5.3325658313791921E-2</v>
      </c>
      <c r="T873" s="12">
        <f t="shared" si="283"/>
        <v>-4.6550251718622461E-2</v>
      </c>
      <c r="U873" s="12">
        <f t="shared" si="255"/>
        <v>7.9825113355949471E-3</v>
      </c>
      <c r="V873" s="12">
        <f t="shared" si="248"/>
        <v>-3.6368098970006087E-3</v>
      </c>
      <c r="W873" s="12">
        <f t="shared" si="249"/>
        <v>-3.1747271672100518E-3</v>
      </c>
      <c r="X873" s="12">
        <f t="shared" si="250"/>
        <v>1.6304454971383817E-2</v>
      </c>
      <c r="Y873" s="12">
        <f t="shared" si="251"/>
        <v>-7.4282642031112149E-3</v>
      </c>
      <c r="Z873" s="12">
        <f t="shared" si="252"/>
        <v>-6.4844500644041089E-3</v>
      </c>
    </row>
    <row r="874" spans="1:26" ht="13">
      <c r="A874" s="24" t="str">
        <f t="shared" si="298"/>
        <v>STK</v>
      </c>
      <c r="B874" s="9">
        <v>2019</v>
      </c>
      <c r="C874" s="19">
        <v>214.42</v>
      </c>
      <c r="D874" s="19">
        <v>988.15</v>
      </c>
      <c r="E874" s="19">
        <v>2071.27</v>
      </c>
      <c r="F874" s="19">
        <v>879.67</v>
      </c>
      <c r="G874" s="19">
        <v>823.67</v>
      </c>
      <c r="H874" s="10">
        <f t="shared" si="284"/>
        <v>0.10352102816146615</v>
      </c>
      <c r="I874" s="10">
        <f t="shared" si="285"/>
        <v>0.47707445190631836</v>
      </c>
      <c r="J874" s="10">
        <f t="shared" si="286"/>
        <v>1.0679883934099821</v>
      </c>
      <c r="K874" s="4">
        <f t="shared" si="296"/>
        <v>-2.0507922044342224</v>
      </c>
      <c r="L874" s="10">
        <f t="shared" si="297"/>
        <v>0.47707445190631836</v>
      </c>
      <c r="M874" s="25">
        <v>170.86</v>
      </c>
      <c r="N874" s="25">
        <v>-35.200000000000003</v>
      </c>
      <c r="O874" s="25">
        <v>-138.71</v>
      </c>
      <c r="P874" s="11">
        <v>0.06</v>
      </c>
      <c r="Q874" s="11">
        <f>Q873</f>
        <v>0.13930000000000001</v>
      </c>
      <c r="R874" s="12">
        <f t="shared" si="281"/>
        <v>8.2490452717414925E-2</v>
      </c>
      <c r="S874" s="12">
        <f t="shared" si="282"/>
        <v>-1.6994404399233321E-2</v>
      </c>
      <c r="T874" s="12">
        <f t="shared" si="283"/>
        <v>-6.6968574835728809E-2</v>
      </c>
      <c r="U874" s="12">
        <f t="shared" si="255"/>
        <v>4.9494271630448955E-3</v>
      </c>
      <c r="V874" s="12">
        <f t="shared" si="248"/>
        <v>-1.0196642639539993E-3</v>
      </c>
      <c r="W874" s="12">
        <f t="shared" si="249"/>
        <v>-4.0181144901437283E-3</v>
      </c>
      <c r="X874" s="12">
        <f t="shared" si="250"/>
        <v>1.14909200635359E-2</v>
      </c>
      <c r="Y874" s="12">
        <f t="shared" si="251"/>
        <v>-2.3673205328132016E-3</v>
      </c>
      <c r="Z874" s="12">
        <f t="shared" si="252"/>
        <v>-9.3287224746170239E-3</v>
      </c>
    </row>
    <row r="875" spans="1:26" ht="13">
      <c r="A875" s="24" t="str">
        <f t="shared" si="298"/>
        <v>STK</v>
      </c>
      <c r="B875" s="9">
        <v>2020</v>
      </c>
      <c r="C875" s="19">
        <v>144.36000000000001</v>
      </c>
      <c r="D875" s="19">
        <v>620.6</v>
      </c>
      <c r="E875" s="19">
        <v>1703.39</v>
      </c>
      <c r="F875" s="19">
        <v>633.37</v>
      </c>
      <c r="G875" s="19">
        <v>568.58000000000004</v>
      </c>
      <c r="H875" s="10">
        <f t="shared" si="284"/>
        <v>8.4748648283716588E-2</v>
      </c>
      <c r="I875" s="10">
        <f t="shared" si="285"/>
        <v>0.36433230205648737</v>
      </c>
      <c r="J875" s="10">
        <f t="shared" si="286"/>
        <v>1.1139505434591437</v>
      </c>
      <c r="K875" s="4">
        <f t="shared" si="296"/>
        <v>-2.6091305977285835</v>
      </c>
      <c r="L875" s="10">
        <f t="shared" si="297"/>
        <v>0.36433230205648737</v>
      </c>
      <c r="M875" s="25">
        <v>446.19</v>
      </c>
      <c r="N875" s="25">
        <v>41.14</v>
      </c>
      <c r="O875" s="25">
        <v>-542.51</v>
      </c>
      <c r="P875" s="11">
        <f t="shared" ref="P875:Q875" si="299">P874</f>
        <v>0.06</v>
      </c>
      <c r="Q875" s="11">
        <f t="shared" si="299"/>
        <v>0.13930000000000001</v>
      </c>
      <c r="R875" s="12">
        <f t="shared" si="281"/>
        <v>0.26194236199578486</v>
      </c>
      <c r="S875" s="12">
        <f t="shared" si="282"/>
        <v>2.4151838392851899E-2</v>
      </c>
      <c r="T875" s="12">
        <f t="shared" si="283"/>
        <v>-0.3184884260210521</v>
      </c>
      <c r="U875" s="12">
        <f t="shared" si="255"/>
        <v>1.5716541719747092E-2</v>
      </c>
      <c r="V875" s="12">
        <f t="shared" si="248"/>
        <v>1.449110303571114E-3</v>
      </c>
      <c r="W875" s="12">
        <f t="shared" si="249"/>
        <v>-1.9109305561263126E-2</v>
      </c>
      <c r="X875" s="12">
        <f t="shared" si="250"/>
        <v>3.6488571026012835E-2</v>
      </c>
      <c r="Y875" s="12">
        <f t="shared" si="251"/>
        <v>3.3643510881242698E-3</v>
      </c>
      <c r="Z875" s="12">
        <f t="shared" si="252"/>
        <v>-4.4365437744732561E-2</v>
      </c>
    </row>
    <row r="876" spans="1:26" ht="13">
      <c r="A876" s="24" t="str">
        <f t="shared" si="298"/>
        <v>STK</v>
      </c>
      <c r="B876" s="9">
        <v>2021</v>
      </c>
      <c r="C876" s="19">
        <v>278.48</v>
      </c>
      <c r="D876" s="19">
        <v>712.15</v>
      </c>
      <c r="E876" s="19">
        <v>1971.14</v>
      </c>
      <c r="F876" s="19">
        <v>986.23</v>
      </c>
      <c r="G876" s="19">
        <v>711.87</v>
      </c>
      <c r="H876" s="10">
        <f t="shared" si="284"/>
        <v>0.14127865093296266</v>
      </c>
      <c r="I876" s="10">
        <f t="shared" si="285"/>
        <v>0.36128839148918895</v>
      </c>
      <c r="J876" s="10">
        <f t="shared" si="286"/>
        <v>1.3854074479890992</v>
      </c>
      <c r="K876" s="4">
        <f t="shared" si="296"/>
        <v>-2.8819517275019111</v>
      </c>
      <c r="L876" s="10">
        <f t="shared" si="297"/>
        <v>0.36128839148918895</v>
      </c>
      <c r="M876" s="25">
        <v>290.14</v>
      </c>
      <c r="N876" s="25">
        <v>30.45</v>
      </c>
      <c r="O876" s="25">
        <v>-50.04</v>
      </c>
      <c r="P876" s="11">
        <v>0.1323</v>
      </c>
      <c r="Q876" s="11">
        <v>0.137984</v>
      </c>
      <c r="R876" s="12">
        <f t="shared" si="281"/>
        <v>0.14719400955792078</v>
      </c>
      <c r="S876" s="12">
        <f t="shared" si="282"/>
        <v>1.5447913390220886E-2</v>
      </c>
      <c r="T876" s="12">
        <f t="shared" si="283"/>
        <v>-2.5386324664914719E-2</v>
      </c>
      <c r="U876" s="12">
        <f t="shared" si="255"/>
        <v>1.9473767464512921E-2</v>
      </c>
      <c r="V876" s="12">
        <f t="shared" si="248"/>
        <v>2.043758941526223E-3</v>
      </c>
      <c r="W876" s="12">
        <f t="shared" si="249"/>
        <v>-3.3586107531682172E-3</v>
      </c>
      <c r="X876" s="12">
        <f t="shared" si="250"/>
        <v>2.0310418214840139E-2</v>
      </c>
      <c r="Y876" s="12">
        <f t="shared" si="251"/>
        <v>2.1315648812362388E-3</v>
      </c>
      <c r="Z876" s="12">
        <f t="shared" si="252"/>
        <v>-3.5029066225635923E-3</v>
      </c>
    </row>
    <row r="877" spans="1:26" ht="14">
      <c r="A877" s="35" t="s">
        <v>192</v>
      </c>
      <c r="B877" s="9">
        <v>2017</v>
      </c>
      <c r="C877" s="19">
        <v>66.260000000000005</v>
      </c>
      <c r="D877" s="19">
        <v>583.37</v>
      </c>
      <c r="E877" s="19">
        <v>936.96</v>
      </c>
      <c r="F877" s="19">
        <v>689.93</v>
      </c>
      <c r="G877" s="19">
        <v>533.97</v>
      </c>
      <c r="H877" s="10">
        <f t="shared" si="284"/>
        <v>7.0718066939890717E-2</v>
      </c>
      <c r="I877" s="10">
        <f t="shared" si="285"/>
        <v>0.62261996243169393</v>
      </c>
      <c r="J877" s="10">
        <f t="shared" si="286"/>
        <v>1.2920763338764349</v>
      </c>
      <c r="K877" s="4">
        <f t="shared" si="296"/>
        <v>-1.074465820704358</v>
      </c>
      <c r="L877" s="10">
        <f t="shared" si="297"/>
        <v>0.62261996243169393</v>
      </c>
      <c r="M877" s="25">
        <v>67.3</v>
      </c>
      <c r="N877" s="25">
        <v>-57.23</v>
      </c>
      <c r="O877" s="26">
        <v>6.07</v>
      </c>
      <c r="P877" s="27">
        <v>7.9799999999999996E-2</v>
      </c>
      <c r="Q877" s="11">
        <v>1.0970000000000001E-2</v>
      </c>
      <c r="R877" s="12">
        <f t="shared" si="281"/>
        <v>7.1828039617486336E-2</v>
      </c>
      <c r="S877" s="12">
        <f t="shared" si="282"/>
        <v>-6.1080515710382505E-2</v>
      </c>
      <c r="T877" s="12">
        <f t="shared" si="283"/>
        <v>6.4783982240437157E-3</v>
      </c>
      <c r="U877" s="12">
        <f t="shared" si="255"/>
        <v>5.7318775614754094E-3</v>
      </c>
      <c r="V877" s="12">
        <f t="shared" si="248"/>
        <v>-4.874225153688524E-3</v>
      </c>
      <c r="W877" s="12">
        <f t="shared" si="249"/>
        <v>5.1697617827868852E-4</v>
      </c>
      <c r="X877" s="12">
        <f t="shared" si="250"/>
        <v>7.8795359460382514E-4</v>
      </c>
      <c r="Y877" s="12">
        <f t="shared" si="251"/>
        <v>-6.7005325734289611E-4</v>
      </c>
      <c r="Z877" s="12">
        <f t="shared" si="252"/>
        <v>7.106802851775957E-5</v>
      </c>
    </row>
    <row r="878" spans="1:26" ht="13">
      <c r="A878" s="24" t="str">
        <f t="shared" ref="A878:A881" si="300">A877</f>
        <v>SVI</v>
      </c>
      <c r="B878" s="9">
        <v>2018</v>
      </c>
      <c r="C878" s="19">
        <v>61.21</v>
      </c>
      <c r="D878" s="19">
        <v>583.22</v>
      </c>
      <c r="E878" s="19">
        <v>922.93</v>
      </c>
      <c r="F878" s="19">
        <v>641.04999999999995</v>
      </c>
      <c r="G878" s="19">
        <v>541.5</v>
      </c>
      <c r="H878" s="10">
        <f t="shared" si="284"/>
        <v>6.6321389487826815E-2</v>
      </c>
      <c r="I878" s="10">
        <f t="shared" si="285"/>
        <v>0.63192224762441362</v>
      </c>
      <c r="J878" s="10">
        <f t="shared" si="286"/>
        <v>1.1838411819021237</v>
      </c>
      <c r="K878" s="4">
        <f t="shared" si="296"/>
        <v>-1.0012248059636712</v>
      </c>
      <c r="L878" s="10">
        <f t="shared" si="297"/>
        <v>0.63192224762441362</v>
      </c>
      <c r="M878" s="25">
        <v>57.8</v>
      </c>
      <c r="N878" s="25">
        <v>-6.62</v>
      </c>
      <c r="O878" s="25">
        <v>-68.510000000000005</v>
      </c>
      <c r="P878" s="27">
        <v>0.1236</v>
      </c>
      <c r="Q878" s="11">
        <f>Q877</f>
        <v>1.0970000000000001E-2</v>
      </c>
      <c r="R878" s="12">
        <f t="shared" si="281"/>
        <v>6.2626634739362683E-2</v>
      </c>
      <c r="S878" s="12">
        <f t="shared" si="282"/>
        <v>-7.1728083386605711E-3</v>
      </c>
      <c r="T878" s="12">
        <f t="shared" si="283"/>
        <v>-7.4230981764597539E-2</v>
      </c>
      <c r="U878" s="12">
        <f t="shared" si="255"/>
        <v>7.7406520537852278E-3</v>
      </c>
      <c r="V878" s="12">
        <f t="shared" si="248"/>
        <v>-8.8655911065844658E-4</v>
      </c>
      <c r="W878" s="12">
        <f t="shared" si="249"/>
        <v>-9.1749493461042563E-3</v>
      </c>
      <c r="X878" s="12">
        <f t="shared" si="250"/>
        <v>6.8701418309080869E-4</v>
      </c>
      <c r="Y878" s="12">
        <f t="shared" si="251"/>
        <v>-7.8685707475106462E-5</v>
      </c>
      <c r="Z878" s="12">
        <f t="shared" si="252"/>
        <v>-8.14313869957635E-4</v>
      </c>
    </row>
    <row r="879" spans="1:26" ht="13">
      <c r="A879" s="24" t="str">
        <f t="shared" si="300"/>
        <v>SVI</v>
      </c>
      <c r="B879" s="9">
        <v>2019</v>
      </c>
      <c r="C879" s="19">
        <v>141.25</v>
      </c>
      <c r="D879" s="19">
        <v>440.49</v>
      </c>
      <c r="E879" s="19">
        <v>904.5</v>
      </c>
      <c r="F879" s="19">
        <v>576.23</v>
      </c>
      <c r="G879" s="19">
        <v>373.62</v>
      </c>
      <c r="H879" s="10">
        <f t="shared" si="284"/>
        <v>0.15616362631288006</v>
      </c>
      <c r="I879" s="10">
        <f t="shared" si="285"/>
        <v>0.48699834162520733</v>
      </c>
      <c r="J879" s="10">
        <f t="shared" si="286"/>
        <v>1.5422889566939673</v>
      </c>
      <c r="K879" s="4">
        <f t="shared" si="296"/>
        <v>-2.233014926971054</v>
      </c>
      <c r="L879" s="10">
        <f t="shared" si="297"/>
        <v>0.48699834162520733</v>
      </c>
      <c r="M879" s="25">
        <v>238.64</v>
      </c>
      <c r="N879" s="25">
        <v>-89.22</v>
      </c>
      <c r="O879" s="25">
        <v>-106.56</v>
      </c>
      <c r="P879" s="11">
        <v>5.6099999999999997E-2</v>
      </c>
      <c r="Q879" s="11">
        <f>0.090193%</f>
        <v>9.0193000000000001E-4</v>
      </c>
      <c r="R879" s="12">
        <f t="shared" si="281"/>
        <v>0.26383637368711993</v>
      </c>
      <c r="S879" s="12">
        <f t="shared" si="282"/>
        <v>-9.8640132669983421E-2</v>
      </c>
      <c r="T879" s="12">
        <f t="shared" si="283"/>
        <v>-0.11781094527363184</v>
      </c>
      <c r="U879" s="12">
        <f t="shared" si="255"/>
        <v>1.4801220563847427E-2</v>
      </c>
      <c r="V879" s="12">
        <f t="shared" si="248"/>
        <v>-5.5337114427860693E-3</v>
      </c>
      <c r="W879" s="12">
        <f t="shared" si="249"/>
        <v>-6.6091940298507457E-3</v>
      </c>
      <c r="X879" s="12">
        <f t="shared" si="250"/>
        <v>2.3796194051962409E-4</v>
      </c>
      <c r="Y879" s="12">
        <f t="shared" si="251"/>
        <v>-8.8966494859038148E-5</v>
      </c>
      <c r="Z879" s="12">
        <f t="shared" si="252"/>
        <v>-1.0625722587064677E-4</v>
      </c>
    </row>
    <row r="880" spans="1:26" ht="13">
      <c r="A880" s="24" t="str">
        <f t="shared" si="300"/>
        <v>SVI</v>
      </c>
      <c r="B880" s="9">
        <v>2020</v>
      </c>
      <c r="C880" s="19">
        <v>146.30000000000001</v>
      </c>
      <c r="D880" s="19">
        <v>521.97</v>
      </c>
      <c r="E880" s="19">
        <v>1089.05</v>
      </c>
      <c r="F880" s="19">
        <v>738.4</v>
      </c>
      <c r="G880" s="19">
        <v>489.64</v>
      </c>
      <c r="H880" s="10">
        <f t="shared" si="284"/>
        <v>0.13433726642486574</v>
      </c>
      <c r="I880" s="10">
        <f t="shared" si="285"/>
        <v>0.479289288829714</v>
      </c>
      <c r="J880" s="10">
        <f t="shared" si="286"/>
        <v>1.5080467282084797</v>
      </c>
      <c r="K880" s="4">
        <f t="shared" si="296"/>
        <v>-2.1786009394953596</v>
      </c>
      <c r="L880" s="10">
        <f t="shared" si="297"/>
        <v>0.479289288829714</v>
      </c>
      <c r="M880" s="25">
        <v>117.26</v>
      </c>
      <c r="N880" s="25">
        <v>-188.79</v>
      </c>
      <c r="O880" s="26">
        <v>20.5</v>
      </c>
      <c r="P880" s="11">
        <v>0.94740000000000002</v>
      </c>
      <c r="Q880" s="11">
        <v>0</v>
      </c>
      <c r="R880" s="12">
        <f t="shared" si="281"/>
        <v>0.10767182406684726</v>
      </c>
      <c r="S880" s="12">
        <f t="shared" si="282"/>
        <v>-0.17335292227170471</v>
      </c>
      <c r="T880" s="12">
        <f t="shared" si="283"/>
        <v>1.8823745466232038E-2</v>
      </c>
      <c r="U880" s="12">
        <f t="shared" si="255"/>
        <v>0.1020082861209311</v>
      </c>
      <c r="V880" s="12">
        <f t="shared" si="248"/>
        <v>-0.16423455856021305</v>
      </c>
      <c r="W880" s="12">
        <f t="shared" si="249"/>
        <v>1.7833616454708233E-2</v>
      </c>
      <c r="X880" s="12">
        <f t="shared" si="250"/>
        <v>0</v>
      </c>
      <c r="Y880" s="12">
        <f t="shared" si="251"/>
        <v>0</v>
      </c>
      <c r="Z880" s="12">
        <f t="shared" si="252"/>
        <v>0</v>
      </c>
    </row>
    <row r="881" spans="1:26" ht="13">
      <c r="A881" s="24" t="str">
        <f t="shared" si="300"/>
        <v>SVI</v>
      </c>
      <c r="B881" s="9">
        <v>2021</v>
      </c>
      <c r="C881" s="19">
        <v>92.12</v>
      </c>
      <c r="D881" s="19">
        <v>526.17999999999995</v>
      </c>
      <c r="E881" s="19">
        <v>1160.05</v>
      </c>
      <c r="F881" s="19">
        <v>848.19</v>
      </c>
      <c r="G881" s="19">
        <v>512.96</v>
      </c>
      <c r="H881" s="10">
        <f t="shared" si="284"/>
        <v>7.9410370242661968E-2</v>
      </c>
      <c r="I881" s="10">
        <f t="shared" si="285"/>
        <v>0.45358389724580833</v>
      </c>
      <c r="J881" s="10">
        <f t="shared" si="286"/>
        <v>1.6535207423580787</v>
      </c>
      <c r="K881" s="4">
        <f t="shared" si="296"/>
        <v>-2.0785325347603032</v>
      </c>
      <c r="L881" s="10">
        <f t="shared" si="297"/>
        <v>0.45358389724580833</v>
      </c>
      <c r="M881" s="25">
        <v>120.61</v>
      </c>
      <c r="N881" s="25">
        <v>17.21</v>
      </c>
      <c r="O881" s="25">
        <v>-105.66</v>
      </c>
      <c r="P881" s="27">
        <v>0.94779999999999998</v>
      </c>
      <c r="Q881" s="11">
        <v>0</v>
      </c>
      <c r="R881" s="12">
        <f t="shared" si="281"/>
        <v>0.10396965648032412</v>
      </c>
      <c r="S881" s="12">
        <f t="shared" si="282"/>
        <v>1.4835567432438258E-2</v>
      </c>
      <c r="T881" s="12">
        <f t="shared" si="283"/>
        <v>-9.1082280936166549E-2</v>
      </c>
      <c r="U881" s="12">
        <f t="shared" si="255"/>
        <v>9.8542440412051194E-2</v>
      </c>
      <c r="V881" s="12">
        <f t="shared" si="248"/>
        <v>1.406115081246498E-2</v>
      </c>
      <c r="W881" s="12">
        <f t="shared" si="249"/>
        <v>-8.6327785871298648E-2</v>
      </c>
      <c r="X881" s="12">
        <f t="shared" si="250"/>
        <v>0</v>
      </c>
      <c r="Y881" s="12">
        <f t="shared" si="251"/>
        <v>0</v>
      </c>
      <c r="Z881" s="12">
        <f t="shared" si="252"/>
        <v>0</v>
      </c>
    </row>
    <row r="882" spans="1:26" ht="14">
      <c r="A882" s="36" t="s">
        <v>193</v>
      </c>
      <c r="B882" s="9">
        <v>2017</v>
      </c>
      <c r="C882" s="19">
        <v>3.64</v>
      </c>
      <c r="D882" s="19">
        <v>0.97</v>
      </c>
      <c r="E882" s="19">
        <v>129.01</v>
      </c>
      <c r="F882" s="19">
        <v>25.7</v>
      </c>
      <c r="G882" s="19">
        <v>0.97</v>
      </c>
      <c r="H882" s="10">
        <f t="shared" si="284"/>
        <v>2.821486706456864E-2</v>
      </c>
      <c r="I882" s="10">
        <f t="shared" si="285"/>
        <v>7.5187969924812035E-3</v>
      </c>
      <c r="J882" s="10">
        <f t="shared" si="286"/>
        <v>26.494845360824741</v>
      </c>
      <c r="K882" s="4">
        <f t="shared" si="296"/>
        <v>-4.4900891403767149</v>
      </c>
      <c r="L882" s="10">
        <f t="shared" si="297"/>
        <v>7.5187969924812035E-3</v>
      </c>
      <c r="M882" s="25">
        <v>-1.02</v>
      </c>
      <c r="N882" s="26">
        <v>1.0900000000000001</v>
      </c>
      <c r="O882" s="25">
        <v>0</v>
      </c>
      <c r="P882" s="11">
        <v>1E-4</v>
      </c>
      <c r="Q882" s="11">
        <v>4.65E-2</v>
      </c>
      <c r="R882" s="12">
        <f t="shared" si="281"/>
        <v>-7.9063638477637407E-3</v>
      </c>
      <c r="S882" s="12">
        <f t="shared" si="282"/>
        <v>8.4489574451592914E-3</v>
      </c>
      <c r="T882" s="12">
        <f t="shared" si="283"/>
        <v>0</v>
      </c>
      <c r="U882" s="12">
        <f t="shared" si="255"/>
        <v>-7.9063638477637415E-7</v>
      </c>
      <c r="V882" s="12">
        <f t="shared" si="248"/>
        <v>8.4489574451592922E-7</v>
      </c>
      <c r="W882" s="12">
        <f t="shared" si="249"/>
        <v>0</v>
      </c>
      <c r="X882" s="12">
        <f t="shared" si="250"/>
        <v>-3.6764591892101393E-4</v>
      </c>
      <c r="Y882" s="12">
        <f t="shared" si="251"/>
        <v>3.9287652119990703E-4</v>
      </c>
      <c r="Z882" s="12">
        <f t="shared" si="252"/>
        <v>0</v>
      </c>
    </row>
    <row r="883" spans="1:26" ht="13">
      <c r="A883" s="24" t="str">
        <f t="shared" ref="A883:A886" si="301">A882</f>
        <v>SVT</v>
      </c>
      <c r="B883" s="9">
        <v>2018</v>
      </c>
      <c r="C883" s="19">
        <v>4.1900000000000004</v>
      </c>
      <c r="D883" s="19">
        <v>0.76</v>
      </c>
      <c r="E883" s="19">
        <v>132.9</v>
      </c>
      <c r="F883" s="19">
        <v>18.05</v>
      </c>
      <c r="G883" s="19">
        <v>0.76</v>
      </c>
      <c r="H883" s="10">
        <f t="shared" si="284"/>
        <v>3.1527464258841238E-2</v>
      </c>
      <c r="I883" s="10">
        <f t="shared" si="285"/>
        <v>5.7185854025583139E-3</v>
      </c>
      <c r="J883" s="10">
        <f t="shared" si="286"/>
        <v>23.75</v>
      </c>
      <c r="K883" s="4">
        <f t="shared" si="296"/>
        <v>-4.5042776523702033</v>
      </c>
      <c r="L883" s="10">
        <f t="shared" si="297"/>
        <v>5.7185854025583139E-3</v>
      </c>
      <c r="M883" s="25">
        <v>7.94</v>
      </c>
      <c r="N883" s="25">
        <v>-7.89</v>
      </c>
      <c r="O883" s="25">
        <v>0</v>
      </c>
      <c r="P883" s="11">
        <f t="shared" ref="P883:Q883" si="302">P882</f>
        <v>1E-4</v>
      </c>
      <c r="Q883" s="11">
        <f t="shared" si="302"/>
        <v>4.65E-2</v>
      </c>
      <c r="R883" s="12">
        <f t="shared" si="281"/>
        <v>5.9744168547780287E-2</v>
      </c>
      <c r="S883" s="12">
        <f t="shared" si="282"/>
        <v>-5.9367945823927758E-2</v>
      </c>
      <c r="T883" s="12">
        <f t="shared" si="283"/>
        <v>0</v>
      </c>
      <c r="U883" s="12">
        <f t="shared" si="255"/>
        <v>5.9744168547780288E-6</v>
      </c>
      <c r="V883" s="12">
        <f t="shared" si="248"/>
        <v>-5.9367945823927756E-6</v>
      </c>
      <c r="W883" s="12">
        <f t="shared" si="249"/>
        <v>0</v>
      </c>
      <c r="X883" s="12">
        <f t="shared" si="250"/>
        <v>2.7781038374717834E-3</v>
      </c>
      <c r="Y883" s="12">
        <f t="shared" si="251"/>
        <v>-2.7606094808126408E-3</v>
      </c>
      <c r="Z883" s="12">
        <f t="shared" si="252"/>
        <v>0</v>
      </c>
    </row>
    <row r="884" spans="1:26" ht="13">
      <c r="A884" s="24" t="str">
        <f t="shared" si="301"/>
        <v>SVT</v>
      </c>
      <c r="B884" s="9">
        <v>2019</v>
      </c>
      <c r="C884" s="19">
        <v>10.43</v>
      </c>
      <c r="D884" s="19">
        <v>0.38</v>
      </c>
      <c r="E884" s="19">
        <v>142.78</v>
      </c>
      <c r="F884" s="19">
        <v>16.420000000000002</v>
      </c>
      <c r="G884" s="19">
        <v>0.38</v>
      </c>
      <c r="H884" s="10">
        <f t="shared" si="284"/>
        <v>7.3049446701218657E-2</v>
      </c>
      <c r="I884" s="10">
        <f t="shared" si="285"/>
        <v>2.6614371760750807E-3</v>
      </c>
      <c r="J884" s="10">
        <f t="shared" si="286"/>
        <v>43.21052631578948</v>
      </c>
      <c r="K884" s="4">
        <f t="shared" si="296"/>
        <v>-4.7863944235150147</v>
      </c>
      <c r="L884" s="10">
        <f t="shared" si="297"/>
        <v>2.6614371760750807E-3</v>
      </c>
      <c r="M884" s="25">
        <v>5.46</v>
      </c>
      <c r="N884" s="25">
        <v>-5.53</v>
      </c>
      <c r="O884" s="25">
        <v>0</v>
      </c>
      <c r="P884" s="11">
        <v>0</v>
      </c>
      <c r="Q884" s="11">
        <f>Q883</f>
        <v>4.65E-2</v>
      </c>
      <c r="R884" s="12">
        <f t="shared" si="281"/>
        <v>3.8240649950973524E-2</v>
      </c>
      <c r="S884" s="12">
        <f t="shared" si="282"/>
        <v>-3.8730914693934727E-2</v>
      </c>
      <c r="T884" s="12">
        <f t="shared" si="283"/>
        <v>0</v>
      </c>
      <c r="U884" s="12">
        <f t="shared" si="255"/>
        <v>0</v>
      </c>
      <c r="V884" s="12">
        <f t="shared" si="248"/>
        <v>0</v>
      </c>
      <c r="W884" s="12">
        <f t="shared" si="249"/>
        <v>0</v>
      </c>
      <c r="X884" s="12">
        <f t="shared" si="250"/>
        <v>1.7781902227202689E-3</v>
      </c>
      <c r="Y884" s="12">
        <f t="shared" si="251"/>
        <v>-1.8009875332679647E-3</v>
      </c>
      <c r="Z884" s="12">
        <f t="shared" si="252"/>
        <v>0</v>
      </c>
    </row>
    <row r="885" spans="1:26" ht="13">
      <c r="A885" s="24" t="str">
        <f t="shared" si="301"/>
        <v>SVT</v>
      </c>
      <c r="B885" s="9">
        <v>2020</v>
      </c>
      <c r="C885" s="19">
        <v>31.7</v>
      </c>
      <c r="D885" s="19">
        <v>1.21</v>
      </c>
      <c r="E885" s="19">
        <v>175.1</v>
      </c>
      <c r="F885" s="19">
        <v>48.61</v>
      </c>
      <c r="G885" s="19">
        <v>1.21</v>
      </c>
      <c r="H885" s="10">
        <f t="shared" si="284"/>
        <v>0.1810394060536836</v>
      </c>
      <c r="I885" s="10">
        <f t="shared" si="285"/>
        <v>6.9103369503141065E-3</v>
      </c>
      <c r="J885" s="10">
        <f t="shared" si="286"/>
        <v>40.173553719008268</v>
      </c>
      <c r="K885" s="4">
        <f t="shared" si="296"/>
        <v>-5.2359826215008187</v>
      </c>
      <c r="L885" s="10">
        <f t="shared" si="297"/>
        <v>6.9103369503141065E-3</v>
      </c>
      <c r="M885" s="26">
        <v>8.0399999999999991</v>
      </c>
      <c r="N885" s="25">
        <v>2.4900000000000002</v>
      </c>
      <c r="O885" s="25">
        <v>0</v>
      </c>
      <c r="P885" s="11">
        <f>P884</f>
        <v>0</v>
      </c>
      <c r="Q885" s="11">
        <v>4.2900000000000001E-2</v>
      </c>
      <c r="R885" s="12">
        <f t="shared" si="281"/>
        <v>4.591661907481439E-2</v>
      </c>
      <c r="S885" s="12">
        <f t="shared" si="282"/>
        <v>1.4220445459737295E-2</v>
      </c>
      <c r="T885" s="12">
        <f t="shared" si="283"/>
        <v>0</v>
      </c>
      <c r="U885" s="12">
        <f t="shared" si="255"/>
        <v>0</v>
      </c>
      <c r="V885" s="12">
        <f t="shared" si="248"/>
        <v>0</v>
      </c>
      <c r="W885" s="12">
        <f t="shared" si="249"/>
        <v>0</v>
      </c>
      <c r="X885" s="12">
        <f t="shared" si="250"/>
        <v>1.9698229583095372E-3</v>
      </c>
      <c r="Y885" s="12">
        <f t="shared" si="251"/>
        <v>6.1005711022272993E-4</v>
      </c>
      <c r="Z885" s="12">
        <f t="shared" si="252"/>
        <v>0</v>
      </c>
    </row>
    <row r="886" spans="1:26" ht="13">
      <c r="A886" s="24" t="str">
        <f t="shared" si="301"/>
        <v>SVT</v>
      </c>
      <c r="B886" s="9">
        <v>2021</v>
      </c>
      <c r="C886" s="19">
        <v>34.090000000000003</v>
      </c>
      <c r="D886" s="19">
        <v>1.26</v>
      </c>
      <c r="E886" s="19">
        <v>185.44</v>
      </c>
      <c r="F886" s="19">
        <v>48.9</v>
      </c>
      <c r="G886" s="19">
        <v>1.26</v>
      </c>
      <c r="H886" s="10">
        <f t="shared" si="284"/>
        <v>0.1838330457290768</v>
      </c>
      <c r="I886" s="10">
        <f t="shared" si="285"/>
        <v>6.7946505608283006E-3</v>
      </c>
      <c r="J886" s="10">
        <f t="shared" si="286"/>
        <v>38.80952380952381</v>
      </c>
      <c r="K886" s="4">
        <f t="shared" si="296"/>
        <v>-5.2437572928222194</v>
      </c>
      <c r="L886" s="10">
        <f t="shared" si="297"/>
        <v>6.7946505608283006E-3</v>
      </c>
      <c r="M886" s="25">
        <v>16.59</v>
      </c>
      <c r="N886" s="25">
        <v>-4.3099999999999996</v>
      </c>
      <c r="O886" s="25">
        <v>-23.16</v>
      </c>
      <c r="P886" s="11">
        <f>7.21*10^-3/100</f>
        <v>7.2100000000000004E-5</v>
      </c>
      <c r="Q886" s="11">
        <f>Q885</f>
        <v>4.2900000000000001E-2</v>
      </c>
      <c r="R886" s="12">
        <f t="shared" si="281"/>
        <v>8.9462899050905959E-2</v>
      </c>
      <c r="S886" s="12">
        <f t="shared" si="282"/>
        <v>-2.324201898188093E-2</v>
      </c>
      <c r="T886" s="12">
        <f t="shared" si="283"/>
        <v>-0.12489214840379638</v>
      </c>
      <c r="U886" s="12">
        <f t="shared" si="255"/>
        <v>6.4502750215703198E-6</v>
      </c>
      <c r="V886" s="12">
        <f t="shared" si="248"/>
        <v>-1.6757495685936152E-6</v>
      </c>
      <c r="W886" s="12">
        <f t="shared" si="249"/>
        <v>-9.0047238999137189E-6</v>
      </c>
      <c r="X886" s="12">
        <f t="shared" si="250"/>
        <v>3.8379583692838655E-3</v>
      </c>
      <c r="Y886" s="12">
        <f t="shared" si="251"/>
        <v>-9.9708261432269194E-4</v>
      </c>
      <c r="Z886" s="12">
        <f t="shared" si="252"/>
        <v>-5.3578731665228649E-3</v>
      </c>
    </row>
    <row r="887" spans="1:26" ht="13">
      <c r="A887" s="24" t="s">
        <v>194</v>
      </c>
      <c r="B887" s="9">
        <v>2017</v>
      </c>
      <c r="C887" s="19">
        <v>89.04</v>
      </c>
      <c r="D887" s="19">
        <v>987.6</v>
      </c>
      <c r="E887" s="19">
        <v>1515.75</v>
      </c>
      <c r="F887" s="19">
        <v>669.11</v>
      </c>
      <c r="G887" s="19">
        <v>94.77</v>
      </c>
      <c r="H887" s="10">
        <f t="shared" si="284"/>
        <v>5.8743196437407226E-2</v>
      </c>
      <c r="I887" s="10">
        <f t="shared" si="285"/>
        <v>0.65155863433943595</v>
      </c>
      <c r="J887" s="10">
        <f t="shared" si="286"/>
        <v>7.0603566529492463</v>
      </c>
      <c r="K887" s="4">
        <f t="shared" si="296"/>
        <v>-0.87870159484534405</v>
      </c>
      <c r="L887" s="10">
        <f t="shared" si="297"/>
        <v>0.65155863433943595</v>
      </c>
      <c r="M887" s="25">
        <v>60.73</v>
      </c>
      <c r="N887" s="25">
        <v>-97.51</v>
      </c>
      <c r="O887" s="25">
        <v>-66.849999999999994</v>
      </c>
      <c r="P887" s="27">
        <v>0.1613</v>
      </c>
      <c r="Q887" s="11">
        <v>1.1999999999999999E-3</v>
      </c>
      <c r="R887" s="12">
        <f t="shared" si="281"/>
        <v>4.0065973940293584E-2</v>
      </c>
      <c r="S887" s="12">
        <f t="shared" si="282"/>
        <v>-6.4331189180273793E-2</v>
      </c>
      <c r="T887" s="12">
        <f t="shared" si="283"/>
        <v>-4.4103579086260926E-2</v>
      </c>
      <c r="U887" s="12">
        <f t="shared" si="255"/>
        <v>6.4626415965693554E-3</v>
      </c>
      <c r="V887" s="12">
        <f t="shared" si="248"/>
        <v>-1.0376620814778163E-2</v>
      </c>
      <c r="W887" s="12">
        <f t="shared" si="249"/>
        <v>-7.1139073066138871E-3</v>
      </c>
      <c r="X887" s="12">
        <f t="shared" si="250"/>
        <v>4.8079168728352299E-5</v>
      </c>
      <c r="Y887" s="12">
        <f t="shared" si="251"/>
        <v>-7.7197427016328547E-5</v>
      </c>
      <c r="Z887" s="12">
        <f t="shared" si="252"/>
        <v>-5.2924294903513105E-5</v>
      </c>
    </row>
    <row r="888" spans="1:26" ht="13">
      <c r="A888" s="24" t="str">
        <f t="shared" ref="A888:A891" si="303">A887</f>
        <v>SZL</v>
      </c>
      <c r="B888" s="9">
        <v>2018</v>
      </c>
      <c r="C888" s="19">
        <v>109.07</v>
      </c>
      <c r="D888" s="19">
        <v>1020.29</v>
      </c>
      <c r="E888" s="19">
        <v>1599.24</v>
      </c>
      <c r="F888" s="19">
        <v>701.35</v>
      </c>
      <c r="G888" s="19">
        <v>123.04</v>
      </c>
      <c r="H888" s="10">
        <f t="shared" si="284"/>
        <v>6.8201145544133465E-2</v>
      </c>
      <c r="I888" s="10">
        <f t="shared" si="285"/>
        <v>0.63798429253895594</v>
      </c>
      <c r="J888" s="10">
        <f t="shared" si="286"/>
        <v>5.7001788036410925</v>
      </c>
      <c r="K888" s="4">
        <f t="shared" si="296"/>
        <v>-0.99319540269111628</v>
      </c>
      <c r="L888" s="10">
        <f t="shared" si="297"/>
        <v>0.63798429253895594</v>
      </c>
      <c r="M888" s="25">
        <v>166.28</v>
      </c>
      <c r="N888" s="25">
        <v>-63.72</v>
      </c>
      <c r="O888" s="25">
        <v>-47.06</v>
      </c>
      <c r="P888" s="11">
        <v>0.16689999999999999</v>
      </c>
      <c r="Q888" s="11">
        <f t="shared" ref="Q888:Q889" si="304">Q887</f>
        <v>1.1999999999999999E-3</v>
      </c>
      <c r="R888" s="12">
        <f t="shared" si="281"/>
        <v>0.10397438783422125</v>
      </c>
      <c r="S888" s="12">
        <f t="shared" si="282"/>
        <v>-3.9843925864785773E-2</v>
      </c>
      <c r="T888" s="12">
        <f t="shared" si="283"/>
        <v>-2.9426477576849006E-2</v>
      </c>
      <c r="U888" s="12">
        <f t="shared" si="255"/>
        <v>1.7353325329531526E-2</v>
      </c>
      <c r="V888" s="12">
        <f t="shared" si="248"/>
        <v>-6.6499512268327456E-3</v>
      </c>
      <c r="W888" s="12">
        <f t="shared" si="249"/>
        <v>-4.9112791075760992E-3</v>
      </c>
      <c r="X888" s="12">
        <f t="shared" si="250"/>
        <v>1.2476926540106549E-4</v>
      </c>
      <c r="Y888" s="12">
        <f t="shared" si="251"/>
        <v>-4.7812711037742921E-5</v>
      </c>
      <c r="Z888" s="12">
        <f t="shared" si="252"/>
        <v>-3.5311773092218804E-5</v>
      </c>
    </row>
    <row r="889" spans="1:26" ht="13">
      <c r="A889" s="24" t="str">
        <f t="shared" si="303"/>
        <v>SZL</v>
      </c>
      <c r="B889" s="9">
        <v>2019</v>
      </c>
      <c r="C889" s="19">
        <v>102.95</v>
      </c>
      <c r="D889" s="19">
        <v>930.18</v>
      </c>
      <c r="E889" s="19">
        <v>1637.04</v>
      </c>
      <c r="F889" s="19">
        <v>656.11</v>
      </c>
      <c r="G889" s="19">
        <v>127.69</v>
      </c>
      <c r="H889" s="10">
        <f t="shared" si="284"/>
        <v>6.2887895225529011E-2</v>
      </c>
      <c r="I889" s="10">
        <f t="shared" si="285"/>
        <v>0.56820847383081663</v>
      </c>
      <c r="J889" s="10">
        <f t="shared" si="286"/>
        <v>5.1383037042838122</v>
      </c>
      <c r="K889" s="4">
        <f t="shared" si="296"/>
        <v>-1.3647604424963604</v>
      </c>
      <c r="L889" s="10">
        <f t="shared" si="297"/>
        <v>0.56820847383081663</v>
      </c>
      <c r="M889" s="25">
        <v>100.22</v>
      </c>
      <c r="N889" s="25">
        <v>128.87</v>
      </c>
      <c r="O889" s="25">
        <v>-27.31</v>
      </c>
      <c r="P889" s="11">
        <v>0.20499999999999999</v>
      </c>
      <c r="Q889" s="11">
        <f t="shared" si="304"/>
        <v>1.1999999999999999E-3</v>
      </c>
      <c r="R889" s="12">
        <f t="shared" si="281"/>
        <v>6.122025118506573E-2</v>
      </c>
      <c r="S889" s="12">
        <f t="shared" si="282"/>
        <v>7.872135073058692E-2</v>
      </c>
      <c r="T889" s="12">
        <f t="shared" si="283"/>
        <v>-1.6682548990861554E-2</v>
      </c>
      <c r="U889" s="12">
        <f t="shared" si="255"/>
        <v>1.2550151492938474E-2</v>
      </c>
      <c r="V889" s="12">
        <f t="shared" si="248"/>
        <v>1.6137876899770316E-2</v>
      </c>
      <c r="W889" s="12">
        <f t="shared" si="249"/>
        <v>-3.4199225431266185E-3</v>
      </c>
      <c r="X889" s="12">
        <f t="shared" si="250"/>
        <v>7.3464301422078866E-5</v>
      </c>
      <c r="Y889" s="12">
        <f t="shared" si="251"/>
        <v>9.4465620876704295E-5</v>
      </c>
      <c r="Z889" s="12">
        <f t="shared" si="252"/>
        <v>-2.0019058789033865E-5</v>
      </c>
    </row>
    <row r="890" spans="1:26" ht="13">
      <c r="A890" s="24" t="str">
        <f t="shared" si="303"/>
        <v>SZL</v>
      </c>
      <c r="B890" s="9">
        <v>2020</v>
      </c>
      <c r="C890" s="19">
        <v>102.03</v>
      </c>
      <c r="D890" s="19">
        <v>1099.99</v>
      </c>
      <c r="E890" s="19">
        <v>1653.05</v>
      </c>
      <c r="F890" s="19">
        <v>573.09</v>
      </c>
      <c r="G890" s="19">
        <v>114.61</v>
      </c>
      <c r="H890" s="10">
        <f t="shared" si="284"/>
        <v>6.1722270953691663E-2</v>
      </c>
      <c r="I890" s="10">
        <f t="shared" si="285"/>
        <v>0.66543056773842291</v>
      </c>
      <c r="J890" s="10">
        <f t="shared" si="286"/>
        <v>5.0003490096850189</v>
      </c>
      <c r="K890" s="4">
        <f t="shared" si="296"/>
        <v>-0.80479737922134198</v>
      </c>
      <c r="L890" s="10">
        <f t="shared" si="297"/>
        <v>0.66543056773842291</v>
      </c>
      <c r="M890" s="25">
        <v>154.93</v>
      </c>
      <c r="N890" s="25">
        <v>-97.78</v>
      </c>
      <c r="O890" s="25">
        <v>-44.43</v>
      </c>
      <c r="P890" s="11">
        <v>0.1361</v>
      </c>
      <c r="Q890" s="11">
        <v>1.1000000000000001E-3</v>
      </c>
      <c r="R890" s="12">
        <f t="shared" si="281"/>
        <v>9.3723722815401839E-2</v>
      </c>
      <c r="S890" s="12">
        <f t="shared" si="282"/>
        <v>-5.9151265841928556E-2</v>
      </c>
      <c r="T890" s="12">
        <f t="shared" si="283"/>
        <v>-2.6877589909561114E-2</v>
      </c>
      <c r="U890" s="12">
        <f t="shared" si="255"/>
        <v>1.275579867517619E-2</v>
      </c>
      <c r="V890" s="12">
        <f t="shared" si="248"/>
        <v>-8.0504872810864773E-3</v>
      </c>
      <c r="W890" s="12">
        <f t="shared" si="249"/>
        <v>-3.6580399866912678E-3</v>
      </c>
      <c r="X890" s="12">
        <f t="shared" si="250"/>
        <v>1.0309609509694203E-4</v>
      </c>
      <c r="Y890" s="12">
        <f t="shared" si="251"/>
        <v>-6.5066392426121414E-5</v>
      </c>
      <c r="Z890" s="12">
        <f t="shared" si="252"/>
        <v>-2.9565348900517228E-5</v>
      </c>
    </row>
    <row r="891" spans="1:26" ht="13">
      <c r="A891" s="24" t="str">
        <f t="shared" si="303"/>
        <v>SZL</v>
      </c>
      <c r="B891" s="9">
        <v>2021</v>
      </c>
      <c r="C891" s="19">
        <v>101.12</v>
      </c>
      <c r="D891" s="19">
        <v>1097.43</v>
      </c>
      <c r="E891" s="19">
        <v>1689.86</v>
      </c>
      <c r="F891" s="19">
        <v>370.22</v>
      </c>
      <c r="G891" s="19">
        <v>130.56</v>
      </c>
      <c r="H891" s="10">
        <f t="shared" si="284"/>
        <v>5.9839276626466105E-2</v>
      </c>
      <c r="I891" s="10">
        <f t="shared" si="285"/>
        <v>0.64942066206668014</v>
      </c>
      <c r="J891" s="10">
        <f t="shared" si="286"/>
        <v>2.8356311274509807</v>
      </c>
      <c r="K891" s="4">
        <f t="shared" si="296"/>
        <v>-0.87892149554882415</v>
      </c>
      <c r="L891" s="10">
        <f t="shared" si="297"/>
        <v>0.64942066206668014</v>
      </c>
      <c r="M891" s="25">
        <v>102.07</v>
      </c>
      <c r="N891" s="25">
        <v>-242.17</v>
      </c>
      <c r="O891" s="25">
        <v>-45.94</v>
      </c>
      <c r="P891" s="11">
        <v>0.23050000000000001</v>
      </c>
      <c r="Q891" s="11">
        <f>Q890</f>
        <v>1.1000000000000001E-3</v>
      </c>
      <c r="R891" s="12">
        <f t="shared" si="281"/>
        <v>6.0401453374835788E-2</v>
      </c>
      <c r="S891" s="12">
        <f t="shared" si="282"/>
        <v>-0.14330772963440758</v>
      </c>
      <c r="T891" s="12">
        <f t="shared" si="283"/>
        <v>-2.7185684021161515E-2</v>
      </c>
      <c r="U891" s="12">
        <f t="shared" si="255"/>
        <v>1.3922535002899649E-2</v>
      </c>
      <c r="V891" s="12">
        <f t="shared" si="248"/>
        <v>-3.3032431680730945E-2</v>
      </c>
      <c r="W891" s="12">
        <f t="shared" si="249"/>
        <v>-6.2663001668777293E-3</v>
      </c>
      <c r="X891" s="12">
        <f t="shared" si="250"/>
        <v>6.6441598712319369E-5</v>
      </c>
      <c r="Y891" s="12">
        <f t="shared" si="251"/>
        <v>-1.5763850259784833E-4</v>
      </c>
      <c r="Z891" s="12">
        <f t="shared" si="252"/>
        <v>-2.9904252423277668E-5</v>
      </c>
    </row>
    <row r="892" spans="1:26" ht="13">
      <c r="A892" s="24" t="s">
        <v>195</v>
      </c>
      <c r="B892" s="9">
        <v>2017</v>
      </c>
      <c r="C892" s="19">
        <v>166.47</v>
      </c>
      <c r="D892" s="19">
        <v>26.45</v>
      </c>
      <c r="E892" s="19">
        <v>888.08</v>
      </c>
      <c r="F892" s="19">
        <v>423.68</v>
      </c>
      <c r="G892" s="19">
        <v>26.45</v>
      </c>
      <c r="H892" s="10">
        <f t="shared" si="284"/>
        <v>0.18744932888928925</v>
      </c>
      <c r="I892" s="10">
        <f t="shared" si="285"/>
        <v>2.9783352851094493E-2</v>
      </c>
      <c r="J892" s="10">
        <f t="shared" si="286"/>
        <v>16.018147448015124</v>
      </c>
      <c r="K892" s="4">
        <f t="shared" si="296"/>
        <v>-5.0378294585426238</v>
      </c>
      <c r="L892" s="10">
        <f t="shared" si="297"/>
        <v>2.9783352851094493E-2</v>
      </c>
      <c r="M892" s="25">
        <v>142.28</v>
      </c>
      <c r="N892" s="25">
        <v>7</v>
      </c>
      <c r="O892" s="25">
        <v>-158.35</v>
      </c>
      <c r="P892" s="11">
        <v>5.0000000000000001E-3</v>
      </c>
      <c r="Q892" s="11">
        <v>0</v>
      </c>
      <c r="R892" s="12">
        <f t="shared" si="281"/>
        <v>0.1602107918205567</v>
      </c>
      <c r="S892" s="12">
        <f t="shared" si="282"/>
        <v>7.8821727772272771E-3</v>
      </c>
      <c r="T892" s="12">
        <f t="shared" si="283"/>
        <v>-0.17830600846770558</v>
      </c>
      <c r="U892" s="12">
        <f t="shared" si="255"/>
        <v>8.0105395910278355E-4</v>
      </c>
      <c r="V892" s="12">
        <f t="shared" si="248"/>
        <v>3.9410863886136384E-5</v>
      </c>
      <c r="W892" s="12">
        <f t="shared" si="249"/>
        <v>-8.9153004233852794E-4</v>
      </c>
      <c r="X892" s="12">
        <f t="shared" si="250"/>
        <v>0</v>
      </c>
      <c r="Y892" s="12">
        <f t="shared" si="251"/>
        <v>0</v>
      </c>
      <c r="Z892" s="12">
        <f t="shared" si="252"/>
        <v>0</v>
      </c>
    </row>
    <row r="893" spans="1:26" ht="13">
      <c r="A893" s="24" t="str">
        <f t="shared" ref="A893:A896" si="305">A892</f>
        <v>TBC</v>
      </c>
      <c r="B893" s="9">
        <v>2018</v>
      </c>
      <c r="C893" s="19">
        <v>205.55</v>
      </c>
      <c r="D893" s="19">
        <v>120.4</v>
      </c>
      <c r="E893" s="19">
        <v>1006.01</v>
      </c>
      <c r="F893" s="19">
        <v>582.28</v>
      </c>
      <c r="G893" s="19">
        <v>120.4</v>
      </c>
      <c r="H893" s="10">
        <f t="shared" si="284"/>
        <v>0.20432202463196192</v>
      </c>
      <c r="I893" s="10">
        <f t="shared" si="285"/>
        <v>0.11968071887953401</v>
      </c>
      <c r="J893" s="10">
        <f t="shared" si="286"/>
        <v>4.836212624584717</v>
      </c>
      <c r="K893" s="4">
        <f t="shared" si="296"/>
        <v>-4.5566138637288232</v>
      </c>
      <c r="L893" s="10">
        <f t="shared" si="297"/>
        <v>0.11968071887953401</v>
      </c>
      <c r="M893" s="25">
        <v>204.91</v>
      </c>
      <c r="N893" s="25">
        <v>-58.42</v>
      </c>
      <c r="O893" s="25">
        <v>-82.31</v>
      </c>
      <c r="P893" s="11">
        <f>P892</f>
        <v>5.0000000000000001E-3</v>
      </c>
      <c r="Q893" s="11">
        <v>0</v>
      </c>
      <c r="R893" s="12">
        <f t="shared" si="281"/>
        <v>0.20368584805320025</v>
      </c>
      <c r="S893" s="12">
        <f t="shared" si="282"/>
        <v>-5.8070993330086182E-2</v>
      </c>
      <c r="T893" s="12">
        <f t="shared" si="283"/>
        <v>-8.1818272184173119E-2</v>
      </c>
      <c r="U893" s="12">
        <f t="shared" si="255"/>
        <v>1.0184292402660013E-3</v>
      </c>
      <c r="V893" s="12">
        <f t="shared" si="248"/>
        <v>-2.9035496665043092E-4</v>
      </c>
      <c r="W893" s="12">
        <f t="shared" si="249"/>
        <v>-4.0909136092086561E-4</v>
      </c>
      <c r="X893" s="12">
        <f t="shared" si="250"/>
        <v>0</v>
      </c>
      <c r="Y893" s="12">
        <f t="shared" si="251"/>
        <v>0</v>
      </c>
      <c r="Z893" s="12">
        <f t="shared" si="252"/>
        <v>0</v>
      </c>
    </row>
    <row r="894" spans="1:26" ht="13">
      <c r="A894" s="24" t="str">
        <f t="shared" si="305"/>
        <v>TBC</v>
      </c>
      <c r="B894" s="9">
        <v>2019</v>
      </c>
      <c r="C894" s="19">
        <v>128.1</v>
      </c>
      <c r="D894" s="19">
        <v>495.41</v>
      </c>
      <c r="E894" s="19">
        <v>1640.92</v>
      </c>
      <c r="F894" s="19">
        <v>248.69</v>
      </c>
      <c r="G894" s="19">
        <v>121.22</v>
      </c>
      <c r="H894" s="10">
        <f t="shared" si="284"/>
        <v>7.806596299636788E-2</v>
      </c>
      <c r="I894" s="10">
        <f t="shared" si="285"/>
        <v>0.3019099042000829</v>
      </c>
      <c r="J894" s="10">
        <f t="shared" si="286"/>
        <v>2.0515591486553375</v>
      </c>
      <c r="K894" s="4">
        <f t="shared" si="296"/>
        <v>-2.938616616137804</v>
      </c>
      <c r="L894" s="10">
        <f t="shared" si="297"/>
        <v>0.3019099042000829</v>
      </c>
      <c r="M894" s="25">
        <v>255.02</v>
      </c>
      <c r="N894" s="25">
        <v>-530.09</v>
      </c>
      <c r="O894" s="25">
        <v>231.42</v>
      </c>
      <c r="P894" s="11">
        <v>5.1799999999999997E-3</v>
      </c>
      <c r="Q894" s="11">
        <f>0.003%</f>
        <v>3.0000000000000001E-5</v>
      </c>
      <c r="R894" s="12">
        <f t="shared" si="281"/>
        <v>0.15541281720010724</v>
      </c>
      <c r="S894" s="12">
        <f t="shared" si="282"/>
        <v>-0.32304438973258903</v>
      </c>
      <c r="T894" s="12">
        <f t="shared" si="283"/>
        <v>0.14103064134753673</v>
      </c>
      <c r="U894" s="12">
        <f t="shared" si="255"/>
        <v>8.0503839309655552E-4</v>
      </c>
      <c r="V894" s="12">
        <f t="shared" si="248"/>
        <v>-1.6733699388148111E-3</v>
      </c>
      <c r="W894" s="12">
        <f t="shared" si="249"/>
        <v>7.3053872218024028E-4</v>
      </c>
      <c r="X894" s="12">
        <f t="shared" si="250"/>
        <v>4.6623845160032176E-6</v>
      </c>
      <c r="Y894" s="12">
        <f t="shared" si="251"/>
        <v>-9.6913316919776706E-6</v>
      </c>
      <c r="Z894" s="12">
        <f t="shared" si="252"/>
        <v>4.2309192404261024E-6</v>
      </c>
    </row>
    <row r="895" spans="1:26" ht="13">
      <c r="A895" s="24" t="str">
        <f t="shared" si="305"/>
        <v>TBC</v>
      </c>
      <c r="B895" s="9">
        <v>2020</v>
      </c>
      <c r="C895" s="19">
        <v>218.28</v>
      </c>
      <c r="D895" s="19">
        <v>366.09</v>
      </c>
      <c r="E895" s="19">
        <v>1598.82</v>
      </c>
      <c r="F895" s="19">
        <v>289.25</v>
      </c>
      <c r="G895" s="19">
        <v>80.09</v>
      </c>
      <c r="H895" s="10">
        <f t="shared" si="284"/>
        <v>0.13652568769467482</v>
      </c>
      <c r="I895" s="10">
        <f t="shared" si="285"/>
        <v>0.22897511915037339</v>
      </c>
      <c r="J895" s="10">
        <f t="shared" si="286"/>
        <v>3.6115619927581468</v>
      </c>
      <c r="K895" s="4">
        <f t="shared" si="296"/>
        <v>-3.6236536634399408</v>
      </c>
      <c r="L895" s="10">
        <f t="shared" si="297"/>
        <v>0.22897511915037339</v>
      </c>
      <c r="M895" s="25">
        <v>338.76</v>
      </c>
      <c r="N895" s="25">
        <v>-43.74</v>
      </c>
      <c r="O895" s="25">
        <v>-220.36</v>
      </c>
      <c r="P895" s="11">
        <v>7.1999999999999998E-3</v>
      </c>
      <c r="Q895" s="11">
        <f t="shared" ref="Q895:Q896" si="306">Q894</f>
        <v>3.0000000000000001E-5</v>
      </c>
      <c r="R895" s="12">
        <f t="shared" si="281"/>
        <v>0.21188126243104291</v>
      </c>
      <c r="S895" s="12">
        <f t="shared" si="282"/>
        <v>-2.735767628626112E-2</v>
      </c>
      <c r="T895" s="12">
        <f t="shared" si="283"/>
        <v>-0.13782664715227483</v>
      </c>
      <c r="U895" s="12">
        <f t="shared" si="255"/>
        <v>1.5255450895035089E-3</v>
      </c>
      <c r="V895" s="12">
        <f t="shared" si="248"/>
        <v>-1.9697526926108007E-4</v>
      </c>
      <c r="W895" s="12">
        <f t="shared" si="249"/>
        <v>-9.9235185949637884E-4</v>
      </c>
      <c r="X895" s="12">
        <f t="shared" si="250"/>
        <v>6.3564378729312873E-6</v>
      </c>
      <c r="Y895" s="12">
        <f t="shared" si="251"/>
        <v>-8.2073028858783367E-7</v>
      </c>
      <c r="Z895" s="12">
        <f t="shared" si="252"/>
        <v>-4.1347994145682452E-6</v>
      </c>
    </row>
    <row r="896" spans="1:26" ht="13">
      <c r="A896" s="24" t="str">
        <f t="shared" si="305"/>
        <v>TBC</v>
      </c>
      <c r="B896" s="9">
        <v>2021</v>
      </c>
      <c r="C896" s="19">
        <v>209.47</v>
      </c>
      <c r="D896" s="19">
        <v>358.29</v>
      </c>
      <c r="E896" s="19">
        <v>1573.75</v>
      </c>
      <c r="F896" s="19">
        <v>310.27999999999997</v>
      </c>
      <c r="G896" s="19">
        <v>146.46</v>
      </c>
      <c r="H896" s="10">
        <f t="shared" si="284"/>
        <v>0.13310246227164416</v>
      </c>
      <c r="I896" s="10">
        <f t="shared" si="285"/>
        <v>0.22766640190627482</v>
      </c>
      <c r="J896" s="10">
        <f t="shared" si="286"/>
        <v>2.1185306568346305</v>
      </c>
      <c r="K896" s="4">
        <f t="shared" si="296"/>
        <v>-3.6097367119839707</v>
      </c>
      <c r="L896" s="10">
        <f t="shared" si="297"/>
        <v>0.22766640190627482</v>
      </c>
      <c r="M896" s="25">
        <v>315.24</v>
      </c>
      <c r="N896" s="25">
        <v>-104.08</v>
      </c>
      <c r="O896" s="25">
        <v>-226.9</v>
      </c>
      <c r="P896" s="11">
        <v>9.2999999999999992E-3</v>
      </c>
      <c r="Q896" s="11">
        <f t="shared" si="306"/>
        <v>3.0000000000000001E-5</v>
      </c>
      <c r="R896" s="12">
        <f t="shared" si="281"/>
        <v>0.20031135822081017</v>
      </c>
      <c r="S896" s="12">
        <f t="shared" si="282"/>
        <v>-6.6135027799841137E-2</v>
      </c>
      <c r="T896" s="12">
        <f t="shared" si="283"/>
        <v>-0.14417791898332011</v>
      </c>
      <c r="U896" s="12">
        <f t="shared" si="255"/>
        <v>1.8628956314535345E-3</v>
      </c>
      <c r="V896" s="12">
        <f t="shared" si="248"/>
        <v>-6.1505575853852256E-4</v>
      </c>
      <c r="W896" s="12">
        <f t="shared" si="249"/>
        <v>-1.3408546465448769E-3</v>
      </c>
      <c r="X896" s="12">
        <f t="shared" si="250"/>
        <v>6.0093407466243052E-6</v>
      </c>
      <c r="Y896" s="12">
        <f t="shared" si="251"/>
        <v>-1.9840508339952341E-6</v>
      </c>
      <c r="Z896" s="12">
        <f t="shared" si="252"/>
        <v>-4.325337569499603E-6</v>
      </c>
    </row>
    <row r="897" spans="1:26" ht="13">
      <c r="A897" s="24" t="s">
        <v>196</v>
      </c>
      <c r="B897" s="9">
        <v>2017</v>
      </c>
      <c r="C897" s="19">
        <v>74.95</v>
      </c>
      <c r="D897" s="19">
        <v>719.89</v>
      </c>
      <c r="E897" s="19">
        <v>1153.44</v>
      </c>
      <c r="F897" s="19">
        <v>807.3</v>
      </c>
      <c r="G897" s="19">
        <v>641.79</v>
      </c>
      <c r="H897" s="10">
        <f t="shared" si="284"/>
        <v>6.4979539464558186E-2</v>
      </c>
      <c r="I897" s="10">
        <f t="shared" si="285"/>
        <v>0.6241243584408378</v>
      </c>
      <c r="J897" s="10">
        <f t="shared" si="286"/>
        <v>1.2578880942364326</v>
      </c>
      <c r="K897" s="4">
        <f t="shared" si="296"/>
        <v>-1.0399306368546819</v>
      </c>
      <c r="L897" s="10">
        <f t="shared" si="297"/>
        <v>0.6241243584408378</v>
      </c>
      <c r="M897" s="25">
        <v>-1268.83</v>
      </c>
      <c r="N897" s="25">
        <v>1293.72</v>
      </c>
      <c r="O897" s="25">
        <v>18.68</v>
      </c>
      <c r="P897" s="11">
        <v>0.1116</v>
      </c>
      <c r="Q897" s="11">
        <v>1.5E-3</v>
      </c>
      <c r="R897" s="12">
        <f t="shared" si="281"/>
        <v>-1.1000398807046745</v>
      </c>
      <c r="S897" s="12">
        <f t="shared" si="282"/>
        <v>1.1216188098210569</v>
      </c>
      <c r="T897" s="12">
        <f t="shared" si="283"/>
        <v>1.6195033985296158E-2</v>
      </c>
      <c r="U897" s="12">
        <f t="shared" si="255"/>
        <v>-0.12276445068664169</v>
      </c>
      <c r="V897" s="12">
        <f t="shared" si="248"/>
        <v>0.12517265917602996</v>
      </c>
      <c r="W897" s="12">
        <f t="shared" si="249"/>
        <v>1.8073657927590513E-3</v>
      </c>
      <c r="X897" s="12">
        <f t="shared" si="250"/>
        <v>-1.6500598210570118E-3</v>
      </c>
      <c r="Y897" s="12">
        <f t="shared" si="251"/>
        <v>1.6824282147315853E-3</v>
      </c>
      <c r="Z897" s="12">
        <f t="shared" si="252"/>
        <v>2.4292550977944239E-5</v>
      </c>
    </row>
    <row r="898" spans="1:26" ht="13">
      <c r="A898" s="24" t="str">
        <f t="shared" ref="A898:A901" si="307">A897</f>
        <v>TCD</v>
      </c>
      <c r="B898" s="9">
        <v>2018</v>
      </c>
      <c r="C898" s="19">
        <v>81.86</v>
      </c>
      <c r="D898" s="19">
        <v>1210.73</v>
      </c>
      <c r="E898" s="19">
        <v>1701.22</v>
      </c>
      <c r="F898" s="19">
        <v>853.95</v>
      </c>
      <c r="G898" s="19">
        <v>1129.31</v>
      </c>
      <c r="H898" s="10">
        <f t="shared" si="284"/>
        <v>4.8118409141674798E-2</v>
      </c>
      <c r="I898" s="10">
        <f t="shared" si="285"/>
        <v>0.71168338016247168</v>
      </c>
      <c r="J898" s="10">
        <f t="shared" si="286"/>
        <v>0.75616969654036548</v>
      </c>
      <c r="K898" s="4">
        <f t="shared" si="296"/>
        <v>-0.46296225299760879</v>
      </c>
      <c r="L898" s="10">
        <f t="shared" si="297"/>
        <v>0.71168338016247168</v>
      </c>
      <c r="M898" s="25">
        <v>-71.83</v>
      </c>
      <c r="N898" s="25">
        <v>11.29</v>
      </c>
      <c r="O898" s="25">
        <v>2.17</v>
      </c>
      <c r="P898" s="11">
        <v>0.14949999999999999</v>
      </c>
      <c r="Q898" s="11">
        <v>6.88E-2</v>
      </c>
      <c r="R898" s="12">
        <f t="shared" ref="R898:R961" si="308">M898/E898</f>
        <v>-4.2222640222898858E-2</v>
      </c>
      <c r="S898" s="12">
        <f t="shared" ref="S898:S961" si="309">N898/E898</f>
        <v>6.6364138676949479E-3</v>
      </c>
      <c r="T898" s="12">
        <f t="shared" ref="T898:T961" si="310">O898/E898</f>
        <v>1.2755551898049635E-3</v>
      </c>
      <c r="U898" s="12">
        <f t="shared" si="255"/>
        <v>-6.3122847133233791E-3</v>
      </c>
      <c r="V898" s="12">
        <f t="shared" si="248"/>
        <v>9.9214387322039467E-4</v>
      </c>
      <c r="W898" s="12">
        <f t="shared" si="249"/>
        <v>1.9069550087584203E-4</v>
      </c>
      <c r="X898" s="12">
        <f t="shared" si="250"/>
        <v>-2.9049176473354412E-3</v>
      </c>
      <c r="Y898" s="12">
        <f t="shared" si="251"/>
        <v>4.5658527409741243E-4</v>
      </c>
      <c r="Z898" s="12">
        <f t="shared" si="252"/>
        <v>8.7758197058581484E-5</v>
      </c>
    </row>
    <row r="899" spans="1:26" ht="13">
      <c r="A899" s="24" t="str">
        <f t="shared" si="307"/>
        <v>TCD</v>
      </c>
      <c r="B899" s="9">
        <v>2019</v>
      </c>
      <c r="C899" s="19">
        <v>94.99</v>
      </c>
      <c r="D899" s="19">
        <v>1382.58</v>
      </c>
      <c r="E899" s="19">
        <v>1935.27</v>
      </c>
      <c r="F899" s="19">
        <v>731.2</v>
      </c>
      <c r="G899" s="19">
        <v>1179.5</v>
      </c>
      <c r="H899" s="10">
        <f t="shared" ref="H899:H962" si="311">C899/E899</f>
        <v>4.9083590403406242E-2</v>
      </c>
      <c r="I899" s="10">
        <f t="shared" ref="I899:I962" si="312">D899/E899</f>
        <v>0.71441194251964835</v>
      </c>
      <c r="J899" s="10">
        <f t="shared" ref="J899:J962" si="313">F899/G899</f>
        <v>0.61992369648155998</v>
      </c>
      <c r="K899" s="4">
        <f t="shared" si="296"/>
        <v>-0.45120777923925859</v>
      </c>
      <c r="L899" s="10">
        <f t="shared" si="297"/>
        <v>0.71441194251964835</v>
      </c>
      <c r="M899" s="25">
        <v>281.95999999999998</v>
      </c>
      <c r="N899" s="25">
        <v>-383.36</v>
      </c>
      <c r="O899" s="25">
        <v>102.63</v>
      </c>
      <c r="P899" s="11">
        <v>0.1484</v>
      </c>
      <c r="Q899" s="11">
        <v>4.7800000000000002E-2</v>
      </c>
      <c r="R899" s="12">
        <f t="shared" si="308"/>
        <v>0.14569543267864432</v>
      </c>
      <c r="S899" s="12">
        <f t="shared" si="309"/>
        <v>-0.19809122241341001</v>
      </c>
      <c r="T899" s="12">
        <f t="shared" si="310"/>
        <v>5.3031359965276158E-2</v>
      </c>
      <c r="U899" s="12">
        <f t="shared" si="255"/>
        <v>2.1621202209510818E-2</v>
      </c>
      <c r="V899" s="12">
        <f t="shared" si="248"/>
        <v>-2.9396737406150047E-2</v>
      </c>
      <c r="W899" s="12">
        <f t="shared" si="249"/>
        <v>7.8698538188469828E-3</v>
      </c>
      <c r="X899" s="12">
        <f t="shared" si="250"/>
        <v>6.9642416820391989E-3</v>
      </c>
      <c r="Y899" s="12">
        <f t="shared" si="251"/>
        <v>-9.4687604313609987E-3</v>
      </c>
      <c r="Z899" s="12">
        <f t="shared" si="252"/>
        <v>2.5348990063402002E-3</v>
      </c>
    </row>
    <row r="900" spans="1:26" ht="13">
      <c r="A900" s="24" t="str">
        <f t="shared" si="307"/>
        <v>TCD</v>
      </c>
      <c r="B900" s="9">
        <v>2020</v>
      </c>
      <c r="C900" s="19">
        <v>146.75</v>
      </c>
      <c r="D900" s="19">
        <v>5578.01</v>
      </c>
      <c r="E900" s="19">
        <v>6239.45</v>
      </c>
      <c r="F900" s="19">
        <v>4421.42</v>
      </c>
      <c r="G900" s="19">
        <v>4340.47</v>
      </c>
      <c r="H900" s="10">
        <f t="shared" si="311"/>
        <v>2.3519701255719654E-2</v>
      </c>
      <c r="I900" s="10">
        <f t="shared" si="312"/>
        <v>0.89399065622771245</v>
      </c>
      <c r="J900" s="10">
        <f t="shared" si="313"/>
        <v>1.0186500540264072</v>
      </c>
      <c r="K900" s="4">
        <f t="shared" si="296"/>
        <v>0.68583348463111693</v>
      </c>
      <c r="L900" s="10">
        <f t="shared" si="297"/>
        <v>0.89399065622771245</v>
      </c>
      <c r="M900" s="25">
        <v>-208.15</v>
      </c>
      <c r="N900" s="25">
        <v>-368.16</v>
      </c>
      <c r="O900" s="25">
        <v>712.12</v>
      </c>
      <c r="P900" s="11">
        <v>0.1479</v>
      </c>
      <c r="Q900" s="11">
        <v>2.7000000000000001E-3</v>
      </c>
      <c r="R900" s="12">
        <f t="shared" si="308"/>
        <v>-3.336031220700543E-2</v>
      </c>
      <c r="S900" s="12">
        <f t="shared" si="309"/>
        <v>-5.9005200778914815E-2</v>
      </c>
      <c r="T900" s="12">
        <f t="shared" si="310"/>
        <v>0.11413185457051503</v>
      </c>
      <c r="U900" s="12">
        <f t="shared" si="255"/>
        <v>-4.9339901754161036E-3</v>
      </c>
      <c r="V900" s="12">
        <f t="shared" si="248"/>
        <v>-8.7268691952015007E-3</v>
      </c>
      <c r="W900" s="12">
        <f t="shared" si="249"/>
        <v>1.6880101290979173E-2</v>
      </c>
      <c r="X900" s="12">
        <f t="shared" si="250"/>
        <v>-9.0072842958914667E-5</v>
      </c>
      <c r="Y900" s="12">
        <f t="shared" si="251"/>
        <v>-1.5931404210307E-4</v>
      </c>
      <c r="Z900" s="12">
        <f t="shared" si="252"/>
        <v>3.0815600734039058E-4</v>
      </c>
    </row>
    <row r="901" spans="1:26" ht="13">
      <c r="A901" s="24" t="str">
        <f t="shared" si="307"/>
        <v>TCD</v>
      </c>
      <c r="B901" s="9">
        <v>2021</v>
      </c>
      <c r="C901" s="19">
        <v>335.63</v>
      </c>
      <c r="D901" s="19">
        <v>4500.2700000000004</v>
      </c>
      <c r="E901" s="19">
        <v>5769.74</v>
      </c>
      <c r="F901" s="19">
        <v>3783.65</v>
      </c>
      <c r="G901" s="19">
        <v>3376.47</v>
      </c>
      <c r="H901" s="10">
        <f t="shared" si="311"/>
        <v>5.8170732130043992E-2</v>
      </c>
      <c r="I901" s="10">
        <f t="shared" si="312"/>
        <v>0.77997795394593183</v>
      </c>
      <c r="J901" s="10">
        <f t="shared" si="313"/>
        <v>1.1205934008002441</v>
      </c>
      <c r="K901" s="4">
        <f t="shared" si="296"/>
        <v>-0.12037633069658754</v>
      </c>
      <c r="L901" s="10">
        <f t="shared" si="297"/>
        <v>0.77997795394593183</v>
      </c>
      <c r="M901" s="25">
        <v>124.21</v>
      </c>
      <c r="N901" s="25">
        <v>-108.01</v>
      </c>
      <c r="O901" s="25">
        <v>108.5</v>
      </c>
      <c r="P901" s="11">
        <f>P900</f>
        <v>0.1479</v>
      </c>
      <c r="Q901" s="11">
        <v>4.0000000000000001E-3</v>
      </c>
      <c r="R901" s="12">
        <f t="shared" si="308"/>
        <v>2.1527833143261222E-2</v>
      </c>
      <c r="S901" s="12">
        <f t="shared" si="309"/>
        <v>-1.8720080974186013E-2</v>
      </c>
      <c r="T901" s="12">
        <f t="shared" si="310"/>
        <v>1.8805006811398781E-2</v>
      </c>
      <c r="U901" s="12">
        <f t="shared" si="255"/>
        <v>3.1839665218883349E-3</v>
      </c>
      <c r="V901" s="12">
        <f t="shared" si="248"/>
        <v>-2.7686999760821113E-3</v>
      </c>
      <c r="W901" s="12">
        <f t="shared" si="249"/>
        <v>2.7812605074058797E-3</v>
      </c>
      <c r="X901" s="12">
        <f t="shared" si="250"/>
        <v>8.6111332573044885E-5</v>
      </c>
      <c r="Y901" s="12">
        <f t="shared" si="251"/>
        <v>-7.4880323896744049E-5</v>
      </c>
      <c r="Z901" s="12">
        <f t="shared" si="252"/>
        <v>7.5220027245595118E-5</v>
      </c>
    </row>
    <row r="902" spans="1:26" ht="13">
      <c r="A902" s="24" t="s">
        <v>197</v>
      </c>
      <c r="B902" s="9">
        <v>2017</v>
      </c>
      <c r="C902" s="19">
        <v>482.99</v>
      </c>
      <c r="D902" s="19">
        <v>633.27</v>
      </c>
      <c r="E902" s="19">
        <v>4971.3500000000004</v>
      </c>
      <c r="F902" s="19">
        <v>1451.61</v>
      </c>
      <c r="G902" s="19">
        <v>363.06</v>
      </c>
      <c r="H902" s="10">
        <f t="shared" si="311"/>
        <v>9.7154696410431771E-2</v>
      </c>
      <c r="I902" s="10">
        <f t="shared" si="312"/>
        <v>0.12738390980317216</v>
      </c>
      <c r="J902" s="10">
        <f t="shared" si="313"/>
        <v>3.9982647496281603</v>
      </c>
      <c r="K902" s="4">
        <f t="shared" si="296"/>
        <v>-4.027100906967374</v>
      </c>
      <c r="L902" s="10">
        <f t="shared" si="297"/>
        <v>0.12738390980317216</v>
      </c>
      <c r="M902" s="25">
        <v>154.38</v>
      </c>
      <c r="N902" s="25">
        <v>189.52</v>
      </c>
      <c r="O902" s="25">
        <v>-310.92</v>
      </c>
      <c r="P902" s="11">
        <v>4.1599999999999998E-2</v>
      </c>
      <c r="Q902" s="11">
        <v>0.47860000000000003</v>
      </c>
      <c r="R902" s="12">
        <f t="shared" si="308"/>
        <v>3.1053939070876117E-2</v>
      </c>
      <c r="S902" s="12">
        <f t="shared" si="309"/>
        <v>3.8122441590312493E-2</v>
      </c>
      <c r="T902" s="12">
        <f t="shared" si="310"/>
        <v>-6.2542367767306664E-2</v>
      </c>
      <c r="U902" s="12">
        <f t="shared" si="255"/>
        <v>1.2918438653484463E-3</v>
      </c>
      <c r="V902" s="12">
        <f t="shared" si="248"/>
        <v>1.5858935701569996E-3</v>
      </c>
      <c r="W902" s="12">
        <f t="shared" si="249"/>
        <v>-2.6017624991199573E-3</v>
      </c>
      <c r="X902" s="12">
        <f t="shared" si="250"/>
        <v>1.486241523932131E-2</v>
      </c>
      <c r="Y902" s="12">
        <f t="shared" si="251"/>
        <v>1.8245400545123559E-2</v>
      </c>
      <c r="Z902" s="12">
        <f t="shared" si="252"/>
        <v>-2.993277721343297E-2</v>
      </c>
    </row>
    <row r="903" spans="1:26" ht="13">
      <c r="A903" s="24" t="str">
        <f t="shared" ref="A903:A906" si="314">A902</f>
        <v>TCH</v>
      </c>
      <c r="B903" s="9">
        <v>2018</v>
      </c>
      <c r="C903" s="19">
        <v>268.12</v>
      </c>
      <c r="D903" s="19">
        <v>889.65</v>
      </c>
      <c r="E903" s="19">
        <v>5214.59</v>
      </c>
      <c r="F903" s="19">
        <v>1586.22</v>
      </c>
      <c r="G903" s="19">
        <v>384.39</v>
      </c>
      <c r="H903" s="10">
        <f t="shared" si="311"/>
        <v>5.1417273457740685E-2</v>
      </c>
      <c r="I903" s="10">
        <f t="shared" si="312"/>
        <v>0.17060785219931002</v>
      </c>
      <c r="J903" s="10">
        <f t="shared" si="313"/>
        <v>4.126590181846562</v>
      </c>
      <c r="K903" s="4">
        <f t="shared" si="296"/>
        <v>-3.5754193337511522</v>
      </c>
      <c r="L903" s="10">
        <f t="shared" si="297"/>
        <v>0.17060785219931002</v>
      </c>
      <c r="M903" s="25">
        <v>597.96</v>
      </c>
      <c r="N903" s="25">
        <v>-584.08000000000004</v>
      </c>
      <c r="O903" s="25">
        <v>-350.87</v>
      </c>
      <c r="P903" s="11">
        <v>4.3999999999999997E-2</v>
      </c>
      <c r="Q903" s="11">
        <v>0.4919</v>
      </c>
      <c r="R903" s="12">
        <f t="shared" si="308"/>
        <v>0.11467056853942496</v>
      </c>
      <c r="S903" s="12">
        <f t="shared" si="309"/>
        <v>-0.1120088060614545</v>
      </c>
      <c r="T903" s="12">
        <f t="shared" si="310"/>
        <v>-6.7286210421145284E-2</v>
      </c>
      <c r="U903" s="12">
        <f t="shared" si="255"/>
        <v>5.0455050157346979E-3</v>
      </c>
      <c r="V903" s="12">
        <f t="shared" si="248"/>
        <v>-4.9283874667039977E-3</v>
      </c>
      <c r="W903" s="12">
        <f t="shared" si="249"/>
        <v>-2.9605932585303925E-3</v>
      </c>
      <c r="X903" s="12">
        <f t="shared" si="250"/>
        <v>5.6406452664543139E-2</v>
      </c>
      <c r="Y903" s="12">
        <f t="shared" si="251"/>
        <v>-5.509713170162947E-2</v>
      </c>
      <c r="Z903" s="12">
        <f t="shared" si="252"/>
        <v>-3.3098086906161367E-2</v>
      </c>
    </row>
    <row r="904" spans="1:26" ht="13">
      <c r="A904" s="24" t="str">
        <f t="shared" si="314"/>
        <v>TCH</v>
      </c>
      <c r="B904" s="9">
        <v>2019</v>
      </c>
      <c r="C904" s="19">
        <v>539.92999999999995</v>
      </c>
      <c r="D904" s="19">
        <v>3727.98</v>
      </c>
      <c r="E904" s="19">
        <v>8197.82</v>
      </c>
      <c r="F904" s="19">
        <v>4246.8100000000004</v>
      </c>
      <c r="G904" s="19">
        <v>2238.23</v>
      </c>
      <c r="H904" s="10">
        <f t="shared" si="311"/>
        <v>6.586263177283716E-2</v>
      </c>
      <c r="I904" s="10">
        <f t="shared" si="312"/>
        <v>0.45475260496083109</v>
      </c>
      <c r="J904" s="10">
        <f t="shared" si="313"/>
        <v>1.8973966035662109</v>
      </c>
      <c r="K904" s="4">
        <f t="shared" si="296"/>
        <v>-2.0118815811152944</v>
      </c>
      <c r="L904" s="10">
        <f t="shared" si="297"/>
        <v>0.45475260496083109</v>
      </c>
      <c r="M904" s="25">
        <v>1487.58</v>
      </c>
      <c r="N904" s="25">
        <v>-1948.95</v>
      </c>
      <c r="O904" s="25">
        <v>458.62</v>
      </c>
      <c r="P904" s="27">
        <v>0.13300000000000001</v>
      </c>
      <c r="Q904" s="11">
        <v>6.3E-2</v>
      </c>
      <c r="R904" s="12">
        <f t="shared" si="308"/>
        <v>0.18146043704301876</v>
      </c>
      <c r="S904" s="12">
        <f t="shared" si="309"/>
        <v>-0.23774003332593299</v>
      </c>
      <c r="T904" s="12">
        <f t="shared" si="310"/>
        <v>5.5944141247307212E-2</v>
      </c>
      <c r="U904" s="12">
        <f t="shared" si="255"/>
        <v>2.4134238126721497E-2</v>
      </c>
      <c r="V904" s="12">
        <f t="shared" si="248"/>
        <v>-3.1619424432349087E-2</v>
      </c>
      <c r="W904" s="12">
        <f t="shared" si="249"/>
        <v>7.4405707858918599E-3</v>
      </c>
      <c r="X904" s="12">
        <f t="shared" si="250"/>
        <v>1.1432007533710181E-2</v>
      </c>
      <c r="Y904" s="12">
        <f t="shared" si="251"/>
        <v>-1.4977622099533778E-2</v>
      </c>
      <c r="Z904" s="12">
        <f t="shared" si="252"/>
        <v>3.5244808985803542E-3</v>
      </c>
    </row>
    <row r="905" spans="1:26" ht="13">
      <c r="A905" s="24" t="str">
        <f t="shared" si="314"/>
        <v>TCH</v>
      </c>
      <c r="B905" s="9">
        <v>2020</v>
      </c>
      <c r="C905" s="19">
        <v>1003.89</v>
      </c>
      <c r="D905" s="19">
        <v>2686.86</v>
      </c>
      <c r="E905" s="19">
        <v>10990.08</v>
      </c>
      <c r="F905" s="19">
        <v>9810.61</v>
      </c>
      <c r="G905" s="19">
        <v>2008.24</v>
      </c>
      <c r="H905" s="10">
        <f t="shared" si="311"/>
        <v>9.1345103948287903E-2</v>
      </c>
      <c r="I905" s="10">
        <f t="shared" si="312"/>
        <v>0.24448047693920336</v>
      </c>
      <c r="J905" s="10">
        <f t="shared" si="313"/>
        <v>4.8851780663665698</v>
      </c>
      <c r="K905" s="4">
        <f t="shared" si="296"/>
        <v>-3.3370549614793026</v>
      </c>
      <c r="L905" s="10">
        <f t="shared" si="297"/>
        <v>0.24448047693920336</v>
      </c>
      <c r="M905" s="25">
        <v>-1197.1500000000001</v>
      </c>
      <c r="N905" s="25">
        <v>-1840.32</v>
      </c>
      <c r="O905" s="25">
        <v>3552.47</v>
      </c>
      <c r="P905" s="27">
        <v>0.13300000000000001</v>
      </c>
      <c r="Q905" s="11">
        <f>Q904</f>
        <v>6.3E-2</v>
      </c>
      <c r="R905" s="12">
        <f t="shared" si="308"/>
        <v>-0.1089300532844165</v>
      </c>
      <c r="S905" s="12">
        <f t="shared" si="309"/>
        <v>-0.16745283018867924</v>
      </c>
      <c r="T905" s="12">
        <f t="shared" si="310"/>
        <v>0.32324332488935476</v>
      </c>
      <c r="U905" s="12">
        <f t="shared" si="255"/>
        <v>-1.4487697086827395E-2</v>
      </c>
      <c r="V905" s="12">
        <f t="shared" si="248"/>
        <v>-2.2271226415094339E-2</v>
      </c>
      <c r="W905" s="12">
        <f t="shared" si="249"/>
        <v>4.2991362210284184E-2</v>
      </c>
      <c r="X905" s="12">
        <f t="shared" si="250"/>
        <v>-6.8625933569182399E-3</v>
      </c>
      <c r="Y905" s="12">
        <f t="shared" si="251"/>
        <v>-1.0549528301886792E-2</v>
      </c>
      <c r="Z905" s="12">
        <f t="shared" si="252"/>
        <v>2.0364329468029348E-2</v>
      </c>
    </row>
    <row r="906" spans="1:26" ht="13">
      <c r="A906" s="24" t="str">
        <f t="shared" si="314"/>
        <v>TCH</v>
      </c>
      <c r="B906" s="9">
        <v>2021</v>
      </c>
      <c r="C906" s="19">
        <v>642.23</v>
      </c>
      <c r="D906" s="19">
        <v>2170</v>
      </c>
      <c r="E906" s="19">
        <v>14354.53</v>
      </c>
      <c r="F906" s="19">
        <v>13026.38</v>
      </c>
      <c r="G906" s="19">
        <v>1692.15</v>
      </c>
      <c r="H906" s="10">
        <f t="shared" si="311"/>
        <v>4.4740580151352918E-2</v>
      </c>
      <c r="I906" s="10">
        <f t="shared" si="312"/>
        <v>0.15117179036861533</v>
      </c>
      <c r="J906" s="10">
        <f t="shared" si="313"/>
        <v>7.6981236887982734</v>
      </c>
      <c r="K906" s="4">
        <f t="shared" si="296"/>
        <v>-3.6704459003351735</v>
      </c>
      <c r="L906" s="10">
        <f t="shared" si="297"/>
        <v>0.15117179036861533</v>
      </c>
      <c r="M906" s="25">
        <v>61.79</v>
      </c>
      <c r="N906" s="25">
        <v>-1519.4</v>
      </c>
      <c r="O906" s="26">
        <v>2137.08</v>
      </c>
      <c r="P906" s="11">
        <v>4.24E-2</v>
      </c>
      <c r="Q906" s="11">
        <v>3.4500000000000003E-2</v>
      </c>
      <c r="R906" s="12">
        <f t="shared" si="308"/>
        <v>4.3045644824316782E-3</v>
      </c>
      <c r="S906" s="12">
        <f t="shared" si="309"/>
        <v>-0.10584811902584063</v>
      </c>
      <c r="T906" s="12">
        <f t="shared" si="310"/>
        <v>0.14887843767786196</v>
      </c>
      <c r="U906" s="12">
        <f t="shared" si="255"/>
        <v>1.8251353405510315E-4</v>
      </c>
      <c r="V906" s="12">
        <f t="shared" si="248"/>
        <v>-4.4879602466956423E-3</v>
      </c>
      <c r="W906" s="12">
        <f t="shared" si="249"/>
        <v>6.3124457575413472E-3</v>
      </c>
      <c r="X906" s="12">
        <f t="shared" si="250"/>
        <v>1.4850747464389291E-4</v>
      </c>
      <c r="Y906" s="12">
        <f t="shared" si="251"/>
        <v>-3.6517601063915019E-3</v>
      </c>
      <c r="Z906" s="12">
        <f t="shared" si="252"/>
        <v>5.1363060998862384E-3</v>
      </c>
    </row>
    <row r="907" spans="1:26" ht="13">
      <c r="A907" s="24" t="s">
        <v>198</v>
      </c>
      <c r="B907" s="9">
        <v>2017</v>
      </c>
      <c r="C907" s="19">
        <v>96.61</v>
      </c>
      <c r="D907" s="19">
        <v>209.78</v>
      </c>
      <c r="E907" s="19">
        <v>850.37</v>
      </c>
      <c r="F907" s="19">
        <v>389.77</v>
      </c>
      <c r="G907" s="19">
        <v>159.04</v>
      </c>
      <c r="H907" s="10">
        <f t="shared" si="311"/>
        <v>0.11360937003892423</v>
      </c>
      <c r="I907" s="10">
        <f t="shared" si="312"/>
        <v>0.24669261615532062</v>
      </c>
      <c r="J907" s="10">
        <f t="shared" si="313"/>
        <v>2.4507671026156941</v>
      </c>
      <c r="K907" s="4">
        <f t="shared" si="296"/>
        <v>-3.4148973215002942</v>
      </c>
      <c r="L907" s="10">
        <f t="shared" si="297"/>
        <v>0.24669261615532062</v>
      </c>
      <c r="M907" s="25">
        <v>243.23</v>
      </c>
      <c r="N907" s="25">
        <v>-67.319999999999993</v>
      </c>
      <c r="O907" s="25">
        <v>-76.75</v>
      </c>
      <c r="P907" s="27">
        <v>0.14610000000000001</v>
      </c>
      <c r="Q907" s="11">
        <v>2.0999999999999999E-3</v>
      </c>
      <c r="R907" s="12">
        <f t="shared" si="308"/>
        <v>0.28602843468137396</v>
      </c>
      <c r="S907" s="12">
        <f t="shared" si="309"/>
        <v>-7.9165539706245514E-2</v>
      </c>
      <c r="T907" s="12">
        <f t="shared" si="310"/>
        <v>-9.0254830250361601E-2</v>
      </c>
      <c r="U907" s="12">
        <f t="shared" si="255"/>
        <v>4.1788754306948735E-2</v>
      </c>
      <c r="V907" s="12">
        <f t="shared" si="248"/>
        <v>-1.1566085351082471E-2</v>
      </c>
      <c r="W907" s="12">
        <f t="shared" si="249"/>
        <v>-1.318623069957783E-2</v>
      </c>
      <c r="X907" s="12">
        <f t="shared" si="250"/>
        <v>6.0065971283088527E-4</v>
      </c>
      <c r="Y907" s="12">
        <f t="shared" si="251"/>
        <v>-1.6624763338311558E-4</v>
      </c>
      <c r="Z907" s="12">
        <f t="shared" si="252"/>
        <v>-1.8953514352575935E-4</v>
      </c>
    </row>
    <row r="908" spans="1:26" ht="13">
      <c r="A908" s="24" t="str">
        <f t="shared" ref="A908:A911" si="315">A907</f>
        <v>TCL</v>
      </c>
      <c r="B908" s="9">
        <v>2018</v>
      </c>
      <c r="C908" s="19">
        <v>99.49</v>
      </c>
      <c r="D908" s="19">
        <v>289.97000000000003</v>
      </c>
      <c r="E908" s="19">
        <v>974.77</v>
      </c>
      <c r="F908" s="19">
        <v>425.72</v>
      </c>
      <c r="G908" s="19">
        <v>204.35</v>
      </c>
      <c r="H908" s="10">
        <f t="shared" si="311"/>
        <v>0.10206510253700872</v>
      </c>
      <c r="I908" s="10">
        <f t="shared" si="312"/>
        <v>0.29747530186608129</v>
      </c>
      <c r="J908" s="10">
        <f t="shared" si="313"/>
        <v>2.0832884756545145</v>
      </c>
      <c r="K908" s="4">
        <f t="shared" si="296"/>
        <v>-3.0720168946824935</v>
      </c>
      <c r="L908" s="10">
        <f t="shared" si="297"/>
        <v>0.29747530186608129</v>
      </c>
      <c r="M908" s="25">
        <v>94.9</v>
      </c>
      <c r="N908" s="25">
        <v>-99.8</v>
      </c>
      <c r="O908" s="25">
        <v>-15.35</v>
      </c>
      <c r="P908" s="11">
        <v>0.13700000000000001</v>
      </c>
      <c r="Q908" s="11">
        <f>Q907</f>
        <v>2.0999999999999999E-3</v>
      </c>
      <c r="R908" s="12">
        <f t="shared" si="308"/>
        <v>9.7356299434738461E-2</v>
      </c>
      <c r="S908" s="12">
        <f t="shared" si="309"/>
        <v>-0.10238312627594201</v>
      </c>
      <c r="T908" s="12">
        <f t="shared" si="310"/>
        <v>-1.5747304492341782E-2</v>
      </c>
      <c r="U908" s="12">
        <f t="shared" si="255"/>
        <v>1.333781302255917E-2</v>
      </c>
      <c r="V908" s="12">
        <f t="shared" si="248"/>
        <v>-1.4026488299804057E-2</v>
      </c>
      <c r="W908" s="12">
        <f t="shared" si="249"/>
        <v>-2.1573807154508244E-3</v>
      </c>
      <c r="X908" s="12">
        <f t="shared" si="250"/>
        <v>2.0444822881295074E-4</v>
      </c>
      <c r="Y908" s="12">
        <f t="shared" si="251"/>
        <v>-2.150045651794782E-4</v>
      </c>
      <c r="Z908" s="12">
        <f t="shared" si="252"/>
        <v>-3.3069339433917739E-5</v>
      </c>
    </row>
    <row r="909" spans="1:26" ht="13">
      <c r="A909" s="24" t="str">
        <f t="shared" si="315"/>
        <v>TCL</v>
      </c>
      <c r="B909" s="9">
        <v>2019</v>
      </c>
      <c r="C909" s="19">
        <v>99.9</v>
      </c>
      <c r="D909" s="19">
        <v>288.8</v>
      </c>
      <c r="E909" s="19">
        <v>1064.8699999999999</v>
      </c>
      <c r="F909" s="19">
        <v>501.15</v>
      </c>
      <c r="G909" s="19">
        <v>214.62</v>
      </c>
      <c r="H909" s="10">
        <f t="shared" si="311"/>
        <v>9.3814268408350332E-2</v>
      </c>
      <c r="I909" s="10">
        <f t="shared" si="312"/>
        <v>0.27120681397729302</v>
      </c>
      <c r="J909" s="10">
        <f t="shared" si="313"/>
        <v>2.3350573105954711</v>
      </c>
      <c r="K909" s="4">
        <f t="shared" si="296"/>
        <v>-3.1856255974093872</v>
      </c>
      <c r="L909" s="10">
        <f t="shared" si="297"/>
        <v>0.27120681397729302</v>
      </c>
      <c r="M909" s="25">
        <v>167.09</v>
      </c>
      <c r="N909" s="25">
        <v>-101.63</v>
      </c>
      <c r="O909" s="25">
        <v>-50.9</v>
      </c>
      <c r="P909" s="11">
        <v>0.14000000000000001</v>
      </c>
      <c r="Q909" s="11">
        <v>1.8E-3</v>
      </c>
      <c r="R909" s="12">
        <f t="shared" si="308"/>
        <v>0.15691117225576834</v>
      </c>
      <c r="S909" s="12">
        <f t="shared" si="309"/>
        <v>-9.5438879863269696E-2</v>
      </c>
      <c r="T909" s="12">
        <f t="shared" si="310"/>
        <v>-4.7799261881732044E-2</v>
      </c>
      <c r="U909" s="12">
        <f t="shared" si="255"/>
        <v>2.196756411580757E-2</v>
      </c>
      <c r="V909" s="12">
        <f t="shared" si="248"/>
        <v>-1.3361443180857758E-2</v>
      </c>
      <c r="W909" s="12">
        <f t="shared" si="249"/>
        <v>-6.6918966634424868E-3</v>
      </c>
      <c r="X909" s="12">
        <f t="shared" si="250"/>
        <v>2.8244011006038302E-4</v>
      </c>
      <c r="Y909" s="12">
        <f t="shared" si="251"/>
        <v>-1.7178998375388545E-4</v>
      </c>
      <c r="Z909" s="12">
        <f t="shared" si="252"/>
        <v>-8.6038671387117673E-5</v>
      </c>
    </row>
    <row r="910" spans="1:26" ht="13">
      <c r="A910" s="24" t="str">
        <f t="shared" si="315"/>
        <v>TCL</v>
      </c>
      <c r="B910" s="9">
        <v>2020</v>
      </c>
      <c r="C910" s="19">
        <v>100.48</v>
      </c>
      <c r="D910" s="19">
        <v>311.64</v>
      </c>
      <c r="E910" s="19">
        <v>949</v>
      </c>
      <c r="F910" s="19">
        <v>395.83</v>
      </c>
      <c r="G910" s="19">
        <v>243.61</v>
      </c>
      <c r="H910" s="10">
        <f t="shared" si="311"/>
        <v>0.10587987355110644</v>
      </c>
      <c r="I910" s="10">
        <f t="shared" si="312"/>
        <v>0.32838777660695467</v>
      </c>
      <c r="J910" s="10">
        <f t="shared" si="313"/>
        <v>1.624851196584705</v>
      </c>
      <c r="K910" s="4">
        <f t="shared" si="296"/>
        <v>-2.9111485091066762</v>
      </c>
      <c r="L910" s="10">
        <f t="shared" si="297"/>
        <v>0.32838777660695467</v>
      </c>
      <c r="M910" s="25">
        <v>102.09</v>
      </c>
      <c r="N910" s="25">
        <v>-81.36</v>
      </c>
      <c r="O910" s="25">
        <v>-108.89</v>
      </c>
      <c r="P910" s="11">
        <v>9.1399999999999995E-2</v>
      </c>
      <c r="Q910" s="11">
        <v>0</v>
      </c>
      <c r="R910" s="12">
        <f t="shared" si="308"/>
        <v>0.1075763962065332</v>
      </c>
      <c r="S910" s="12">
        <f t="shared" si="309"/>
        <v>-8.5732349841938879E-2</v>
      </c>
      <c r="T910" s="12">
        <f t="shared" si="310"/>
        <v>-0.11474183350895679</v>
      </c>
      <c r="U910" s="12">
        <f t="shared" si="255"/>
        <v>9.832482613277134E-3</v>
      </c>
      <c r="V910" s="12">
        <f t="shared" si="248"/>
        <v>-7.8359367755532136E-3</v>
      </c>
      <c r="W910" s="12">
        <f t="shared" si="249"/>
        <v>-1.048740358271865E-2</v>
      </c>
      <c r="X910" s="12">
        <f t="shared" si="250"/>
        <v>0</v>
      </c>
      <c r="Y910" s="12">
        <f t="shared" si="251"/>
        <v>0</v>
      </c>
      <c r="Z910" s="12">
        <f t="shared" si="252"/>
        <v>0</v>
      </c>
    </row>
    <row r="911" spans="1:26" ht="13">
      <c r="A911" s="24" t="str">
        <f t="shared" si="315"/>
        <v>TCL</v>
      </c>
      <c r="B911" s="9">
        <v>2021</v>
      </c>
      <c r="C911" s="19">
        <v>113.47</v>
      </c>
      <c r="D911" s="19">
        <v>308.26</v>
      </c>
      <c r="E911" s="19">
        <v>887.25</v>
      </c>
      <c r="F911" s="19">
        <v>388.36</v>
      </c>
      <c r="G911" s="19">
        <v>246.93</v>
      </c>
      <c r="H911" s="10">
        <f t="shared" si="311"/>
        <v>0.12788954635108482</v>
      </c>
      <c r="I911" s="10">
        <f t="shared" si="312"/>
        <v>0.34743307974077203</v>
      </c>
      <c r="J911" s="10">
        <f t="shared" si="313"/>
        <v>1.5727534118981088</v>
      </c>
      <c r="K911" s="4">
        <f t="shared" si="296"/>
        <v>-2.9014254177050729</v>
      </c>
      <c r="L911" s="10">
        <f t="shared" si="297"/>
        <v>0.34743307974077203</v>
      </c>
      <c r="M911" s="25">
        <v>-19.309999999999999</v>
      </c>
      <c r="N911" s="25">
        <v>74.739999999999995</v>
      </c>
      <c r="O911" s="25">
        <v>-81.84</v>
      </c>
      <c r="P911" s="11">
        <v>3.8800000000000001E-2</v>
      </c>
      <c r="Q911" s="11">
        <v>0</v>
      </c>
      <c r="R911" s="12">
        <f t="shared" si="308"/>
        <v>-2.1763877148492532E-2</v>
      </c>
      <c r="S911" s="12">
        <f t="shared" si="309"/>
        <v>8.4237813468582695E-2</v>
      </c>
      <c r="T911" s="12">
        <f t="shared" si="310"/>
        <v>-9.2240067624683009E-2</v>
      </c>
      <c r="U911" s="12">
        <f t="shared" si="255"/>
        <v>-8.4443843336151029E-4</v>
      </c>
      <c r="V911" s="12">
        <f t="shared" si="248"/>
        <v>3.2684271625810085E-3</v>
      </c>
      <c r="W911" s="12">
        <f t="shared" si="249"/>
        <v>-3.578914623837701E-3</v>
      </c>
      <c r="X911" s="12">
        <f t="shared" si="250"/>
        <v>0</v>
      </c>
      <c r="Y911" s="12">
        <f t="shared" si="251"/>
        <v>0</v>
      </c>
      <c r="Z911" s="12">
        <f t="shared" si="252"/>
        <v>0</v>
      </c>
    </row>
    <row r="912" spans="1:26" ht="13">
      <c r="A912" s="24" t="s">
        <v>199</v>
      </c>
      <c r="B912" s="9">
        <v>2017</v>
      </c>
      <c r="C912" s="19">
        <v>192.62</v>
      </c>
      <c r="D912" s="19">
        <v>1963.76</v>
      </c>
      <c r="E912" s="19">
        <v>3035.38</v>
      </c>
      <c r="F912" s="19">
        <v>1606.53</v>
      </c>
      <c r="G912" s="19">
        <v>1626.47</v>
      </c>
      <c r="H912" s="10">
        <f t="shared" si="311"/>
        <v>6.3458281994346666E-2</v>
      </c>
      <c r="I912" s="10">
        <f t="shared" si="312"/>
        <v>0.6469568884291258</v>
      </c>
      <c r="J912" s="10">
        <f t="shared" si="313"/>
        <v>0.98774032106340726</v>
      </c>
      <c r="K912" s="4">
        <f t="shared" si="296"/>
        <v>-0.90185896621279582</v>
      </c>
      <c r="L912" s="10">
        <f t="shared" si="297"/>
        <v>0.6469568884291258</v>
      </c>
      <c r="M912" s="25">
        <v>285.93</v>
      </c>
      <c r="N912" s="25">
        <v>-120.81</v>
      </c>
      <c r="O912" s="25">
        <v>-130.99</v>
      </c>
      <c r="P912" s="11">
        <v>0.49</v>
      </c>
      <c r="Q912" s="11">
        <v>0</v>
      </c>
      <c r="R912" s="12">
        <f t="shared" si="308"/>
        <v>9.4199078863272473E-2</v>
      </c>
      <c r="S912" s="12">
        <f t="shared" si="309"/>
        <v>-3.9800618044528197E-2</v>
      </c>
      <c r="T912" s="12">
        <f t="shared" si="310"/>
        <v>-4.3154399119714831E-2</v>
      </c>
      <c r="U912" s="12">
        <f t="shared" si="255"/>
        <v>4.6157548643003511E-2</v>
      </c>
      <c r="V912" s="12">
        <f t="shared" si="248"/>
        <v>-1.9502302841818815E-2</v>
      </c>
      <c r="W912" s="12">
        <f t="shared" si="249"/>
        <v>-2.1145655568660267E-2</v>
      </c>
      <c r="X912" s="12">
        <f t="shared" si="250"/>
        <v>0</v>
      </c>
      <c r="Y912" s="12">
        <f t="shared" si="251"/>
        <v>0</v>
      </c>
      <c r="Z912" s="12">
        <f t="shared" si="252"/>
        <v>0</v>
      </c>
    </row>
    <row r="913" spans="1:26" ht="13">
      <c r="A913" s="24" t="str">
        <f t="shared" ref="A913:A916" si="316">A912</f>
        <v>TCM</v>
      </c>
      <c r="B913" s="9">
        <v>2018</v>
      </c>
      <c r="C913" s="19">
        <v>260.44</v>
      </c>
      <c r="D913" s="19">
        <v>1970.93</v>
      </c>
      <c r="E913" s="19">
        <v>3247.33</v>
      </c>
      <c r="F913" s="19">
        <v>1893.15</v>
      </c>
      <c r="G913" s="19">
        <v>1701.09</v>
      </c>
      <c r="H913" s="10">
        <f t="shared" si="311"/>
        <v>8.0201273045856142E-2</v>
      </c>
      <c r="I913" s="10">
        <f t="shared" si="312"/>
        <v>0.60693862342293514</v>
      </c>
      <c r="J913" s="10">
        <f t="shared" si="313"/>
        <v>1.1129040791492515</v>
      </c>
      <c r="K913" s="4">
        <f t="shared" si="296"/>
        <v>-1.2058071915122193</v>
      </c>
      <c r="L913" s="10">
        <f t="shared" si="297"/>
        <v>0.60693862342293514</v>
      </c>
      <c r="M913" s="25">
        <v>86.12</v>
      </c>
      <c r="N913" s="25">
        <v>79.56</v>
      </c>
      <c r="O913" s="25">
        <v>-79.78</v>
      </c>
      <c r="P913" s="11">
        <v>0.4884</v>
      </c>
      <c r="Q913" s="11">
        <f>Q912</f>
        <v>0</v>
      </c>
      <c r="R913" s="12">
        <f t="shared" si="308"/>
        <v>2.6520248942977772E-2</v>
      </c>
      <c r="S913" s="12">
        <f t="shared" si="309"/>
        <v>2.4500127797298089E-2</v>
      </c>
      <c r="T913" s="12">
        <f t="shared" si="310"/>
        <v>-2.456787576254954E-2</v>
      </c>
      <c r="U913" s="12">
        <f t="shared" si="255"/>
        <v>1.2952489583750344E-2</v>
      </c>
      <c r="V913" s="12">
        <f t="shared" si="248"/>
        <v>1.1965862416200387E-2</v>
      </c>
      <c r="W913" s="12">
        <f t="shared" si="249"/>
        <v>-1.1998950522429195E-2</v>
      </c>
      <c r="X913" s="12">
        <f t="shared" si="250"/>
        <v>0</v>
      </c>
      <c r="Y913" s="12">
        <f t="shared" si="251"/>
        <v>0</v>
      </c>
      <c r="Z913" s="12">
        <f t="shared" si="252"/>
        <v>0</v>
      </c>
    </row>
    <row r="914" spans="1:26" ht="13">
      <c r="A914" s="24" t="str">
        <f t="shared" si="316"/>
        <v>TCM</v>
      </c>
      <c r="B914" s="9">
        <v>2019</v>
      </c>
      <c r="C914" s="19">
        <v>216.85</v>
      </c>
      <c r="D914" s="19">
        <v>1497.54</v>
      </c>
      <c r="E914" s="19">
        <v>2922.8</v>
      </c>
      <c r="F914" s="19">
        <v>1624.46</v>
      </c>
      <c r="G914" s="19">
        <v>1331.36</v>
      </c>
      <c r="H914" s="10">
        <f t="shared" si="311"/>
        <v>7.4192555084165862E-2</v>
      </c>
      <c r="I914" s="10">
        <f t="shared" si="312"/>
        <v>0.51236485561790057</v>
      </c>
      <c r="J914" s="10">
        <f t="shared" si="313"/>
        <v>1.2201508232183633</v>
      </c>
      <c r="K914" s="4">
        <f t="shared" si="296"/>
        <v>-1.7182674241495866</v>
      </c>
      <c r="L914" s="10">
        <f t="shared" si="297"/>
        <v>0.51236485561790057</v>
      </c>
      <c r="M914" s="25">
        <v>526.9</v>
      </c>
      <c r="N914" s="25">
        <v>-80.33</v>
      </c>
      <c r="O914" s="25">
        <v>-437.68</v>
      </c>
      <c r="P914" s="11">
        <v>0.48580000000000001</v>
      </c>
      <c r="Q914" s="11">
        <v>0</v>
      </c>
      <c r="R914" s="12">
        <f t="shared" si="308"/>
        <v>0.1802723415902559</v>
      </c>
      <c r="S914" s="12">
        <f t="shared" si="309"/>
        <v>-2.7483919529218557E-2</v>
      </c>
      <c r="T914" s="12">
        <f t="shared" si="310"/>
        <v>-0.14974681811961132</v>
      </c>
      <c r="U914" s="12">
        <f t="shared" si="255"/>
        <v>8.7576303544546319E-2</v>
      </c>
      <c r="V914" s="12">
        <f t="shared" si="248"/>
        <v>-1.3351688107294375E-2</v>
      </c>
      <c r="W914" s="12">
        <f t="shared" si="249"/>
        <v>-7.2747004242507185E-2</v>
      </c>
      <c r="X914" s="12">
        <f t="shared" si="250"/>
        <v>0</v>
      </c>
      <c r="Y914" s="12">
        <f t="shared" si="251"/>
        <v>0</v>
      </c>
      <c r="Z914" s="12">
        <f t="shared" si="252"/>
        <v>0</v>
      </c>
    </row>
    <row r="915" spans="1:26" ht="13">
      <c r="A915" s="24" t="str">
        <f t="shared" si="316"/>
        <v>TCM</v>
      </c>
      <c r="B915" s="9">
        <v>2020</v>
      </c>
      <c r="C915" s="19">
        <v>276.23</v>
      </c>
      <c r="D915" s="19">
        <v>1337.69</v>
      </c>
      <c r="E915" s="19">
        <v>2976.42</v>
      </c>
      <c r="F915" s="19">
        <v>1783.9</v>
      </c>
      <c r="G915" s="19">
        <v>1256.93</v>
      </c>
      <c r="H915" s="10">
        <f t="shared" si="311"/>
        <v>9.2806122791810303E-2</v>
      </c>
      <c r="I915" s="10">
        <f t="shared" si="312"/>
        <v>0.44942918002163673</v>
      </c>
      <c r="J915" s="10">
        <f t="shared" si="313"/>
        <v>1.4192516687484587</v>
      </c>
      <c r="K915" s="4">
        <f t="shared" si="296"/>
        <v>-2.1615582331148109</v>
      </c>
      <c r="L915" s="10">
        <f t="shared" si="297"/>
        <v>0.44942918002163673</v>
      </c>
      <c r="M915" s="25">
        <v>386.66</v>
      </c>
      <c r="N915" s="25">
        <v>-33.78</v>
      </c>
      <c r="O915" s="25">
        <v>-290.08</v>
      </c>
      <c r="P915" s="11">
        <v>0.44529999999999997</v>
      </c>
      <c r="Q915" s="11">
        <v>0</v>
      </c>
      <c r="R915" s="12">
        <f t="shared" si="308"/>
        <v>0.12990774151497436</v>
      </c>
      <c r="S915" s="12">
        <f t="shared" si="309"/>
        <v>-1.1349204749329732E-2</v>
      </c>
      <c r="T915" s="12">
        <f t="shared" si="310"/>
        <v>-9.7459363933853418E-2</v>
      </c>
      <c r="U915" s="12">
        <f t="shared" si="255"/>
        <v>5.7847917296618083E-2</v>
      </c>
      <c r="V915" s="12">
        <f t="shared" si="248"/>
        <v>-5.0538008748765295E-3</v>
      </c>
      <c r="W915" s="12">
        <f t="shared" si="249"/>
        <v>-4.3398654759744922E-2</v>
      </c>
      <c r="X915" s="12">
        <f t="shared" si="250"/>
        <v>0</v>
      </c>
      <c r="Y915" s="12">
        <f t="shared" si="251"/>
        <v>0</v>
      </c>
      <c r="Z915" s="12">
        <f t="shared" si="252"/>
        <v>0</v>
      </c>
    </row>
    <row r="916" spans="1:26" ht="13">
      <c r="A916" s="24" t="str">
        <f t="shared" si="316"/>
        <v>TCM</v>
      </c>
      <c r="B916" s="9">
        <v>2021</v>
      </c>
      <c r="C916" s="19">
        <v>143.66</v>
      </c>
      <c r="D916" s="19">
        <v>1897.86</v>
      </c>
      <c r="E916" s="19">
        <v>3606.39</v>
      </c>
      <c r="F916" s="19">
        <v>2351.2600000000002</v>
      </c>
      <c r="G916" s="19">
        <v>1757.42</v>
      </c>
      <c r="H916" s="10">
        <f t="shared" si="311"/>
        <v>3.9834848699114626E-2</v>
      </c>
      <c r="I916" s="10">
        <f t="shared" si="312"/>
        <v>0.52624924093068137</v>
      </c>
      <c r="J916" s="10">
        <f t="shared" si="313"/>
        <v>1.3379044280820749</v>
      </c>
      <c r="K916" s="4">
        <f t="shared" si="296"/>
        <v>-1.4849877635534596</v>
      </c>
      <c r="L916" s="10">
        <f t="shared" si="297"/>
        <v>0.52624924093068137</v>
      </c>
      <c r="M916" s="25">
        <v>-89.27</v>
      </c>
      <c r="N916" s="25">
        <v>-116.76</v>
      </c>
      <c r="O916" s="25">
        <v>188.61</v>
      </c>
      <c r="P916" s="11">
        <v>0.46179999999999999</v>
      </c>
      <c r="Q916" s="11">
        <v>7.0000000000000001E-3</v>
      </c>
      <c r="R916" s="12">
        <f t="shared" si="308"/>
        <v>-2.4753285141096776E-2</v>
      </c>
      <c r="S916" s="12">
        <f t="shared" si="309"/>
        <v>-3.2375866170880022E-2</v>
      </c>
      <c r="T916" s="12">
        <f t="shared" si="310"/>
        <v>5.2298836232354241E-2</v>
      </c>
      <c r="U916" s="12">
        <f t="shared" si="255"/>
        <v>-1.1431067078158491E-2</v>
      </c>
      <c r="V916" s="12">
        <f t="shared" si="248"/>
        <v>-1.4951174997712393E-2</v>
      </c>
      <c r="W916" s="12">
        <f t="shared" si="249"/>
        <v>2.4151602572101187E-2</v>
      </c>
      <c r="X916" s="12">
        <f t="shared" si="250"/>
        <v>-1.7327299598767743E-4</v>
      </c>
      <c r="Y916" s="12">
        <f t="shared" si="251"/>
        <v>-2.2663106319616014E-4</v>
      </c>
      <c r="Z916" s="12">
        <f t="shared" si="252"/>
        <v>3.660918536264797E-4</v>
      </c>
    </row>
    <row r="917" spans="1:26" ht="13">
      <c r="A917" s="24" t="s">
        <v>200</v>
      </c>
      <c r="B917" s="9">
        <v>2017</v>
      </c>
      <c r="C917" s="19">
        <v>17.670000000000002</v>
      </c>
      <c r="D917" s="19">
        <v>20.5</v>
      </c>
      <c r="E917" s="19">
        <v>232.39</v>
      </c>
      <c r="F917" s="19">
        <v>113.06</v>
      </c>
      <c r="G917" s="19">
        <v>14.25</v>
      </c>
      <c r="H917" s="10">
        <f t="shared" si="311"/>
        <v>7.6035974009208668E-2</v>
      </c>
      <c r="I917" s="10">
        <f t="shared" si="312"/>
        <v>8.8213778561900255E-2</v>
      </c>
      <c r="J917" s="10">
        <f t="shared" si="313"/>
        <v>7.9340350877192982</v>
      </c>
      <c r="K917" s="4">
        <f t="shared" si="296"/>
        <v>-4.1710794855894848</v>
      </c>
      <c r="L917" s="10">
        <f t="shared" si="297"/>
        <v>8.8213778561900255E-2</v>
      </c>
      <c r="M917" s="25">
        <v>35.85</v>
      </c>
      <c r="N917" s="25">
        <v>-3.16</v>
      </c>
      <c r="O917" s="25">
        <v>-25.85</v>
      </c>
      <c r="P917" s="11">
        <v>2.69E-2</v>
      </c>
      <c r="Q917" s="11">
        <v>5.3499999999999999E-2</v>
      </c>
      <c r="R917" s="12">
        <f t="shared" si="308"/>
        <v>0.15426653470459142</v>
      </c>
      <c r="S917" s="12">
        <f t="shared" si="309"/>
        <v>-1.3597831231980724E-2</v>
      </c>
      <c r="T917" s="12">
        <f t="shared" si="310"/>
        <v>-0.11123542321098155</v>
      </c>
      <c r="U917" s="12">
        <f t="shared" si="255"/>
        <v>4.1497697835535096E-3</v>
      </c>
      <c r="V917" s="12">
        <f t="shared" si="248"/>
        <v>-3.657816601402815E-4</v>
      </c>
      <c r="W917" s="12">
        <f t="shared" si="249"/>
        <v>-2.9922328843754037E-3</v>
      </c>
      <c r="X917" s="12">
        <f t="shared" si="250"/>
        <v>8.2532596066956405E-3</v>
      </c>
      <c r="Y917" s="12">
        <f t="shared" si="251"/>
        <v>-7.2748397091096872E-4</v>
      </c>
      <c r="Z917" s="12">
        <f t="shared" si="252"/>
        <v>-5.9510951417875132E-3</v>
      </c>
    </row>
    <row r="918" spans="1:26" ht="13">
      <c r="A918" s="24" t="str">
        <f t="shared" ref="A918:A921" si="317">A917</f>
        <v>TCO</v>
      </c>
      <c r="B918" s="9">
        <v>2018</v>
      </c>
      <c r="C918" s="19">
        <v>14.73</v>
      </c>
      <c r="D918" s="19">
        <v>17.95</v>
      </c>
      <c r="E918" s="19">
        <v>226.44</v>
      </c>
      <c r="F918" s="19">
        <v>121.54</v>
      </c>
      <c r="G918" s="19">
        <v>13.14</v>
      </c>
      <c r="H918" s="10">
        <f t="shared" si="311"/>
        <v>6.5050344462109166E-2</v>
      </c>
      <c r="I918" s="10">
        <f t="shared" si="312"/>
        <v>7.9270446917505732E-2</v>
      </c>
      <c r="J918" s="10">
        <f t="shared" si="313"/>
        <v>9.249619482496195</v>
      </c>
      <c r="K918" s="4">
        <f t="shared" si="296"/>
        <v>-4.1778834805796938</v>
      </c>
      <c r="L918" s="10">
        <f t="shared" si="297"/>
        <v>7.9270446917505732E-2</v>
      </c>
      <c r="M918" s="26">
        <v>24.07</v>
      </c>
      <c r="N918" s="25">
        <v>-1.69</v>
      </c>
      <c r="O918" s="25">
        <v>-17.53</v>
      </c>
      <c r="P918" s="27">
        <v>3.3599999999999998E-2</v>
      </c>
      <c r="Q918" s="11">
        <v>8.9999999999999998E-4</v>
      </c>
      <c r="R918" s="12">
        <f t="shared" si="308"/>
        <v>0.10629747394453277</v>
      </c>
      <c r="S918" s="12">
        <f t="shared" si="309"/>
        <v>-7.4633456986398158E-3</v>
      </c>
      <c r="T918" s="12">
        <f t="shared" si="310"/>
        <v>-7.7415650945062711E-2</v>
      </c>
      <c r="U918" s="12">
        <f t="shared" si="255"/>
        <v>3.5715951245363009E-3</v>
      </c>
      <c r="V918" s="12">
        <f t="shared" si="248"/>
        <v>-2.5076841547429782E-4</v>
      </c>
      <c r="W918" s="12">
        <f t="shared" si="249"/>
        <v>-2.6011658717541067E-3</v>
      </c>
      <c r="X918" s="12">
        <f t="shared" si="250"/>
        <v>9.5667726550079489E-5</v>
      </c>
      <c r="Y918" s="12">
        <f t="shared" si="251"/>
        <v>-6.7170111287758338E-6</v>
      </c>
      <c r="Z918" s="12">
        <f t="shared" si="252"/>
        <v>-6.9674085850556438E-5</v>
      </c>
    </row>
    <row r="919" spans="1:26" ht="13">
      <c r="A919" s="24" t="str">
        <f t="shared" si="317"/>
        <v>TCO</v>
      </c>
      <c r="B919" s="9">
        <v>2019</v>
      </c>
      <c r="C919" s="19">
        <v>16.25</v>
      </c>
      <c r="D919" s="19">
        <v>18.38</v>
      </c>
      <c r="E919" s="19">
        <v>213.86</v>
      </c>
      <c r="F919" s="19">
        <v>110.93</v>
      </c>
      <c r="G919" s="19">
        <v>14.85</v>
      </c>
      <c r="H919" s="10">
        <f t="shared" si="311"/>
        <v>7.5984288787056944E-2</v>
      </c>
      <c r="I919" s="10">
        <f t="shared" si="312"/>
        <v>8.594407556345271E-2</v>
      </c>
      <c r="J919" s="10">
        <f t="shared" si="313"/>
        <v>7.4700336700336702</v>
      </c>
      <c r="K919" s="4">
        <f t="shared" si="296"/>
        <v>-4.1819282035102106</v>
      </c>
      <c r="L919" s="10">
        <f t="shared" si="297"/>
        <v>8.594407556345271E-2</v>
      </c>
      <c r="M919" s="25">
        <v>27.53</v>
      </c>
      <c r="N919" s="25">
        <v>-54.88</v>
      </c>
      <c r="O919" s="25">
        <v>-28.12</v>
      </c>
      <c r="P919" s="11">
        <v>2.9499999999999998E-2</v>
      </c>
      <c r="Q919" s="11">
        <f t="shared" ref="Q919:Q920" si="318">Q918</f>
        <v>8.9999999999999998E-4</v>
      </c>
      <c r="R919" s="12">
        <f t="shared" si="308"/>
        <v>0.1287290750958571</v>
      </c>
      <c r="S919" s="12">
        <f t="shared" si="309"/>
        <v>-0.25661647806976529</v>
      </c>
      <c r="T919" s="12">
        <f t="shared" si="310"/>
        <v>-0.13148788927335639</v>
      </c>
      <c r="U919" s="12">
        <f t="shared" si="255"/>
        <v>3.7975077153277843E-3</v>
      </c>
      <c r="V919" s="12">
        <f t="shared" si="248"/>
        <v>-7.5701861030580755E-3</v>
      </c>
      <c r="W919" s="12">
        <f t="shared" si="249"/>
        <v>-3.8788927335640135E-3</v>
      </c>
      <c r="X919" s="12">
        <f t="shared" si="250"/>
        <v>1.1585616758627138E-4</v>
      </c>
      <c r="Y919" s="12">
        <f t="shared" si="251"/>
        <v>-2.3095483026278876E-4</v>
      </c>
      <c r="Z919" s="12">
        <f t="shared" si="252"/>
        <v>-1.1833910034602075E-4</v>
      </c>
    </row>
    <row r="920" spans="1:26" ht="13">
      <c r="A920" s="24" t="str">
        <f t="shared" si="317"/>
        <v>TCO</v>
      </c>
      <c r="B920" s="9">
        <v>2020</v>
      </c>
      <c r="C920" s="19">
        <v>17.86</v>
      </c>
      <c r="D920" s="19">
        <v>20.170000000000002</v>
      </c>
      <c r="E920" s="19">
        <v>220.37</v>
      </c>
      <c r="F920" s="19">
        <v>131.66999999999999</v>
      </c>
      <c r="G920" s="19">
        <v>19.399999999999999</v>
      </c>
      <c r="H920" s="10">
        <f t="shared" si="311"/>
        <v>8.1045514362209012E-2</v>
      </c>
      <c r="I920" s="10">
        <f t="shared" si="312"/>
        <v>9.1527884920814997E-2</v>
      </c>
      <c r="J920" s="10">
        <f t="shared" si="313"/>
        <v>6.7871134020618555</v>
      </c>
      <c r="K920" s="4">
        <f t="shared" si="296"/>
        <v>-4.1701443241895424</v>
      </c>
      <c r="L920" s="10">
        <f t="shared" si="297"/>
        <v>9.1527884920814997E-2</v>
      </c>
      <c r="M920" s="26">
        <v>10.7</v>
      </c>
      <c r="N920" s="25">
        <v>47.31</v>
      </c>
      <c r="O920" s="25">
        <v>-15</v>
      </c>
      <c r="P920" s="11">
        <v>3.1800000000000002E-2</v>
      </c>
      <c r="Q920" s="11">
        <f t="shared" si="318"/>
        <v>8.9999999999999998E-4</v>
      </c>
      <c r="R920" s="12">
        <f t="shared" si="308"/>
        <v>4.855470345328311E-2</v>
      </c>
      <c r="S920" s="12">
        <f t="shared" si="309"/>
        <v>0.21468439442755366</v>
      </c>
      <c r="T920" s="12">
        <f t="shared" si="310"/>
        <v>-6.8067341289649225E-2</v>
      </c>
      <c r="U920" s="12">
        <f t="shared" si="255"/>
        <v>1.544039569814403E-3</v>
      </c>
      <c r="V920" s="12">
        <f t="shared" si="248"/>
        <v>6.8269637427962066E-3</v>
      </c>
      <c r="W920" s="12">
        <f t="shared" si="249"/>
        <v>-2.1645414530108453E-3</v>
      </c>
      <c r="X920" s="12">
        <f t="shared" si="250"/>
        <v>4.3699233107954797E-5</v>
      </c>
      <c r="Y920" s="12">
        <f t="shared" si="251"/>
        <v>1.932159549847983E-4</v>
      </c>
      <c r="Z920" s="12">
        <f t="shared" si="252"/>
        <v>-6.1260607160684298E-5</v>
      </c>
    </row>
    <row r="921" spans="1:26" ht="13">
      <c r="A921" s="24" t="str">
        <f t="shared" si="317"/>
        <v>TCO</v>
      </c>
      <c r="B921" s="9">
        <v>2021</v>
      </c>
      <c r="C921" s="19">
        <v>46.79</v>
      </c>
      <c r="D921" s="19">
        <v>67.75</v>
      </c>
      <c r="E921" s="19">
        <v>377.54</v>
      </c>
      <c r="F921" s="19">
        <v>363.29</v>
      </c>
      <c r="G921" s="19">
        <v>64.22</v>
      </c>
      <c r="H921" s="10">
        <f t="shared" si="311"/>
        <v>0.12393388779996821</v>
      </c>
      <c r="I921" s="10">
        <f t="shared" si="312"/>
        <v>0.17945118398050536</v>
      </c>
      <c r="J921" s="10">
        <f t="shared" si="313"/>
        <v>5.6569604484584248</v>
      </c>
      <c r="K921" s="4">
        <f t="shared" si="296"/>
        <v>-3.85745858820481</v>
      </c>
      <c r="L921" s="10">
        <f t="shared" si="297"/>
        <v>0.17945118398050536</v>
      </c>
      <c r="M921" s="25">
        <v>-95.16</v>
      </c>
      <c r="N921" s="25">
        <v>-4.97</v>
      </c>
      <c r="O921" s="25">
        <v>44.86</v>
      </c>
      <c r="P921" s="27">
        <v>2.3199999999999998E-2</v>
      </c>
      <c r="Q921" s="11">
        <v>2.9999999999999997E-4</v>
      </c>
      <c r="R921" s="12">
        <f t="shared" si="308"/>
        <v>-0.2520527626211792</v>
      </c>
      <c r="S921" s="12">
        <f t="shared" si="309"/>
        <v>-1.316416803517508E-2</v>
      </c>
      <c r="T921" s="12">
        <f t="shared" si="310"/>
        <v>0.11882184669174127</v>
      </c>
      <c r="U921" s="12">
        <f t="shared" si="255"/>
        <v>-5.8476240928113567E-3</v>
      </c>
      <c r="V921" s="12">
        <f t="shared" si="248"/>
        <v>-3.0540869841606181E-4</v>
      </c>
      <c r="W921" s="12">
        <f t="shared" si="249"/>
        <v>2.7566668432483974E-3</v>
      </c>
      <c r="X921" s="12">
        <f t="shared" si="250"/>
        <v>-7.5615828786353755E-5</v>
      </c>
      <c r="Y921" s="12">
        <f t="shared" si="251"/>
        <v>-3.9492504105525238E-6</v>
      </c>
      <c r="Z921" s="12">
        <f t="shared" si="252"/>
        <v>3.5646554007522377E-5</v>
      </c>
    </row>
    <row r="922" spans="1:26" ht="13">
      <c r="A922" s="24" t="s">
        <v>201</v>
      </c>
      <c r="B922" s="9">
        <v>2017</v>
      </c>
      <c r="C922" s="19">
        <v>74.86</v>
      </c>
      <c r="D922" s="19">
        <v>10.029999999999999</v>
      </c>
      <c r="E922" s="19">
        <v>253.06</v>
      </c>
      <c r="F922" s="19">
        <v>98.23</v>
      </c>
      <c r="G922" s="19">
        <v>10.029999999999999</v>
      </c>
      <c r="H922" s="10">
        <f t="shared" si="311"/>
        <v>0.29581917331858054</v>
      </c>
      <c r="I922" s="10">
        <f t="shared" si="312"/>
        <v>3.963486920098E-2</v>
      </c>
      <c r="J922" s="10">
        <f t="shared" si="313"/>
        <v>9.7936191425722843</v>
      </c>
      <c r="K922" s="4">
        <f t="shared" si="296"/>
        <v>-5.4444420020583149</v>
      </c>
      <c r="L922" s="10">
        <f t="shared" si="297"/>
        <v>3.963486920098E-2</v>
      </c>
      <c r="M922" s="25">
        <v>105.52</v>
      </c>
      <c r="N922" s="25">
        <v>-2.98</v>
      </c>
      <c r="O922" s="25">
        <v>-70.33</v>
      </c>
      <c r="P922" s="11">
        <v>0.1686</v>
      </c>
      <c r="Q922" s="11">
        <v>0</v>
      </c>
      <c r="R922" s="12">
        <f t="shared" si="308"/>
        <v>0.41697621117521533</v>
      </c>
      <c r="S922" s="12">
        <f t="shared" si="309"/>
        <v>-1.177586343159725E-2</v>
      </c>
      <c r="T922" s="12">
        <f t="shared" si="310"/>
        <v>-0.27791828024974313</v>
      </c>
      <c r="U922" s="12">
        <f t="shared" si="255"/>
        <v>7.0302189204141302E-2</v>
      </c>
      <c r="V922" s="12">
        <f t="shared" si="248"/>
        <v>-1.9854105745672965E-3</v>
      </c>
      <c r="W922" s="12">
        <f t="shared" si="249"/>
        <v>-4.6857022050106695E-2</v>
      </c>
      <c r="X922" s="12">
        <f t="shared" si="250"/>
        <v>0</v>
      </c>
      <c r="Y922" s="12">
        <f t="shared" si="251"/>
        <v>0</v>
      </c>
      <c r="Z922" s="12">
        <f t="shared" si="252"/>
        <v>0</v>
      </c>
    </row>
    <row r="923" spans="1:26" ht="13">
      <c r="A923" s="24" t="str">
        <f t="shared" ref="A923:A926" si="319">A922</f>
        <v>TCT</v>
      </c>
      <c r="B923" s="9">
        <v>2018</v>
      </c>
      <c r="C923" s="19">
        <v>69.44</v>
      </c>
      <c r="D923" s="19">
        <v>9.27</v>
      </c>
      <c r="E923" s="19">
        <v>314.02999999999997</v>
      </c>
      <c r="F923" s="19">
        <v>189.18</v>
      </c>
      <c r="G923" s="19">
        <v>9.27</v>
      </c>
      <c r="H923" s="10">
        <f t="shared" si="311"/>
        <v>0.2211253701875617</v>
      </c>
      <c r="I923" s="10">
        <f t="shared" si="312"/>
        <v>2.9519472661847596E-2</v>
      </c>
      <c r="J923" s="10">
        <f t="shared" si="313"/>
        <v>20.407766990291265</v>
      </c>
      <c r="K923" s="4">
        <f t="shared" si="296"/>
        <v>-5.2084342396326617</v>
      </c>
      <c r="L923" s="10">
        <f t="shared" si="297"/>
        <v>2.9519472661847596E-2</v>
      </c>
      <c r="M923" s="25">
        <v>110.58</v>
      </c>
      <c r="N923" s="25">
        <v>-68.510000000000005</v>
      </c>
      <c r="O923" s="25">
        <v>-3.84</v>
      </c>
      <c r="P923" s="11">
        <v>0.17960000000000001</v>
      </c>
      <c r="Q923" s="11">
        <v>0</v>
      </c>
      <c r="R923" s="12">
        <f t="shared" si="308"/>
        <v>0.35213196191446677</v>
      </c>
      <c r="S923" s="12">
        <f t="shared" si="309"/>
        <v>-0.21816386969397833</v>
      </c>
      <c r="T923" s="12">
        <f t="shared" si="310"/>
        <v>-1.222813107027991E-2</v>
      </c>
      <c r="U923" s="12">
        <f t="shared" si="255"/>
        <v>6.3242900359838233E-2</v>
      </c>
      <c r="V923" s="12">
        <f t="shared" si="248"/>
        <v>-3.9182230997038513E-2</v>
      </c>
      <c r="W923" s="12">
        <f t="shared" si="249"/>
        <v>-2.1961723402222719E-3</v>
      </c>
      <c r="X923" s="12">
        <f t="shared" si="250"/>
        <v>0</v>
      </c>
      <c r="Y923" s="12">
        <f t="shared" si="251"/>
        <v>0</v>
      </c>
      <c r="Z923" s="12">
        <f t="shared" si="252"/>
        <v>0</v>
      </c>
    </row>
    <row r="924" spans="1:26" ht="13">
      <c r="A924" s="24" t="str">
        <f t="shared" si="319"/>
        <v>TCT</v>
      </c>
      <c r="B924" s="9">
        <v>2019</v>
      </c>
      <c r="C924" s="19">
        <v>67.150000000000006</v>
      </c>
      <c r="D924" s="19">
        <v>22.11</v>
      </c>
      <c r="E924" s="19">
        <v>368.12</v>
      </c>
      <c r="F924" s="19">
        <v>280.14999999999998</v>
      </c>
      <c r="G924" s="19">
        <v>22.11</v>
      </c>
      <c r="H924" s="10">
        <f t="shared" si="311"/>
        <v>0.18241334347495383</v>
      </c>
      <c r="I924" s="10">
        <f t="shared" si="312"/>
        <v>6.0061936325111372E-2</v>
      </c>
      <c r="J924" s="10">
        <f t="shared" si="313"/>
        <v>12.670737222976028</v>
      </c>
      <c r="K924" s="4">
        <f t="shared" si="296"/>
        <v>-4.8291899574760606</v>
      </c>
      <c r="L924" s="10">
        <f t="shared" si="297"/>
        <v>6.0061936325111372E-2</v>
      </c>
      <c r="M924" s="25">
        <v>88.32</v>
      </c>
      <c r="N924" s="25">
        <v>-107.78</v>
      </c>
      <c r="O924" s="25">
        <v>-25.58</v>
      </c>
      <c r="P924" s="11">
        <v>0.1968</v>
      </c>
      <c r="Q924" s="11">
        <v>0</v>
      </c>
      <c r="R924" s="12">
        <f t="shared" si="308"/>
        <v>0.23992176464196455</v>
      </c>
      <c r="S924" s="12">
        <f t="shared" si="309"/>
        <v>-0.2927849614256221</v>
      </c>
      <c r="T924" s="12">
        <f t="shared" si="310"/>
        <v>-6.9488210366184938E-2</v>
      </c>
      <c r="U924" s="12">
        <f t="shared" si="255"/>
        <v>4.7216603281538622E-2</v>
      </c>
      <c r="V924" s="12">
        <f t="shared" si="248"/>
        <v>-5.7620080408562431E-2</v>
      </c>
      <c r="W924" s="12">
        <f t="shared" si="249"/>
        <v>-1.3675279800065197E-2</v>
      </c>
      <c r="X924" s="12">
        <f t="shared" si="250"/>
        <v>0</v>
      </c>
      <c r="Y924" s="12">
        <f t="shared" si="251"/>
        <v>0</v>
      </c>
      <c r="Z924" s="12">
        <f t="shared" si="252"/>
        <v>0</v>
      </c>
    </row>
    <row r="925" spans="1:26" ht="13">
      <c r="A925" s="24" t="str">
        <f t="shared" si="319"/>
        <v>TCT</v>
      </c>
      <c r="B925" s="9">
        <v>2020</v>
      </c>
      <c r="C925" s="19">
        <v>0.66</v>
      </c>
      <c r="D925" s="19">
        <v>23.89</v>
      </c>
      <c r="E925" s="19">
        <v>324.95</v>
      </c>
      <c r="F925" s="19">
        <v>272.7</v>
      </c>
      <c r="G925" s="19">
        <v>23.89</v>
      </c>
      <c r="H925" s="10">
        <f t="shared" si="311"/>
        <v>2.0310817048776737E-3</v>
      </c>
      <c r="I925" s="10">
        <f t="shared" si="312"/>
        <v>7.35190029235267E-2</v>
      </c>
      <c r="J925" s="10">
        <f t="shared" si="313"/>
        <v>11.414817915445793</v>
      </c>
      <c r="K925" s="4">
        <f t="shared" si="296"/>
        <v>-3.9357408226696302</v>
      </c>
      <c r="L925" s="10">
        <f t="shared" si="297"/>
        <v>7.35190029235267E-2</v>
      </c>
      <c r="M925" s="25">
        <v>7.84</v>
      </c>
      <c r="N925" s="25">
        <v>-1.17</v>
      </c>
      <c r="O925" s="25">
        <v>-19.18</v>
      </c>
      <c r="P925" s="11">
        <v>0.12379999999999999</v>
      </c>
      <c r="Q925" s="11">
        <v>0</v>
      </c>
      <c r="R925" s="12">
        <f t="shared" si="308"/>
        <v>2.4126788736728726E-2</v>
      </c>
      <c r="S925" s="12">
        <f t="shared" si="309"/>
        <v>-3.6005539313740576E-3</v>
      </c>
      <c r="T925" s="12">
        <f t="shared" si="310"/>
        <v>-5.9024465302354209E-2</v>
      </c>
      <c r="U925" s="12">
        <f t="shared" si="255"/>
        <v>2.9868964456070163E-3</v>
      </c>
      <c r="V925" s="12">
        <f t="shared" si="248"/>
        <v>-4.4574857670410828E-4</v>
      </c>
      <c r="W925" s="12">
        <f t="shared" si="249"/>
        <v>-7.307228804431451E-3</v>
      </c>
      <c r="X925" s="12">
        <f t="shared" si="250"/>
        <v>0</v>
      </c>
      <c r="Y925" s="12">
        <f t="shared" si="251"/>
        <v>0</v>
      </c>
      <c r="Z925" s="12">
        <f t="shared" si="252"/>
        <v>0</v>
      </c>
    </row>
    <row r="926" spans="1:26" ht="13">
      <c r="A926" s="24" t="str">
        <f t="shared" si="319"/>
        <v>TCT</v>
      </c>
      <c r="B926" s="9">
        <v>2021</v>
      </c>
      <c r="C926" s="19">
        <v>1.65</v>
      </c>
      <c r="D926" s="19">
        <v>11.49</v>
      </c>
      <c r="E926" s="19">
        <v>307.55</v>
      </c>
      <c r="F926" s="19">
        <v>288.99</v>
      </c>
      <c r="G926" s="19">
        <v>11.49</v>
      </c>
      <c r="H926" s="10">
        <f t="shared" si="311"/>
        <v>5.3649813038530317E-3</v>
      </c>
      <c r="I926" s="10">
        <f t="shared" si="312"/>
        <v>3.7359778897740205E-2</v>
      </c>
      <c r="J926" s="10">
        <f t="shared" si="313"/>
        <v>25.151436031331592</v>
      </c>
      <c r="K926" s="4">
        <f t="shared" si="296"/>
        <v>-4.2117974202755457</v>
      </c>
      <c r="L926" s="10">
        <f t="shared" si="297"/>
        <v>3.7359778897740205E-2</v>
      </c>
      <c r="M926" s="25">
        <v>4.4400000000000004</v>
      </c>
      <c r="N926" s="25">
        <v>24.27</v>
      </c>
      <c r="O926" s="25">
        <v>-6.39</v>
      </c>
      <c r="P926" s="11">
        <v>0.16239999999999999</v>
      </c>
      <c r="Q926" s="11">
        <v>0</v>
      </c>
      <c r="R926" s="12">
        <f t="shared" si="308"/>
        <v>1.4436676963095432E-2</v>
      </c>
      <c r="S926" s="12">
        <f t="shared" si="309"/>
        <v>7.8913997723947318E-2</v>
      </c>
      <c r="T926" s="12">
        <f t="shared" si="310"/>
        <v>-2.077710941310356E-2</v>
      </c>
      <c r="U926" s="12">
        <f t="shared" si="255"/>
        <v>2.344516338806698E-3</v>
      </c>
      <c r="V926" s="12">
        <f t="shared" si="248"/>
        <v>1.2815633230369043E-2</v>
      </c>
      <c r="W926" s="12">
        <f t="shared" si="249"/>
        <v>-3.3742025686880179E-3</v>
      </c>
      <c r="X926" s="12">
        <f t="shared" si="250"/>
        <v>0</v>
      </c>
      <c r="Y926" s="12">
        <f t="shared" si="251"/>
        <v>0</v>
      </c>
      <c r="Z926" s="12">
        <f t="shared" si="252"/>
        <v>0</v>
      </c>
    </row>
    <row r="927" spans="1:26" ht="13">
      <c r="A927" s="24" t="s">
        <v>202</v>
      </c>
      <c r="B927" s="9">
        <v>2017</v>
      </c>
      <c r="C927" s="19">
        <v>28.98</v>
      </c>
      <c r="D927" s="19">
        <v>90.77</v>
      </c>
      <c r="E927" s="19">
        <v>270.74</v>
      </c>
      <c r="F927" s="19">
        <v>105.83</v>
      </c>
      <c r="G927" s="19">
        <v>90.77</v>
      </c>
      <c r="H927" s="10">
        <f t="shared" si="311"/>
        <v>0.10703996454162665</v>
      </c>
      <c r="I927" s="10">
        <f t="shared" si="312"/>
        <v>0.33526630715815908</v>
      </c>
      <c r="J927" s="10">
        <f t="shared" si="313"/>
        <v>1.1659138481877274</v>
      </c>
      <c r="K927" s="4">
        <f t="shared" si="296"/>
        <v>-2.8753255450285642</v>
      </c>
      <c r="L927" s="10">
        <f t="shared" si="297"/>
        <v>0.33526630715815908</v>
      </c>
      <c r="M927" s="25">
        <v>-6.66</v>
      </c>
      <c r="N927" s="25">
        <v>-0.33</v>
      </c>
      <c r="O927" s="25">
        <v>7.64</v>
      </c>
      <c r="P927" s="11">
        <v>1.54E-2</v>
      </c>
      <c r="Q927" s="11">
        <v>3.8E-3</v>
      </c>
      <c r="R927" s="12">
        <f t="shared" si="308"/>
        <v>-2.4599246509566373E-2</v>
      </c>
      <c r="S927" s="12">
        <f t="shared" si="309"/>
        <v>-1.2188815838073427E-3</v>
      </c>
      <c r="T927" s="12">
        <f t="shared" si="310"/>
        <v>2.8218955455418481E-2</v>
      </c>
      <c r="U927" s="12">
        <f t="shared" si="255"/>
        <v>-3.7882839624732217E-4</v>
      </c>
      <c r="V927" s="12">
        <f t="shared" si="248"/>
        <v>-1.877077639063308E-5</v>
      </c>
      <c r="W927" s="12">
        <f t="shared" si="249"/>
        <v>4.345719140134446E-4</v>
      </c>
      <c r="X927" s="12">
        <f t="shared" si="250"/>
        <v>-9.3477136736352221E-5</v>
      </c>
      <c r="Y927" s="12">
        <f t="shared" si="251"/>
        <v>-4.6317500184679027E-6</v>
      </c>
      <c r="Z927" s="12">
        <f t="shared" si="252"/>
        <v>1.0723203073059022E-4</v>
      </c>
    </row>
    <row r="928" spans="1:26" ht="13">
      <c r="A928" s="24" t="str">
        <f t="shared" ref="A928:A931" si="320">A927</f>
        <v>TDG</v>
      </c>
      <c r="B928" s="9">
        <v>2018</v>
      </c>
      <c r="C928" s="19">
        <v>14.41</v>
      </c>
      <c r="D928" s="19">
        <v>146.71</v>
      </c>
      <c r="E928" s="19">
        <v>341.09</v>
      </c>
      <c r="F928" s="19">
        <v>162.61000000000001</v>
      </c>
      <c r="G928" s="19">
        <v>143.31</v>
      </c>
      <c r="H928" s="10">
        <f t="shared" si="311"/>
        <v>4.2246914304142603E-2</v>
      </c>
      <c r="I928" s="10">
        <f t="shared" si="312"/>
        <v>0.4301210824122666</v>
      </c>
      <c r="J928" s="10">
        <f t="shared" si="313"/>
        <v>1.1346730863163772</v>
      </c>
      <c r="K928" s="4">
        <f t="shared" si="296"/>
        <v>-2.0429596369639875</v>
      </c>
      <c r="L928" s="10">
        <f t="shared" si="297"/>
        <v>0.4301210824122666</v>
      </c>
      <c r="M928" s="25">
        <v>-8.27</v>
      </c>
      <c r="N928" s="25">
        <v>0.12</v>
      </c>
      <c r="O928" s="26">
        <v>6.7</v>
      </c>
      <c r="P928" s="11">
        <v>1.95E-2</v>
      </c>
      <c r="Q928" s="11">
        <v>0</v>
      </c>
      <c r="R928" s="12">
        <f t="shared" si="308"/>
        <v>-2.4245800228678647E-2</v>
      </c>
      <c r="S928" s="12">
        <f t="shared" si="309"/>
        <v>3.5181330440646165E-4</v>
      </c>
      <c r="T928" s="12">
        <f t="shared" si="310"/>
        <v>1.9642909496027445E-2</v>
      </c>
      <c r="U928" s="12">
        <f t="shared" si="255"/>
        <v>-4.7279310445923363E-4</v>
      </c>
      <c r="V928" s="12">
        <f t="shared" si="248"/>
        <v>6.8603594359260026E-6</v>
      </c>
      <c r="W928" s="12">
        <f t="shared" si="249"/>
        <v>3.8303673517253516E-4</v>
      </c>
      <c r="X928" s="12">
        <f t="shared" si="250"/>
        <v>0</v>
      </c>
      <c r="Y928" s="12">
        <f t="shared" si="251"/>
        <v>0</v>
      </c>
      <c r="Z928" s="12">
        <f t="shared" si="252"/>
        <v>0</v>
      </c>
    </row>
    <row r="929" spans="1:26" ht="13">
      <c r="A929" s="24" t="str">
        <f t="shared" si="320"/>
        <v>TDG</v>
      </c>
      <c r="B929" s="9">
        <v>2019</v>
      </c>
      <c r="C929" s="19">
        <v>3.65</v>
      </c>
      <c r="D929" s="19">
        <v>244.63</v>
      </c>
      <c r="E929" s="19">
        <v>442.65</v>
      </c>
      <c r="F929" s="19">
        <v>280.22000000000003</v>
      </c>
      <c r="G929" s="19">
        <v>242.24</v>
      </c>
      <c r="H929" s="10">
        <f t="shared" si="311"/>
        <v>8.2457923867615499E-3</v>
      </c>
      <c r="I929" s="10">
        <f t="shared" si="312"/>
        <v>0.552648819609172</v>
      </c>
      <c r="J929" s="10">
        <f t="shared" si="313"/>
        <v>1.1567866578599737</v>
      </c>
      <c r="K929" s="4">
        <f t="shared" si="296"/>
        <v>-1.1916349405995861</v>
      </c>
      <c r="L929" s="10">
        <f t="shared" si="297"/>
        <v>0.552648819609172</v>
      </c>
      <c r="M929" s="25">
        <v>-56.28</v>
      </c>
      <c r="N929" s="25">
        <v>-33.61</v>
      </c>
      <c r="O929" s="25">
        <v>85.22</v>
      </c>
      <c r="P929" s="11">
        <v>2.76E-2</v>
      </c>
      <c r="Q929" s="11">
        <v>0.113</v>
      </c>
      <c r="R929" s="12">
        <f t="shared" si="308"/>
        <v>-0.12714334124025756</v>
      </c>
      <c r="S929" s="12">
        <f t="shared" si="309"/>
        <v>-7.5929063594261839E-2</v>
      </c>
      <c r="T929" s="12">
        <f t="shared" si="310"/>
        <v>0.1925223088218683</v>
      </c>
      <c r="U929" s="12">
        <f t="shared" si="255"/>
        <v>-3.5091562182311084E-3</v>
      </c>
      <c r="V929" s="12">
        <f t="shared" si="248"/>
        <v>-2.0956421552016267E-3</v>
      </c>
      <c r="W929" s="12">
        <f t="shared" si="249"/>
        <v>5.3136157234835646E-3</v>
      </c>
      <c r="X929" s="12">
        <f t="shared" si="250"/>
        <v>-1.4367197560149104E-2</v>
      </c>
      <c r="Y929" s="12">
        <f t="shared" si="251"/>
        <v>-8.5799841861515878E-3</v>
      </c>
      <c r="Z929" s="12">
        <f t="shared" si="252"/>
        <v>2.1755020896871119E-2</v>
      </c>
    </row>
    <row r="930" spans="1:26" ht="13">
      <c r="A930" s="24" t="str">
        <f t="shared" si="320"/>
        <v>TDG</v>
      </c>
      <c r="B930" s="9">
        <v>2020</v>
      </c>
      <c r="C930" s="19">
        <v>0.56000000000000005</v>
      </c>
      <c r="D930" s="19">
        <v>245.44</v>
      </c>
      <c r="E930" s="19">
        <v>444.03</v>
      </c>
      <c r="F930" s="19">
        <v>188.25</v>
      </c>
      <c r="G930" s="19">
        <v>181.79</v>
      </c>
      <c r="H930" s="10">
        <f t="shared" si="311"/>
        <v>1.2611760466635139E-3</v>
      </c>
      <c r="I930" s="10">
        <f t="shared" si="312"/>
        <v>0.55275544445195146</v>
      </c>
      <c r="J930" s="10">
        <f t="shared" si="313"/>
        <v>1.0355355080037407</v>
      </c>
      <c r="K930" s="4">
        <f t="shared" si="296"/>
        <v>-1.1591114008658776</v>
      </c>
      <c r="L930" s="10">
        <f t="shared" si="297"/>
        <v>0.55275544445195146</v>
      </c>
      <c r="M930" s="25">
        <v>-19.260000000000002</v>
      </c>
      <c r="N930" s="25">
        <v>-8.0500000000000007</v>
      </c>
      <c r="O930" s="25">
        <v>23.46</v>
      </c>
      <c r="P930" s="11">
        <v>1.7399999999999999E-2</v>
      </c>
      <c r="Q930" s="11">
        <v>0.1011</v>
      </c>
      <c r="R930" s="12">
        <f t="shared" si="308"/>
        <v>-4.3375447604891565E-2</v>
      </c>
      <c r="S930" s="12">
        <f t="shared" si="309"/>
        <v>-1.8129405670788013E-2</v>
      </c>
      <c r="T930" s="12">
        <f t="shared" si="310"/>
        <v>5.2834267954867918E-2</v>
      </c>
      <c r="U930" s="12">
        <f t="shared" si="255"/>
        <v>-7.5473278832511312E-4</v>
      </c>
      <c r="V930" s="12">
        <f t="shared" si="248"/>
        <v>-3.1545165867171142E-4</v>
      </c>
      <c r="W930" s="12">
        <f t="shared" si="249"/>
        <v>9.1931626241470172E-4</v>
      </c>
      <c r="X930" s="12">
        <f t="shared" si="250"/>
        <v>-4.3852577528545374E-3</v>
      </c>
      <c r="Y930" s="12">
        <f t="shared" si="251"/>
        <v>-1.832882913316668E-3</v>
      </c>
      <c r="Z930" s="12">
        <f t="shared" si="252"/>
        <v>5.3415444902371462E-3</v>
      </c>
    </row>
    <row r="931" spans="1:26" ht="13">
      <c r="A931" s="24" t="str">
        <f t="shared" si="320"/>
        <v>TDG</v>
      </c>
      <c r="B931" s="9">
        <v>2021</v>
      </c>
      <c r="C931" s="19">
        <v>15.72</v>
      </c>
      <c r="D931" s="19">
        <v>356.48</v>
      </c>
      <c r="E931" s="19">
        <v>570.79</v>
      </c>
      <c r="F931" s="19">
        <v>345.72</v>
      </c>
      <c r="G931" s="19">
        <v>348.38</v>
      </c>
      <c r="H931" s="10">
        <f t="shared" si="311"/>
        <v>2.7540776818094224E-2</v>
      </c>
      <c r="I931" s="10">
        <f t="shared" si="312"/>
        <v>0.62453792112685935</v>
      </c>
      <c r="J931" s="10">
        <f t="shared" si="313"/>
        <v>0.99236465928009654</v>
      </c>
      <c r="K931" s="4">
        <f t="shared" si="296"/>
        <v>-0.8680368038954458</v>
      </c>
      <c r="L931" s="10">
        <f t="shared" si="297"/>
        <v>0.62453792112685935</v>
      </c>
      <c r="M931" s="25">
        <v>-12.09</v>
      </c>
      <c r="N931" s="25">
        <v>0.01</v>
      </c>
      <c r="O931" s="25">
        <v>17.72</v>
      </c>
      <c r="P931" s="11">
        <v>2.41E-2</v>
      </c>
      <c r="Q931" s="11">
        <v>0.10009999999999999</v>
      </c>
      <c r="R931" s="12">
        <f t="shared" si="308"/>
        <v>-2.1181169957427425E-2</v>
      </c>
      <c r="S931" s="12">
        <f t="shared" si="309"/>
        <v>1.7519578128558667E-5</v>
      </c>
      <c r="T931" s="12">
        <f t="shared" si="310"/>
        <v>3.1044692443805953E-2</v>
      </c>
      <c r="U931" s="12">
        <f t="shared" si="255"/>
        <v>-5.1046619597400092E-4</v>
      </c>
      <c r="V931" s="12">
        <f t="shared" si="248"/>
        <v>4.2222183289826389E-7</v>
      </c>
      <c r="W931" s="12">
        <f t="shared" si="249"/>
        <v>7.481770878957234E-4</v>
      </c>
      <c r="X931" s="12">
        <f t="shared" si="250"/>
        <v>-2.120235112738485E-3</v>
      </c>
      <c r="Y931" s="12">
        <f t="shared" si="251"/>
        <v>1.7537097706687225E-6</v>
      </c>
      <c r="Z931" s="12">
        <f t="shared" si="252"/>
        <v>3.1075737136249757E-3</v>
      </c>
    </row>
    <row r="932" spans="1:26" ht="13">
      <c r="A932" s="24" t="s">
        <v>203</v>
      </c>
      <c r="B932" s="9">
        <v>2017</v>
      </c>
      <c r="C932" s="19">
        <v>75.89</v>
      </c>
      <c r="D932" s="19">
        <v>1327.25</v>
      </c>
      <c r="E932" s="19">
        <v>2071.7600000000002</v>
      </c>
      <c r="F932" s="19">
        <v>425.5</v>
      </c>
      <c r="G932" s="19">
        <v>831.71</v>
      </c>
      <c r="H932" s="10">
        <f t="shared" si="311"/>
        <v>3.6630690813607751E-2</v>
      </c>
      <c r="I932" s="10">
        <f t="shared" si="312"/>
        <v>0.64063887709001033</v>
      </c>
      <c r="J932" s="10">
        <f t="shared" si="313"/>
        <v>0.51159659015762704</v>
      </c>
      <c r="K932" s="4">
        <f t="shared" si="296"/>
        <v>-0.81524289560880658</v>
      </c>
      <c r="L932" s="10">
        <f t="shared" si="297"/>
        <v>0.64063887709001033</v>
      </c>
      <c r="M932" s="25">
        <v>142.94999999999999</v>
      </c>
      <c r="N932" s="25">
        <v>-315.83</v>
      </c>
      <c r="O932" s="25">
        <v>482.23</v>
      </c>
      <c r="P932" s="11">
        <v>0.46650000000000003</v>
      </c>
      <c r="Q932" s="11">
        <v>1.44E-2</v>
      </c>
      <c r="R932" s="12">
        <f t="shared" si="308"/>
        <v>6.8999304938795983E-2</v>
      </c>
      <c r="S932" s="12">
        <f t="shared" si="309"/>
        <v>-0.15244526393018493</v>
      </c>
      <c r="T932" s="12">
        <f t="shared" si="310"/>
        <v>0.23276344750357184</v>
      </c>
      <c r="U932" s="12">
        <f t="shared" si="255"/>
        <v>3.2188175753948327E-2</v>
      </c>
      <c r="V932" s="12">
        <f t="shared" si="248"/>
        <v>-7.1115715623431275E-2</v>
      </c>
      <c r="W932" s="12">
        <f t="shared" si="249"/>
        <v>0.10858414826041626</v>
      </c>
      <c r="X932" s="12">
        <f t="shared" si="250"/>
        <v>9.935899911186622E-4</v>
      </c>
      <c r="Y932" s="12">
        <f t="shared" si="251"/>
        <v>-2.1952118005946629E-3</v>
      </c>
      <c r="Z932" s="12">
        <f t="shared" si="252"/>
        <v>3.3517936440514342E-3</v>
      </c>
    </row>
    <row r="933" spans="1:26" ht="13">
      <c r="A933" s="24" t="str">
        <f t="shared" ref="A933:A936" si="321">A932</f>
        <v>TDM</v>
      </c>
      <c r="B933" s="9">
        <v>2018</v>
      </c>
      <c r="C933" s="19">
        <v>190</v>
      </c>
      <c r="D933" s="19">
        <v>679.18</v>
      </c>
      <c r="E933" s="19">
        <v>1788.19</v>
      </c>
      <c r="F933" s="19">
        <v>141.36000000000001</v>
      </c>
      <c r="G933" s="19">
        <v>254.55</v>
      </c>
      <c r="H933" s="10">
        <f t="shared" si="311"/>
        <v>0.1062526912688249</v>
      </c>
      <c r="I933" s="10">
        <f t="shared" si="312"/>
        <v>0.37981422555768679</v>
      </c>
      <c r="J933" s="10">
        <f t="shared" si="313"/>
        <v>0.55533294048320569</v>
      </c>
      <c r="K933" s="4">
        <f t="shared" ref="K933:K996" si="322">-4.3 -4.5*(C933/E933)+5.7*(D933/E933)-0.004*(F933/G933)</f>
        <v>-2.6154173567928294</v>
      </c>
      <c r="L933" s="10">
        <f t="shared" ref="L933:L996" si="323">D933/E933</f>
        <v>0.37981422555768679</v>
      </c>
      <c r="M933" s="25">
        <v>160.76</v>
      </c>
      <c r="N933" s="25">
        <v>-14.03</v>
      </c>
      <c r="O933" s="25">
        <v>-417.29</v>
      </c>
      <c r="P933" s="11">
        <v>0.3478</v>
      </c>
      <c r="Q933" s="11">
        <v>1.5599999999999999E-2</v>
      </c>
      <c r="R933" s="12">
        <f t="shared" si="308"/>
        <v>8.9900961307243635E-2</v>
      </c>
      <c r="S933" s="12">
        <f t="shared" si="309"/>
        <v>-7.8459224131663848E-3</v>
      </c>
      <c r="T933" s="12">
        <f t="shared" si="310"/>
        <v>-0.23335887126088392</v>
      </c>
      <c r="U933" s="12">
        <f t="shared" si="255"/>
        <v>3.1267554342659334E-2</v>
      </c>
      <c r="V933" s="12">
        <f t="shared" si="248"/>
        <v>-2.7288118152992685E-3</v>
      </c>
      <c r="W933" s="12">
        <f t="shared" si="249"/>
        <v>-8.116221542453543E-2</v>
      </c>
      <c r="X933" s="12">
        <f t="shared" si="250"/>
        <v>1.4024549963930007E-3</v>
      </c>
      <c r="Y933" s="12">
        <f t="shared" si="251"/>
        <v>-1.223963896453956E-4</v>
      </c>
      <c r="Z933" s="12">
        <f t="shared" si="252"/>
        <v>-3.640398391669789E-3</v>
      </c>
    </row>
    <row r="934" spans="1:26" ht="13">
      <c r="A934" s="24" t="str">
        <f t="shared" si="321"/>
        <v>TDM</v>
      </c>
      <c r="B934" s="9">
        <v>2019</v>
      </c>
      <c r="C934" s="19">
        <v>203.77</v>
      </c>
      <c r="D934" s="19">
        <v>773.85</v>
      </c>
      <c r="E934" s="19">
        <v>2349.9499999999998</v>
      </c>
      <c r="F934" s="19">
        <v>542.92999999999995</v>
      </c>
      <c r="G934" s="19">
        <v>292.85000000000002</v>
      </c>
      <c r="H934" s="10">
        <f t="shared" si="311"/>
        <v>8.6712483244324359E-2</v>
      </c>
      <c r="I934" s="10">
        <f t="shared" si="312"/>
        <v>0.3293048788272091</v>
      </c>
      <c r="J934" s="10">
        <f t="shared" si="313"/>
        <v>1.8539525354276931</v>
      </c>
      <c r="K934" s="4">
        <f t="shared" si="322"/>
        <v>-2.8205841754260779</v>
      </c>
      <c r="L934" s="10">
        <f t="shared" si="323"/>
        <v>0.3293048788272091</v>
      </c>
      <c r="M934" s="25">
        <v>172.84</v>
      </c>
      <c r="N934" s="25">
        <v>-283.82</v>
      </c>
      <c r="O934" s="25">
        <v>388.62</v>
      </c>
      <c r="P934" s="11">
        <v>0.30759999999999998</v>
      </c>
      <c r="Q934" s="11">
        <v>1.865E-2</v>
      </c>
      <c r="R934" s="12">
        <f t="shared" si="308"/>
        <v>7.3550501074490959E-2</v>
      </c>
      <c r="S934" s="12">
        <f t="shared" si="309"/>
        <v>-0.1207770378093151</v>
      </c>
      <c r="T934" s="12">
        <f t="shared" si="310"/>
        <v>0.16537373135598632</v>
      </c>
      <c r="U934" s="12">
        <f t="shared" si="255"/>
        <v>2.2624134130513417E-2</v>
      </c>
      <c r="V934" s="12">
        <f t="shared" si="248"/>
        <v>-3.7151016830145323E-2</v>
      </c>
      <c r="W934" s="12">
        <f t="shared" si="249"/>
        <v>5.086895976510139E-2</v>
      </c>
      <c r="X934" s="12">
        <f t="shared" si="250"/>
        <v>1.3717168450392565E-3</v>
      </c>
      <c r="Y934" s="12">
        <f t="shared" si="251"/>
        <v>-2.2524917551437268E-3</v>
      </c>
      <c r="Z934" s="12">
        <f t="shared" si="252"/>
        <v>3.0842200897891448E-3</v>
      </c>
    </row>
    <row r="935" spans="1:26" ht="13">
      <c r="A935" s="24" t="str">
        <f t="shared" si="321"/>
        <v>TDM</v>
      </c>
      <c r="B935" s="9">
        <v>2020</v>
      </c>
      <c r="C935" s="19">
        <v>172.96</v>
      </c>
      <c r="D935" s="19">
        <v>724.5</v>
      </c>
      <c r="E935" s="19">
        <v>2379.9</v>
      </c>
      <c r="F935" s="19">
        <v>202.38</v>
      </c>
      <c r="G935" s="19">
        <v>424.85</v>
      </c>
      <c r="H935" s="10">
        <f t="shared" si="311"/>
        <v>7.2675322492541702E-2</v>
      </c>
      <c r="I935" s="10">
        <f t="shared" si="312"/>
        <v>0.30442455565359888</v>
      </c>
      <c r="J935" s="10">
        <f t="shared" si="313"/>
        <v>0.4763563610686124</v>
      </c>
      <c r="K935" s="4">
        <f t="shared" si="322"/>
        <v>-2.8937244094351984</v>
      </c>
      <c r="L935" s="10">
        <f t="shared" si="323"/>
        <v>0.30442455565359888</v>
      </c>
      <c r="M935" s="25">
        <v>252.53</v>
      </c>
      <c r="N935" s="25">
        <v>-374.96</v>
      </c>
      <c r="O935" s="25">
        <v>-147.33000000000001</v>
      </c>
      <c r="P935" s="11">
        <v>5.7000000000000002E-2</v>
      </c>
      <c r="Q935" s="11">
        <v>3.2210000000000003E-2</v>
      </c>
      <c r="R935" s="12">
        <f t="shared" si="308"/>
        <v>0.10610950039917644</v>
      </c>
      <c r="S935" s="12">
        <f t="shared" si="309"/>
        <v>-0.15755283835455269</v>
      </c>
      <c r="T935" s="12">
        <f t="shared" si="310"/>
        <v>-6.190596243539645E-2</v>
      </c>
      <c r="U935" s="12">
        <f t="shared" si="255"/>
        <v>6.0482415227530572E-3</v>
      </c>
      <c r="V935" s="12">
        <f t="shared" si="248"/>
        <v>-8.9805117862095038E-3</v>
      </c>
      <c r="W935" s="12">
        <f t="shared" si="249"/>
        <v>-3.5286398588175978E-3</v>
      </c>
      <c r="X935" s="12">
        <f t="shared" si="250"/>
        <v>3.4177870078574732E-3</v>
      </c>
      <c r="Y935" s="12">
        <f t="shared" si="251"/>
        <v>-5.0747769234001424E-3</v>
      </c>
      <c r="Z935" s="12">
        <f t="shared" si="252"/>
        <v>-1.99399105004412E-3</v>
      </c>
    </row>
    <row r="936" spans="1:26" ht="13">
      <c r="A936" s="24" t="str">
        <f t="shared" si="321"/>
        <v>TDM</v>
      </c>
      <c r="B936" s="9">
        <v>2021</v>
      </c>
      <c r="C936" s="19">
        <v>328.62</v>
      </c>
      <c r="D936" s="19">
        <v>558.61</v>
      </c>
      <c r="E936" s="19">
        <v>2405.33</v>
      </c>
      <c r="F936" s="19">
        <v>245.06</v>
      </c>
      <c r="G936" s="19">
        <v>345.72</v>
      </c>
      <c r="H936" s="10">
        <f t="shared" si="311"/>
        <v>0.13662158622725365</v>
      </c>
      <c r="I936" s="10">
        <f t="shared" si="312"/>
        <v>0.23223840387805417</v>
      </c>
      <c r="J936" s="10">
        <f t="shared" si="313"/>
        <v>0.70883952331366418</v>
      </c>
      <c r="K936" s="4">
        <f t="shared" si="322"/>
        <v>-3.5938735940109874</v>
      </c>
      <c r="L936" s="10">
        <f t="shared" si="323"/>
        <v>0.23223840387805417</v>
      </c>
      <c r="M936" s="25">
        <v>345.43</v>
      </c>
      <c r="N936" s="25">
        <v>-35.68</v>
      </c>
      <c r="O936" s="25">
        <v>-276.52999999999997</v>
      </c>
      <c r="P936" s="27">
        <v>2.7300000000000001E-2</v>
      </c>
      <c r="Q936" s="37">
        <v>0.35199999999999998</v>
      </c>
      <c r="R936" s="12">
        <f t="shared" si="308"/>
        <v>0.14361023227582079</v>
      </c>
      <c r="S936" s="12">
        <f t="shared" si="309"/>
        <v>-1.4833723439195454E-2</v>
      </c>
      <c r="T936" s="12">
        <f t="shared" si="310"/>
        <v>-0.11496551408746408</v>
      </c>
      <c r="U936" s="12">
        <f t="shared" si="255"/>
        <v>3.9205593411299079E-3</v>
      </c>
      <c r="V936" s="12">
        <f t="shared" si="248"/>
        <v>-4.0496064989003594E-4</v>
      </c>
      <c r="W936" s="12">
        <f t="shared" si="249"/>
        <v>-3.1385585345877695E-3</v>
      </c>
      <c r="X936" s="12">
        <f t="shared" si="250"/>
        <v>5.0550801761088913E-2</v>
      </c>
      <c r="Y936" s="12">
        <f t="shared" si="251"/>
        <v>-5.2214706505967993E-3</v>
      </c>
      <c r="Z936" s="12">
        <f t="shared" si="252"/>
        <v>-4.0467860958787356E-2</v>
      </c>
    </row>
    <row r="937" spans="1:26" ht="13">
      <c r="A937" s="24" t="s">
        <v>204</v>
      </c>
      <c r="B937" s="9">
        <v>2017</v>
      </c>
      <c r="C937" s="19">
        <v>18.72</v>
      </c>
      <c r="D937" s="19">
        <v>227.33</v>
      </c>
      <c r="E937" s="19">
        <v>366.97</v>
      </c>
      <c r="F937" s="19">
        <v>78.17</v>
      </c>
      <c r="G937" s="19">
        <v>125.58</v>
      </c>
      <c r="H937" s="10">
        <f t="shared" si="311"/>
        <v>5.1012344333324244E-2</v>
      </c>
      <c r="I937" s="10">
        <f t="shared" si="312"/>
        <v>0.61947843147941251</v>
      </c>
      <c r="J937" s="10">
        <f t="shared" si="313"/>
        <v>0.62247173116738341</v>
      </c>
      <c r="K937" s="4">
        <f t="shared" si="322"/>
        <v>-1.0010183769919765</v>
      </c>
      <c r="L937" s="10">
        <f t="shared" si="323"/>
        <v>0.61947843147941251</v>
      </c>
      <c r="M937" s="25">
        <v>84.94</v>
      </c>
      <c r="N937" s="25">
        <v>-72.78</v>
      </c>
      <c r="O937" s="25">
        <v>7.23</v>
      </c>
      <c r="P937" s="11">
        <v>2.4E-2</v>
      </c>
      <c r="Q937" s="11">
        <v>1E-4</v>
      </c>
      <c r="R937" s="12">
        <f t="shared" si="308"/>
        <v>0.23146306237567102</v>
      </c>
      <c r="S937" s="12">
        <f t="shared" si="309"/>
        <v>-0.19832683870616125</v>
      </c>
      <c r="T937" s="12">
        <f t="shared" si="310"/>
        <v>1.9701882987710168E-2</v>
      </c>
      <c r="U937" s="12">
        <f t="shared" si="255"/>
        <v>5.5551134970161049E-3</v>
      </c>
      <c r="V937" s="12">
        <f t="shared" si="248"/>
        <v>-4.7598441289478698E-3</v>
      </c>
      <c r="W937" s="12">
        <f t="shared" si="249"/>
        <v>4.7284519170504404E-4</v>
      </c>
      <c r="X937" s="12">
        <f t="shared" si="250"/>
        <v>2.3146306237567102E-5</v>
      </c>
      <c r="Y937" s="12">
        <f t="shared" si="251"/>
        <v>-1.9832683870616124E-5</v>
      </c>
      <c r="Z937" s="12">
        <f t="shared" si="252"/>
        <v>1.9701882987710167E-6</v>
      </c>
    </row>
    <row r="938" spans="1:26" ht="13">
      <c r="A938" s="24" t="str">
        <f t="shared" ref="A938:A941" si="324">A937</f>
        <v>TDW</v>
      </c>
      <c r="B938" s="9">
        <v>2018</v>
      </c>
      <c r="C938" s="19">
        <v>14.61</v>
      </c>
      <c r="D938" s="19">
        <v>211.16</v>
      </c>
      <c r="E938" s="19">
        <v>353.11</v>
      </c>
      <c r="F938" s="19">
        <v>93.71</v>
      </c>
      <c r="G938" s="19">
        <v>123</v>
      </c>
      <c r="H938" s="10">
        <f t="shared" si="311"/>
        <v>4.137520885842938E-2</v>
      </c>
      <c r="I938" s="10">
        <f t="shared" si="312"/>
        <v>0.59800062303531476</v>
      </c>
      <c r="J938" s="10">
        <f t="shared" si="313"/>
        <v>0.76186991869918697</v>
      </c>
      <c r="K938" s="4">
        <f t="shared" si="322"/>
        <v>-1.0806323682364347</v>
      </c>
      <c r="L938" s="10">
        <f t="shared" si="323"/>
        <v>0.59800062303531476</v>
      </c>
      <c r="M938" s="25">
        <v>89.09</v>
      </c>
      <c r="N938" s="25">
        <v>-49.96</v>
      </c>
      <c r="O938" s="25">
        <v>-25.4</v>
      </c>
      <c r="P938" s="11">
        <v>2.7E-2</v>
      </c>
      <c r="Q938" s="11">
        <f t="shared" ref="Q938:Q940" si="325">Q937</f>
        <v>1E-4</v>
      </c>
      <c r="R938" s="12">
        <f t="shared" si="308"/>
        <v>0.25230098269661011</v>
      </c>
      <c r="S938" s="12">
        <f t="shared" si="309"/>
        <v>-0.14148565602786667</v>
      </c>
      <c r="T938" s="12">
        <f t="shared" si="310"/>
        <v>-7.1932259069411794E-2</v>
      </c>
      <c r="U938" s="12">
        <f t="shared" si="255"/>
        <v>6.8121265328084726E-3</v>
      </c>
      <c r="V938" s="12">
        <f t="shared" si="248"/>
        <v>-3.8201127127524001E-3</v>
      </c>
      <c r="W938" s="12">
        <f t="shared" si="249"/>
        <v>-1.9421709948741184E-3</v>
      </c>
      <c r="X938" s="12">
        <f t="shared" si="250"/>
        <v>2.5230098269661011E-5</v>
      </c>
      <c r="Y938" s="12">
        <f t="shared" si="251"/>
        <v>-1.4148565602786668E-5</v>
      </c>
      <c r="Z938" s="12">
        <f t="shared" si="252"/>
        <v>-7.1932259069411796E-6</v>
      </c>
    </row>
    <row r="939" spans="1:26" ht="13">
      <c r="A939" s="24" t="str">
        <f t="shared" si="324"/>
        <v>TDW</v>
      </c>
      <c r="B939" s="9">
        <v>2019</v>
      </c>
      <c r="C939" s="19">
        <v>19.48</v>
      </c>
      <c r="D939" s="19">
        <v>228.88</v>
      </c>
      <c r="E939" s="19">
        <v>376.54</v>
      </c>
      <c r="F939" s="19">
        <v>121.91</v>
      </c>
      <c r="G939" s="19">
        <v>154.6</v>
      </c>
      <c r="H939" s="10">
        <f t="shared" si="311"/>
        <v>5.173421150475381E-2</v>
      </c>
      <c r="I939" s="10">
        <f t="shared" si="312"/>
        <v>0.60785042757741536</v>
      </c>
      <c r="J939" s="10">
        <f t="shared" si="313"/>
        <v>0.78855109961190173</v>
      </c>
      <c r="K939" s="4">
        <f t="shared" si="322"/>
        <v>-1.0712107189785718</v>
      </c>
      <c r="L939" s="10">
        <f t="shared" si="323"/>
        <v>0.60785042757741536</v>
      </c>
      <c r="M939" s="25">
        <v>83.2</v>
      </c>
      <c r="N939" s="25">
        <v>-53.26</v>
      </c>
      <c r="O939" s="25">
        <v>-20.71</v>
      </c>
      <c r="P939" s="11">
        <v>2.63E-2</v>
      </c>
      <c r="Q939" s="11">
        <f t="shared" si="325"/>
        <v>1E-4</v>
      </c>
      <c r="R939" s="12">
        <f t="shared" si="308"/>
        <v>0.22095926063632018</v>
      </c>
      <c r="S939" s="12">
        <f t="shared" si="309"/>
        <v>-0.14144579593137513</v>
      </c>
      <c r="T939" s="12">
        <f t="shared" si="310"/>
        <v>-5.5000796728103256E-2</v>
      </c>
      <c r="U939" s="12">
        <f t="shared" si="255"/>
        <v>5.8112285547352212E-3</v>
      </c>
      <c r="V939" s="12">
        <f t="shared" si="248"/>
        <v>-3.7200244329951659E-3</v>
      </c>
      <c r="W939" s="12">
        <f t="shared" si="249"/>
        <v>-1.4465209539491156E-3</v>
      </c>
      <c r="X939" s="12">
        <f t="shared" si="250"/>
        <v>2.2095926063632019E-5</v>
      </c>
      <c r="Y939" s="12">
        <f t="shared" si="251"/>
        <v>-1.4144579593137514E-5</v>
      </c>
      <c r="Z939" s="12">
        <f t="shared" si="252"/>
        <v>-5.500079672810326E-6</v>
      </c>
    </row>
    <row r="940" spans="1:26" ht="13">
      <c r="A940" s="24" t="str">
        <f t="shared" si="324"/>
        <v>TDW</v>
      </c>
      <c r="B940" s="9">
        <v>2020</v>
      </c>
      <c r="C940" s="19">
        <v>35.5</v>
      </c>
      <c r="D940" s="19">
        <v>283.77</v>
      </c>
      <c r="E940" s="19">
        <v>452.22</v>
      </c>
      <c r="F940" s="19">
        <v>222.48</v>
      </c>
      <c r="G940" s="19">
        <v>222.16</v>
      </c>
      <c r="H940" s="10">
        <f t="shared" si="311"/>
        <v>7.8501614258546723E-2</v>
      </c>
      <c r="I940" s="10">
        <f t="shared" si="312"/>
        <v>0.6275043120605015</v>
      </c>
      <c r="J940" s="10">
        <f t="shared" si="313"/>
        <v>1.0014404033129276</v>
      </c>
      <c r="K940" s="4">
        <f t="shared" si="322"/>
        <v>-1.080488447031853</v>
      </c>
      <c r="L940" s="10">
        <f t="shared" si="323"/>
        <v>0.6275043120605015</v>
      </c>
      <c r="M940" s="25">
        <v>149.59</v>
      </c>
      <c r="N940" s="25">
        <v>-52.67</v>
      </c>
      <c r="O940" s="25">
        <v>-22.97</v>
      </c>
      <c r="P940" s="11">
        <v>2.6499999999999999E-2</v>
      </c>
      <c r="Q940" s="11">
        <f t="shared" si="325"/>
        <v>1E-4</v>
      </c>
      <c r="R940" s="12">
        <f t="shared" si="308"/>
        <v>0.33079032329397196</v>
      </c>
      <c r="S940" s="12">
        <f t="shared" si="309"/>
        <v>-0.11646985980275087</v>
      </c>
      <c r="T940" s="12">
        <f t="shared" si="310"/>
        <v>-5.0793861394896285E-2</v>
      </c>
      <c r="U940" s="12">
        <f t="shared" si="255"/>
        <v>8.7659435672902564E-3</v>
      </c>
      <c r="V940" s="12">
        <f t="shared" si="248"/>
        <v>-3.086451284772898E-3</v>
      </c>
      <c r="W940" s="12">
        <f t="shared" si="249"/>
        <v>-1.3460373269647515E-3</v>
      </c>
      <c r="X940" s="12">
        <f t="shared" si="250"/>
        <v>3.3079032329397195E-5</v>
      </c>
      <c r="Y940" s="12">
        <f t="shared" si="251"/>
        <v>-1.1646985980275088E-5</v>
      </c>
      <c r="Z940" s="12">
        <f t="shared" si="252"/>
        <v>-5.0793861394896289E-6</v>
      </c>
    </row>
    <row r="941" spans="1:26" ht="13">
      <c r="A941" s="24" t="str">
        <f t="shared" si="324"/>
        <v>TDW</v>
      </c>
      <c r="B941" s="9">
        <v>2021</v>
      </c>
      <c r="C941" s="19">
        <v>32.020000000000003</v>
      </c>
      <c r="D941" s="19">
        <v>199.34</v>
      </c>
      <c r="E941" s="19">
        <v>377.5</v>
      </c>
      <c r="F941" s="19">
        <v>155.18</v>
      </c>
      <c r="G941" s="19">
        <v>155.18</v>
      </c>
      <c r="H941" s="10">
        <f t="shared" si="311"/>
        <v>8.4821192052980138E-2</v>
      </c>
      <c r="I941" s="10">
        <f t="shared" si="312"/>
        <v>0.52805298013245039</v>
      </c>
      <c r="J941" s="10">
        <f t="shared" si="313"/>
        <v>1</v>
      </c>
      <c r="K941" s="4">
        <f t="shared" si="322"/>
        <v>-1.6757933774834433</v>
      </c>
      <c r="L941" s="10">
        <f t="shared" si="323"/>
        <v>0.52805298013245039</v>
      </c>
      <c r="M941" s="25">
        <v>-7.41</v>
      </c>
      <c r="N941" s="25">
        <v>-29.38</v>
      </c>
      <c r="O941" s="25">
        <v>-23.06</v>
      </c>
      <c r="P941" s="11">
        <v>2.87E-2</v>
      </c>
      <c r="Q941" s="11">
        <v>0</v>
      </c>
      <c r="R941" s="12">
        <f t="shared" si="308"/>
        <v>-1.9629139072847683E-2</v>
      </c>
      <c r="S941" s="12">
        <f t="shared" si="309"/>
        <v>-7.7827814569536427E-2</v>
      </c>
      <c r="T941" s="12">
        <f t="shared" si="310"/>
        <v>-6.1086092715231785E-2</v>
      </c>
      <c r="U941" s="12">
        <f t="shared" si="255"/>
        <v>-5.6335629139072849E-4</v>
      </c>
      <c r="V941" s="12">
        <f t="shared" si="248"/>
        <v>-2.2336582781456956E-3</v>
      </c>
      <c r="W941" s="12">
        <f t="shared" si="249"/>
        <v>-1.7531708609271521E-3</v>
      </c>
      <c r="X941" s="12">
        <f t="shared" si="250"/>
        <v>0</v>
      </c>
      <c r="Y941" s="12">
        <f t="shared" si="251"/>
        <v>0</v>
      </c>
      <c r="Z941" s="12">
        <f t="shared" si="252"/>
        <v>0</v>
      </c>
    </row>
    <row r="942" spans="1:26" ht="13">
      <c r="A942" s="24" t="s">
        <v>205</v>
      </c>
      <c r="B942" s="9">
        <v>2017</v>
      </c>
      <c r="C942" s="19">
        <v>32.24</v>
      </c>
      <c r="D942" s="19">
        <v>52.11</v>
      </c>
      <c r="E942" s="19">
        <v>278.37</v>
      </c>
      <c r="F942" s="19">
        <v>120.3</v>
      </c>
      <c r="G942" s="19">
        <v>52.11</v>
      </c>
      <c r="H942" s="10">
        <f t="shared" si="311"/>
        <v>0.1158170779897259</v>
      </c>
      <c r="I942" s="10">
        <f t="shared" si="312"/>
        <v>0.18719689621726479</v>
      </c>
      <c r="J942" s="10">
        <f t="shared" si="313"/>
        <v>2.3085780080598735</v>
      </c>
      <c r="K942" s="4">
        <f t="shared" si="322"/>
        <v>-3.7633888545475962</v>
      </c>
      <c r="L942" s="10">
        <f t="shared" si="323"/>
        <v>0.18719689621726479</v>
      </c>
      <c r="M942" s="25">
        <v>-1.5</v>
      </c>
      <c r="N942" s="25">
        <v>27.95</v>
      </c>
      <c r="O942" s="25">
        <v>6.78</v>
      </c>
      <c r="P942" s="11">
        <v>1.8100000000000002E-2</v>
      </c>
      <c r="Q942" s="11">
        <v>7.2999999999999996E-4</v>
      </c>
      <c r="R942" s="12">
        <f t="shared" si="308"/>
        <v>-5.388511693070374E-3</v>
      </c>
      <c r="S942" s="12">
        <f t="shared" si="309"/>
        <v>0.10040593454754464</v>
      </c>
      <c r="T942" s="12">
        <f t="shared" si="310"/>
        <v>2.4356072852678091E-2</v>
      </c>
      <c r="U942" s="12">
        <f t="shared" si="255"/>
        <v>-9.7532061644573778E-5</v>
      </c>
      <c r="V942" s="12">
        <f t="shared" si="248"/>
        <v>1.8173474153105581E-3</v>
      </c>
      <c r="W942" s="12">
        <f t="shared" si="249"/>
        <v>4.4084491863347346E-4</v>
      </c>
      <c r="X942" s="12">
        <f t="shared" si="250"/>
        <v>-3.9336135359413725E-6</v>
      </c>
      <c r="Y942" s="12">
        <f t="shared" si="251"/>
        <v>7.3296332219707579E-5</v>
      </c>
      <c r="Z942" s="12">
        <f t="shared" si="252"/>
        <v>1.7779933182455006E-5</v>
      </c>
    </row>
    <row r="943" spans="1:26" ht="13">
      <c r="A943" s="24" t="str">
        <f t="shared" ref="A943:A946" si="326">A942</f>
        <v>TEG</v>
      </c>
      <c r="B943" s="9">
        <v>2018</v>
      </c>
      <c r="C943" s="19">
        <v>32.54</v>
      </c>
      <c r="D943" s="19">
        <v>95.47</v>
      </c>
      <c r="E943" s="19">
        <v>353.3</v>
      </c>
      <c r="F943" s="19">
        <v>132.46</v>
      </c>
      <c r="G943" s="19">
        <v>95.05</v>
      </c>
      <c r="H943" s="10">
        <f t="shared" si="311"/>
        <v>9.2103028587602595E-2</v>
      </c>
      <c r="I943" s="10">
        <f t="shared" si="312"/>
        <v>0.27022360600056605</v>
      </c>
      <c r="J943" s="10">
        <f t="shared" si="313"/>
        <v>1.3935823250920569</v>
      </c>
      <c r="K943" s="4">
        <f t="shared" si="322"/>
        <v>-3.1797634037413531</v>
      </c>
      <c r="L943" s="10">
        <f t="shared" si="323"/>
        <v>0.27022360600056605</v>
      </c>
      <c r="M943" s="25">
        <v>48.2</v>
      </c>
      <c r="N943" s="25">
        <v>-64.89</v>
      </c>
      <c r="O943" s="25">
        <v>-4.29</v>
      </c>
      <c r="P943" s="11">
        <v>1.7000000000000001E-2</v>
      </c>
      <c r="Q943" s="11">
        <v>6.5030000000000004E-2</v>
      </c>
      <c r="R943" s="12">
        <f t="shared" si="308"/>
        <v>0.13642796490234929</v>
      </c>
      <c r="S943" s="12">
        <f t="shared" si="309"/>
        <v>-0.18366827059156524</v>
      </c>
      <c r="T943" s="12">
        <f t="shared" si="310"/>
        <v>-1.2142654967449758E-2</v>
      </c>
      <c r="U943" s="12">
        <f t="shared" si="255"/>
        <v>2.3192754033399383E-3</v>
      </c>
      <c r="V943" s="12">
        <f t="shared" si="248"/>
        <v>-3.1223606000566092E-3</v>
      </c>
      <c r="W943" s="12">
        <f t="shared" si="249"/>
        <v>-2.0642513444664592E-4</v>
      </c>
      <c r="X943" s="12">
        <f t="shared" si="250"/>
        <v>8.8719105575997756E-3</v>
      </c>
      <c r="Y943" s="12">
        <f t="shared" si="251"/>
        <v>-1.1943947636569488E-2</v>
      </c>
      <c r="Z943" s="12">
        <f t="shared" si="252"/>
        <v>-7.8963685253325788E-4</v>
      </c>
    </row>
    <row r="944" spans="1:26" ht="13">
      <c r="A944" s="24" t="str">
        <f t="shared" si="326"/>
        <v>TEG</v>
      </c>
      <c r="B944" s="9">
        <v>2019</v>
      </c>
      <c r="C944" s="19">
        <v>5.35</v>
      </c>
      <c r="D944" s="19">
        <v>107.13</v>
      </c>
      <c r="E944" s="19">
        <v>532.94000000000005</v>
      </c>
      <c r="F944" s="19">
        <v>229.32</v>
      </c>
      <c r="G944" s="19">
        <v>101</v>
      </c>
      <c r="H944" s="10">
        <f t="shared" si="311"/>
        <v>1.0038653506961382E-2</v>
      </c>
      <c r="I944" s="10">
        <f t="shared" si="312"/>
        <v>0.20101700003752765</v>
      </c>
      <c r="J944" s="10">
        <f t="shared" si="313"/>
        <v>2.2704950495049503</v>
      </c>
      <c r="K944" s="4">
        <f t="shared" si="322"/>
        <v>-3.2084590207654378</v>
      </c>
      <c r="L944" s="10">
        <f t="shared" si="323"/>
        <v>0.20101700003752765</v>
      </c>
      <c r="M944" s="25">
        <v>72.28</v>
      </c>
      <c r="N944" s="25">
        <v>-163.28</v>
      </c>
      <c r="O944" s="25">
        <v>84.29</v>
      </c>
      <c r="P944" s="11">
        <v>9.1000000000000004E-3</v>
      </c>
      <c r="Q944" s="11">
        <v>4.2979999999999997E-2</v>
      </c>
      <c r="R944" s="12">
        <f t="shared" si="308"/>
        <v>0.1356250234547979</v>
      </c>
      <c r="S944" s="12">
        <f t="shared" si="309"/>
        <v>-0.30637595226479525</v>
      </c>
      <c r="T944" s="12">
        <f t="shared" si="310"/>
        <v>0.15816039329005141</v>
      </c>
      <c r="U944" s="12">
        <f t="shared" si="255"/>
        <v>1.2341877134386611E-3</v>
      </c>
      <c r="V944" s="12">
        <f t="shared" si="248"/>
        <v>-2.788021165609637E-3</v>
      </c>
      <c r="W944" s="12">
        <f t="shared" si="249"/>
        <v>1.439259578939468E-3</v>
      </c>
      <c r="X944" s="12">
        <f t="shared" si="250"/>
        <v>5.8291635080872138E-3</v>
      </c>
      <c r="Y944" s="12">
        <f t="shared" si="251"/>
        <v>-1.3168038428340899E-2</v>
      </c>
      <c r="Z944" s="12">
        <f t="shared" si="252"/>
        <v>6.7977337036064095E-3</v>
      </c>
    </row>
    <row r="945" spans="1:26" ht="13">
      <c r="A945" s="24" t="str">
        <f t="shared" si="326"/>
        <v>TEG</v>
      </c>
      <c r="B945" s="9">
        <v>2020</v>
      </c>
      <c r="C945" s="19">
        <v>8.2899999999999991</v>
      </c>
      <c r="D945" s="19">
        <v>116.45</v>
      </c>
      <c r="E945" s="19">
        <v>564.99</v>
      </c>
      <c r="F945" s="19">
        <v>210.91</v>
      </c>
      <c r="G945" s="19">
        <v>111.92</v>
      </c>
      <c r="H945" s="10">
        <f t="shared" si="311"/>
        <v>1.4672826067718012E-2</v>
      </c>
      <c r="I945" s="10">
        <f t="shared" si="312"/>
        <v>0.20610984265208235</v>
      </c>
      <c r="J945" s="10">
        <f t="shared" si="313"/>
        <v>1.884471050750536</v>
      </c>
      <c r="K945" s="4">
        <f t="shared" si="322"/>
        <v>-3.1987394983908639</v>
      </c>
      <c r="L945" s="10">
        <f t="shared" si="323"/>
        <v>0.20610984265208235</v>
      </c>
      <c r="M945" s="25">
        <v>42.23</v>
      </c>
      <c r="N945" s="25">
        <v>-58.55</v>
      </c>
      <c r="O945" s="25">
        <v>17.38</v>
      </c>
      <c r="P945" s="11">
        <v>3.8E-3</v>
      </c>
      <c r="Q945" s="11">
        <v>0</v>
      </c>
      <c r="R945" s="12">
        <f t="shared" si="308"/>
        <v>7.4744685746650372E-2</v>
      </c>
      <c r="S945" s="12">
        <f t="shared" si="309"/>
        <v>-0.1036301527460663</v>
      </c>
      <c r="T945" s="12">
        <f t="shared" si="310"/>
        <v>3.0761606400113273E-2</v>
      </c>
      <c r="U945" s="12">
        <f t="shared" si="255"/>
        <v>2.8402980583727141E-4</v>
      </c>
      <c r="V945" s="12">
        <f t="shared" si="248"/>
        <v>-3.937945804350519E-4</v>
      </c>
      <c r="W945" s="12">
        <f t="shared" si="249"/>
        <v>1.1689410432043044E-4</v>
      </c>
      <c r="X945" s="12">
        <f t="shared" si="250"/>
        <v>0</v>
      </c>
      <c r="Y945" s="12">
        <f t="shared" si="251"/>
        <v>0</v>
      </c>
      <c r="Z945" s="12">
        <f t="shared" si="252"/>
        <v>0</v>
      </c>
    </row>
    <row r="946" spans="1:26" ht="13">
      <c r="A946" s="24" t="str">
        <f t="shared" si="326"/>
        <v>TEG</v>
      </c>
      <c r="B946" s="9">
        <v>2021</v>
      </c>
      <c r="C946" s="19">
        <v>46.86</v>
      </c>
      <c r="D946" s="19">
        <v>306.31</v>
      </c>
      <c r="E946" s="19">
        <v>1224.55</v>
      </c>
      <c r="F946" s="19">
        <v>546.36</v>
      </c>
      <c r="G946" s="19">
        <v>235.13</v>
      </c>
      <c r="H946" s="10">
        <f t="shared" si="311"/>
        <v>3.8267118533338779E-2</v>
      </c>
      <c r="I946" s="10">
        <f t="shared" si="312"/>
        <v>0.25014086807398639</v>
      </c>
      <c r="J946" s="10">
        <f t="shared" si="313"/>
        <v>2.3236507463956109</v>
      </c>
      <c r="K946" s="4">
        <f t="shared" si="322"/>
        <v>-3.0556936883638843</v>
      </c>
      <c r="L946" s="10">
        <f t="shared" si="323"/>
        <v>0.25014086807398639</v>
      </c>
      <c r="M946" s="25">
        <v>-192.62</v>
      </c>
      <c r="N946" s="25">
        <v>-211.35</v>
      </c>
      <c r="O946" s="25">
        <v>460.43</v>
      </c>
      <c r="P946" s="11">
        <v>4.1999999999999997E-3</v>
      </c>
      <c r="Q946" s="11">
        <v>9.4459999999999995E-3</v>
      </c>
      <c r="R946" s="12">
        <f t="shared" si="308"/>
        <v>-0.1572985994855253</v>
      </c>
      <c r="S946" s="12">
        <f t="shared" si="309"/>
        <v>-0.17259401412763872</v>
      </c>
      <c r="T946" s="12">
        <f t="shared" si="310"/>
        <v>0.37599934669878732</v>
      </c>
      <c r="U946" s="12">
        <f t="shared" si="255"/>
        <v>-6.6065411783920616E-4</v>
      </c>
      <c r="V946" s="12">
        <f t="shared" si="248"/>
        <v>-7.2489485933608256E-4</v>
      </c>
      <c r="W946" s="12">
        <f t="shared" si="249"/>
        <v>1.5791972561349065E-3</v>
      </c>
      <c r="X946" s="12">
        <f t="shared" si="250"/>
        <v>-1.4858425707402719E-3</v>
      </c>
      <c r="Y946" s="12">
        <f t="shared" si="251"/>
        <v>-1.6303230574496754E-3</v>
      </c>
      <c r="Z946" s="12">
        <f t="shared" si="252"/>
        <v>3.5516898289167449E-3</v>
      </c>
    </row>
    <row r="947" spans="1:26" ht="13">
      <c r="A947" s="24" t="s">
        <v>208</v>
      </c>
      <c r="B947" s="9">
        <v>2017</v>
      </c>
      <c r="C947" s="19">
        <v>91.83</v>
      </c>
      <c r="D947" s="19">
        <v>539.29</v>
      </c>
      <c r="E947" s="19">
        <v>860.95</v>
      </c>
      <c r="F947" s="19">
        <v>510.18</v>
      </c>
      <c r="G947" s="19">
        <v>422.4</v>
      </c>
      <c r="H947" s="10">
        <f t="shared" si="311"/>
        <v>0.1066612462976944</v>
      </c>
      <c r="I947" s="10">
        <f t="shared" si="312"/>
        <v>0.62638945351065678</v>
      </c>
      <c r="J947" s="10">
        <f t="shared" si="313"/>
        <v>1.2078125000000002</v>
      </c>
      <c r="K947" s="4">
        <f t="shared" si="322"/>
        <v>-1.2143869733288808</v>
      </c>
      <c r="L947" s="10">
        <f t="shared" si="323"/>
        <v>0.62638945351065678</v>
      </c>
      <c r="M947" s="25">
        <v>57.81</v>
      </c>
      <c r="N947" s="25">
        <v>-89.3</v>
      </c>
      <c r="O947" s="25">
        <v>60.51</v>
      </c>
      <c r="P947" s="11">
        <v>5.0000000000000001E-3</v>
      </c>
      <c r="Q947" s="11">
        <v>0.10968700000000001</v>
      </c>
      <c r="R947" s="12">
        <f t="shared" si="308"/>
        <v>6.7146756489923923E-2</v>
      </c>
      <c r="S947" s="12">
        <f t="shared" si="309"/>
        <v>-0.10372263197630524</v>
      </c>
      <c r="T947" s="12">
        <f t="shared" si="310"/>
        <v>7.0282827109588233E-2</v>
      </c>
      <c r="U947" s="12">
        <f t="shared" si="255"/>
        <v>3.3573378244961964E-4</v>
      </c>
      <c r="V947" s="12">
        <f t="shared" si="248"/>
        <v>-5.1861315988152622E-4</v>
      </c>
      <c r="W947" s="12">
        <f t="shared" si="249"/>
        <v>3.5141413554794118E-4</v>
      </c>
      <c r="X947" s="12">
        <f t="shared" si="250"/>
        <v>7.3651262791102857E-3</v>
      </c>
      <c r="Y947" s="12">
        <f t="shared" si="251"/>
        <v>-1.1377024333584994E-2</v>
      </c>
      <c r="Z947" s="12">
        <f t="shared" si="252"/>
        <v>7.7091124571694054E-3</v>
      </c>
    </row>
    <row r="948" spans="1:26" ht="13">
      <c r="A948" s="24" t="str">
        <f t="shared" ref="A948:A951" si="327">A947</f>
        <v>THG</v>
      </c>
      <c r="B948" s="9">
        <v>2018</v>
      </c>
      <c r="C948" s="19">
        <v>78.510000000000005</v>
      </c>
      <c r="D948" s="19">
        <v>623.1</v>
      </c>
      <c r="E948" s="19">
        <v>972.47</v>
      </c>
      <c r="F948" s="19">
        <v>601.19000000000005</v>
      </c>
      <c r="G948" s="19">
        <v>542.09</v>
      </c>
      <c r="H948" s="10">
        <f t="shared" si="311"/>
        <v>8.0732567585632464E-2</v>
      </c>
      <c r="I948" s="10">
        <f t="shared" si="312"/>
        <v>0.64073956008925725</v>
      </c>
      <c r="J948" s="10">
        <f t="shared" si="313"/>
        <v>1.1090224870408973</v>
      </c>
      <c r="K948" s="4">
        <f t="shared" si="322"/>
        <v>-1.0155171515747434</v>
      </c>
      <c r="L948" s="10">
        <f t="shared" si="323"/>
        <v>0.64073956008925725</v>
      </c>
      <c r="M948" s="25">
        <v>5.21</v>
      </c>
      <c r="N948" s="25">
        <v>-23.62</v>
      </c>
      <c r="O948" s="25">
        <v>-3.19</v>
      </c>
      <c r="P948" s="11">
        <v>4.5999999999999999E-3</v>
      </c>
      <c r="Q948" s="11">
        <v>0.128887</v>
      </c>
      <c r="R948" s="12">
        <f t="shared" si="308"/>
        <v>5.3574917478174128E-3</v>
      </c>
      <c r="S948" s="12">
        <f t="shared" si="309"/>
        <v>-2.4288667002581057E-2</v>
      </c>
      <c r="T948" s="12">
        <f t="shared" si="310"/>
        <v>-3.2803068475120052E-3</v>
      </c>
      <c r="U948" s="12">
        <f t="shared" si="255"/>
        <v>2.4644462039960098E-5</v>
      </c>
      <c r="V948" s="12">
        <f t="shared" si="248"/>
        <v>-1.1172786821187286E-4</v>
      </c>
      <c r="W948" s="12">
        <f t="shared" si="249"/>
        <v>-1.5089411498555224E-5</v>
      </c>
      <c r="X948" s="12">
        <f t="shared" si="250"/>
        <v>6.9051103890094289E-4</v>
      </c>
      <c r="Y948" s="12">
        <f t="shared" si="251"/>
        <v>-3.1304934239616646E-3</v>
      </c>
      <c r="Z948" s="12">
        <f t="shared" si="252"/>
        <v>-4.2278890865527982E-4</v>
      </c>
    </row>
    <row r="949" spans="1:26" ht="13">
      <c r="A949" s="24" t="str">
        <f t="shared" si="327"/>
        <v>THG</v>
      </c>
      <c r="B949" s="9">
        <v>2019</v>
      </c>
      <c r="C949" s="19">
        <v>108.02</v>
      </c>
      <c r="D949" s="19">
        <v>842.85</v>
      </c>
      <c r="E949" s="19">
        <v>1241.99</v>
      </c>
      <c r="F949" s="19">
        <v>739.33</v>
      </c>
      <c r="G949" s="19">
        <v>663.72</v>
      </c>
      <c r="H949" s="10">
        <f t="shared" si="311"/>
        <v>8.6973325067029525E-2</v>
      </c>
      <c r="I949" s="10">
        <f t="shared" si="312"/>
        <v>0.67862865240460879</v>
      </c>
      <c r="J949" s="10">
        <f t="shared" si="313"/>
        <v>1.1139185198577715</v>
      </c>
      <c r="K949" s="4">
        <f t="shared" si="322"/>
        <v>-0.82765231817479323</v>
      </c>
      <c r="L949" s="10">
        <f t="shared" si="323"/>
        <v>0.67862865240460879</v>
      </c>
      <c r="M949" s="25">
        <v>155.88999999999999</v>
      </c>
      <c r="N949" s="25">
        <v>-126.86</v>
      </c>
      <c r="O949" s="25">
        <v>26.24</v>
      </c>
      <c r="P949" s="11">
        <v>4.1000000000000003E-3</v>
      </c>
      <c r="Q949" s="11">
        <v>0.14299000000000001</v>
      </c>
      <c r="R949" s="12">
        <f t="shared" si="308"/>
        <v>0.12551630850489939</v>
      </c>
      <c r="S949" s="12">
        <f t="shared" si="309"/>
        <v>-0.1021425293279334</v>
      </c>
      <c r="T949" s="12">
        <f t="shared" si="310"/>
        <v>2.1127384278456347E-2</v>
      </c>
      <c r="U949" s="12">
        <f t="shared" si="255"/>
        <v>5.1461686487008751E-4</v>
      </c>
      <c r="V949" s="12">
        <f t="shared" si="248"/>
        <v>-4.1878437024452699E-4</v>
      </c>
      <c r="W949" s="12">
        <f t="shared" si="249"/>
        <v>8.6622275541671035E-5</v>
      </c>
      <c r="X949" s="12">
        <f t="shared" si="250"/>
        <v>1.7947576953115565E-2</v>
      </c>
      <c r="Y949" s="12">
        <f t="shared" si="251"/>
        <v>-1.4605360268601198E-2</v>
      </c>
      <c r="Z949" s="12">
        <f t="shared" si="252"/>
        <v>3.021004677976473E-3</v>
      </c>
    </row>
    <row r="950" spans="1:26" ht="13">
      <c r="A950" s="24" t="str">
        <f t="shared" si="327"/>
        <v>THG</v>
      </c>
      <c r="B950" s="9">
        <v>2020</v>
      </c>
      <c r="C950" s="19">
        <v>169.21</v>
      </c>
      <c r="D950" s="19">
        <v>955.65</v>
      </c>
      <c r="E950" s="19">
        <v>1448.82</v>
      </c>
      <c r="F950" s="19">
        <v>817.49</v>
      </c>
      <c r="G950" s="19">
        <v>729.32</v>
      </c>
      <c r="H950" s="10">
        <f t="shared" si="311"/>
        <v>0.1167915959194379</v>
      </c>
      <c r="I950" s="10">
        <f t="shared" si="312"/>
        <v>0.65960574812606121</v>
      </c>
      <c r="J950" s="10">
        <f t="shared" si="313"/>
        <v>1.1208934349805297</v>
      </c>
      <c r="K950" s="4">
        <f t="shared" si="322"/>
        <v>-1.070292991058843</v>
      </c>
      <c r="L950" s="10">
        <f t="shared" si="323"/>
        <v>0.65960574812606121</v>
      </c>
      <c r="M950" s="25">
        <v>225.13</v>
      </c>
      <c r="N950" s="25">
        <v>-191.49</v>
      </c>
      <c r="O950" s="25">
        <v>-46.87</v>
      </c>
      <c r="P950" s="11">
        <v>8.0000000000000007E-5</v>
      </c>
      <c r="Q950" s="11">
        <v>0.14668700000000001</v>
      </c>
      <c r="R950" s="12">
        <f t="shared" si="308"/>
        <v>0.15538852307394985</v>
      </c>
      <c r="S950" s="12">
        <f t="shared" si="309"/>
        <v>-0.13216962769702242</v>
      </c>
      <c r="T950" s="12">
        <f t="shared" si="310"/>
        <v>-3.2350464515950909E-2</v>
      </c>
      <c r="U950" s="12">
        <f t="shared" si="255"/>
        <v>1.2431081845915989E-5</v>
      </c>
      <c r="V950" s="12">
        <f t="shared" si="248"/>
        <v>-1.0573570215761795E-5</v>
      </c>
      <c r="W950" s="12">
        <f t="shared" si="249"/>
        <v>-2.5880371612760731E-6</v>
      </c>
      <c r="X950" s="12">
        <f t="shared" si="250"/>
        <v>2.2793476284148483E-2</v>
      </c>
      <c r="Y950" s="12">
        <f t="shared" si="251"/>
        <v>-1.9387566177993129E-2</v>
      </c>
      <c r="Z950" s="12">
        <f t="shared" si="252"/>
        <v>-4.7453925884512914E-3</v>
      </c>
    </row>
    <row r="951" spans="1:26" ht="13">
      <c r="A951" s="24" t="str">
        <f t="shared" si="327"/>
        <v>THG</v>
      </c>
      <c r="B951" s="9">
        <v>2021</v>
      </c>
      <c r="C951" s="19">
        <v>128.54</v>
      </c>
      <c r="D951" s="19">
        <v>1025.07</v>
      </c>
      <c r="E951" s="19">
        <v>1555.65</v>
      </c>
      <c r="F951" s="19">
        <v>942.36</v>
      </c>
      <c r="G951" s="19">
        <v>780.75</v>
      </c>
      <c r="H951" s="10">
        <f t="shared" si="311"/>
        <v>8.2627840452543941E-2</v>
      </c>
      <c r="I951" s="10">
        <f t="shared" si="312"/>
        <v>0.65893356474785447</v>
      </c>
      <c r="J951" s="10">
        <f t="shared" si="313"/>
        <v>1.2069932756964457</v>
      </c>
      <c r="K951" s="4">
        <f t="shared" si="322"/>
        <v>-0.92073193607646275</v>
      </c>
      <c r="L951" s="10">
        <f t="shared" si="323"/>
        <v>0.65893356474785447</v>
      </c>
      <c r="M951" s="25">
        <v>101.46</v>
      </c>
      <c r="N951" s="25">
        <v>-31</v>
      </c>
      <c r="O951" s="25">
        <v>-2.4500000000000002</v>
      </c>
      <c r="P951" s="11">
        <v>1.49E-2</v>
      </c>
      <c r="Q951" s="11">
        <v>0.1356</v>
      </c>
      <c r="R951" s="12">
        <f t="shared" si="308"/>
        <v>6.5220325908784099E-2</v>
      </c>
      <c r="S951" s="12">
        <f t="shared" si="309"/>
        <v>-1.9927361553048563E-2</v>
      </c>
      <c r="T951" s="12">
        <f t="shared" si="310"/>
        <v>-1.5749043808054512E-3</v>
      </c>
      <c r="U951" s="12">
        <f t="shared" si="255"/>
        <v>9.7178285604088306E-4</v>
      </c>
      <c r="V951" s="12">
        <f t="shared" si="248"/>
        <v>-2.9691768714042361E-4</v>
      </c>
      <c r="W951" s="12">
        <f t="shared" si="249"/>
        <v>-2.3466075274001224E-5</v>
      </c>
      <c r="X951" s="12">
        <f t="shared" si="250"/>
        <v>8.8438761932311243E-3</v>
      </c>
      <c r="Y951" s="12">
        <f t="shared" si="251"/>
        <v>-2.7021502265933851E-3</v>
      </c>
      <c r="Z951" s="12">
        <f t="shared" si="252"/>
        <v>-2.1355703403721918E-4</v>
      </c>
    </row>
    <row r="952" spans="1:26" ht="13">
      <c r="A952" s="24" t="s">
        <v>206</v>
      </c>
      <c r="B952" s="9">
        <v>2017</v>
      </c>
      <c r="C952" s="19">
        <v>111.33</v>
      </c>
      <c r="D952" s="19">
        <v>333.4</v>
      </c>
      <c r="E952" s="19">
        <v>1024.73</v>
      </c>
      <c r="F952" s="19">
        <v>445.95</v>
      </c>
      <c r="G952" s="19">
        <v>86.19</v>
      </c>
      <c r="H952" s="10">
        <f t="shared" si="311"/>
        <v>0.10864325236891668</v>
      </c>
      <c r="I952" s="10">
        <f t="shared" si="312"/>
        <v>0.32535399568666867</v>
      </c>
      <c r="J952" s="10">
        <f t="shared" si="313"/>
        <v>5.1740341106856942</v>
      </c>
      <c r="K952" s="4">
        <f t="shared" si="322"/>
        <v>-2.9550729966888558</v>
      </c>
      <c r="L952" s="10">
        <f t="shared" si="323"/>
        <v>0.32535399568666867</v>
      </c>
      <c r="M952" s="25">
        <v>37.619999999999997</v>
      </c>
      <c r="N952" s="25">
        <v>-43.47</v>
      </c>
      <c r="O952" s="26">
        <v>9.08</v>
      </c>
      <c r="P952" s="27">
        <v>9.4500000000000001E-2</v>
      </c>
      <c r="Q952" s="11">
        <v>6.1999999999999998E-3</v>
      </c>
      <c r="R952" s="12">
        <f t="shared" si="308"/>
        <v>3.6712109531291164E-2</v>
      </c>
      <c r="S952" s="12">
        <f t="shared" si="309"/>
        <v>-4.2420930391420177E-2</v>
      </c>
      <c r="T952" s="12">
        <f t="shared" si="310"/>
        <v>8.8608706683711812E-3</v>
      </c>
      <c r="U952" s="12">
        <f t="shared" si="255"/>
        <v>3.469294350707015E-3</v>
      </c>
      <c r="V952" s="12">
        <f t="shared" si="248"/>
        <v>-4.008777921989207E-3</v>
      </c>
      <c r="W952" s="12">
        <f t="shared" si="249"/>
        <v>8.3735227816107661E-4</v>
      </c>
      <c r="X952" s="12">
        <f t="shared" si="250"/>
        <v>2.2761507909400521E-4</v>
      </c>
      <c r="Y952" s="12">
        <f t="shared" si="251"/>
        <v>-2.6300976842680507E-4</v>
      </c>
      <c r="Z952" s="12">
        <f t="shared" si="252"/>
        <v>5.4937398143901324E-5</v>
      </c>
    </row>
    <row r="953" spans="1:26" ht="13">
      <c r="A953" s="24" t="str">
        <f t="shared" ref="A953:A956" si="328">A952</f>
        <v>TIX</v>
      </c>
      <c r="B953" s="9">
        <v>2018</v>
      </c>
      <c r="C953" s="19">
        <v>105.98</v>
      </c>
      <c r="D953" s="19">
        <v>357.38</v>
      </c>
      <c r="E953" s="19">
        <v>1132.7</v>
      </c>
      <c r="F953" s="19">
        <v>420.31</v>
      </c>
      <c r="G953" s="19">
        <v>95.81</v>
      </c>
      <c r="H953" s="10">
        <f t="shared" si="311"/>
        <v>9.3564050498808157E-2</v>
      </c>
      <c r="I953" s="10">
        <f t="shared" si="312"/>
        <v>0.31551160942879841</v>
      </c>
      <c r="J953" s="10">
        <f t="shared" si="313"/>
        <v>4.3869115958668194</v>
      </c>
      <c r="K953" s="4">
        <f t="shared" si="322"/>
        <v>-2.9401696998839526</v>
      </c>
      <c r="L953" s="10">
        <f t="shared" si="323"/>
        <v>0.31551160942879841</v>
      </c>
      <c r="M953" s="25">
        <v>121.14</v>
      </c>
      <c r="N953" s="25">
        <v>-61.22</v>
      </c>
      <c r="O953" s="26">
        <v>23.6</v>
      </c>
      <c r="P953" s="27">
        <v>9.4500000000000001E-2</v>
      </c>
      <c r="Q953" s="11">
        <v>2.8E-3</v>
      </c>
      <c r="R953" s="12">
        <f t="shared" si="308"/>
        <v>0.10694800035313852</v>
      </c>
      <c r="S953" s="12">
        <f t="shared" si="309"/>
        <v>-5.4047850269268116E-2</v>
      </c>
      <c r="T953" s="12">
        <f t="shared" si="310"/>
        <v>2.0835172596450957E-2</v>
      </c>
      <c r="U953" s="12">
        <f t="shared" si="255"/>
        <v>1.0106586033371591E-2</v>
      </c>
      <c r="V953" s="12">
        <f t="shared" si="248"/>
        <v>-5.1075218504458373E-3</v>
      </c>
      <c r="W953" s="12">
        <f t="shared" si="249"/>
        <v>1.9689238103646153E-3</v>
      </c>
      <c r="X953" s="12">
        <f t="shared" si="250"/>
        <v>2.9945440098878785E-4</v>
      </c>
      <c r="Y953" s="12">
        <f t="shared" si="251"/>
        <v>-1.5133398075395073E-4</v>
      </c>
      <c r="Z953" s="12">
        <f t="shared" si="252"/>
        <v>5.8338483270062676E-5</v>
      </c>
    </row>
    <row r="954" spans="1:26" ht="13">
      <c r="A954" s="24" t="str">
        <f t="shared" si="328"/>
        <v>TIX</v>
      </c>
      <c r="B954" s="9">
        <v>2019</v>
      </c>
      <c r="C954" s="19">
        <v>87.3</v>
      </c>
      <c r="D954" s="19">
        <v>335.61</v>
      </c>
      <c r="E954" s="19">
        <v>1095.1500000000001</v>
      </c>
      <c r="F954" s="19">
        <v>395.23</v>
      </c>
      <c r="G954" s="19">
        <v>80.84</v>
      </c>
      <c r="H954" s="10">
        <f t="shared" si="311"/>
        <v>7.9715107519517867E-2</v>
      </c>
      <c r="I954" s="10">
        <f t="shared" si="312"/>
        <v>0.30645117107245584</v>
      </c>
      <c r="J954" s="10">
        <f t="shared" si="313"/>
        <v>4.8890400791687281</v>
      </c>
      <c r="K954" s="4">
        <f t="shared" si="322"/>
        <v>-2.9315024690415066</v>
      </c>
      <c r="L954" s="10">
        <f t="shared" si="323"/>
        <v>0.30645117107245584</v>
      </c>
      <c r="M954" s="25">
        <v>55.39</v>
      </c>
      <c r="N954" s="25">
        <v>-72.03</v>
      </c>
      <c r="O954" s="25">
        <v>-104.25</v>
      </c>
      <c r="P954" s="11">
        <v>8.9999999999999998E-4</v>
      </c>
      <c r="Q954" s="11">
        <f>Q953</f>
        <v>2.8E-3</v>
      </c>
      <c r="R954" s="12">
        <f t="shared" si="308"/>
        <v>5.0577546454823534E-2</v>
      </c>
      <c r="S954" s="12">
        <f t="shared" si="309"/>
        <v>-6.5771812080536909E-2</v>
      </c>
      <c r="T954" s="12">
        <f t="shared" si="310"/>
        <v>-9.5192439391864114E-2</v>
      </c>
      <c r="U954" s="12">
        <f t="shared" si="255"/>
        <v>4.551979180934118E-5</v>
      </c>
      <c r="V954" s="12">
        <f t="shared" si="248"/>
        <v>-5.9194630872483217E-5</v>
      </c>
      <c r="W954" s="12">
        <f t="shared" si="249"/>
        <v>-8.5673195452677702E-5</v>
      </c>
      <c r="X954" s="12">
        <f t="shared" si="250"/>
        <v>1.4161713007350589E-4</v>
      </c>
      <c r="Y954" s="12">
        <f t="shared" si="251"/>
        <v>-1.8416107382550334E-4</v>
      </c>
      <c r="Z954" s="12">
        <f t="shared" si="252"/>
        <v>-2.6653883029721952E-4</v>
      </c>
    </row>
    <row r="955" spans="1:26" ht="13">
      <c r="A955" s="24" t="str">
        <f t="shared" si="328"/>
        <v>TIX</v>
      </c>
      <c r="B955" s="9">
        <v>2020</v>
      </c>
      <c r="C955" s="19">
        <v>90.61</v>
      </c>
      <c r="D955" s="19">
        <v>355.11</v>
      </c>
      <c r="E955" s="19">
        <v>1107.6199999999999</v>
      </c>
      <c r="F955" s="19">
        <v>262.7</v>
      </c>
      <c r="G955" s="19">
        <v>71.25</v>
      </c>
      <c r="H955" s="10">
        <f t="shared" si="311"/>
        <v>8.180603456058938E-2</v>
      </c>
      <c r="I955" s="10">
        <f t="shared" si="312"/>
        <v>0.32060634513641867</v>
      </c>
      <c r="J955" s="10">
        <f t="shared" si="313"/>
        <v>3.6870175438596489</v>
      </c>
      <c r="K955" s="4">
        <f t="shared" si="322"/>
        <v>-2.8554190584205044</v>
      </c>
      <c r="L955" s="10">
        <f t="shared" si="323"/>
        <v>0.32060634513641867</v>
      </c>
      <c r="M955" s="25">
        <v>107.18</v>
      </c>
      <c r="N955" s="25">
        <v>-3.59</v>
      </c>
      <c r="O955" s="25">
        <v>-74.989999999999995</v>
      </c>
      <c r="P955" s="11">
        <f t="shared" ref="P955:Q955" si="329">P954</f>
        <v>8.9999999999999998E-4</v>
      </c>
      <c r="Q955" s="11">
        <f t="shared" si="329"/>
        <v>2.8E-3</v>
      </c>
      <c r="R955" s="12">
        <f t="shared" si="308"/>
        <v>9.6766038894205611E-2</v>
      </c>
      <c r="S955" s="12">
        <f t="shared" si="309"/>
        <v>-3.2411837994980228E-3</v>
      </c>
      <c r="T955" s="12">
        <f t="shared" si="310"/>
        <v>-6.7703725104277648E-2</v>
      </c>
      <c r="U955" s="12">
        <f t="shared" si="255"/>
        <v>8.7089435004785047E-5</v>
      </c>
      <c r="V955" s="12">
        <f t="shared" si="248"/>
        <v>-2.9170654195482205E-6</v>
      </c>
      <c r="W955" s="12">
        <f t="shared" si="249"/>
        <v>-6.0933352593849884E-5</v>
      </c>
      <c r="X955" s="12">
        <f t="shared" si="250"/>
        <v>2.7094490890377572E-4</v>
      </c>
      <c r="Y955" s="12">
        <f t="shared" si="251"/>
        <v>-9.0753146385944639E-6</v>
      </c>
      <c r="Z955" s="12">
        <f t="shared" si="252"/>
        <v>-1.8957043029197741E-4</v>
      </c>
    </row>
    <row r="956" spans="1:26" ht="13">
      <c r="A956" s="24" t="str">
        <f t="shared" si="328"/>
        <v>TIX</v>
      </c>
      <c r="B956" s="9">
        <v>2021</v>
      </c>
      <c r="C956" s="19">
        <v>124.08</v>
      </c>
      <c r="D956" s="19">
        <v>367.26</v>
      </c>
      <c r="E956" s="19">
        <v>1185.42</v>
      </c>
      <c r="F956" s="19">
        <v>406.92</v>
      </c>
      <c r="G956" s="19">
        <v>75.13</v>
      </c>
      <c r="H956" s="10">
        <f t="shared" si="311"/>
        <v>0.10467176190717213</v>
      </c>
      <c r="I956" s="10">
        <f t="shared" si="312"/>
        <v>0.30981424305309507</v>
      </c>
      <c r="J956" s="10">
        <f t="shared" si="313"/>
        <v>5.4162118993744182</v>
      </c>
      <c r="K956" s="4">
        <f t="shared" si="322"/>
        <v>-3.0267465907771305</v>
      </c>
      <c r="L956" s="10">
        <f t="shared" si="323"/>
        <v>0.30981424305309507</v>
      </c>
      <c r="M956" s="25">
        <v>102.28</v>
      </c>
      <c r="N956" s="25">
        <v>-61.73</v>
      </c>
      <c r="O956" s="25">
        <v>-53.2</v>
      </c>
      <c r="P956" s="11">
        <v>3.3999999999999998E-3</v>
      </c>
      <c r="Q956" s="11">
        <f>Q955</f>
        <v>2.8E-3</v>
      </c>
      <c r="R956" s="12">
        <f t="shared" si="308"/>
        <v>8.6281655447014549E-2</v>
      </c>
      <c r="S956" s="12">
        <f t="shared" si="309"/>
        <v>-5.2074370265391162E-2</v>
      </c>
      <c r="T956" s="12">
        <f t="shared" si="310"/>
        <v>-4.4878608425705659E-2</v>
      </c>
      <c r="U956" s="12">
        <f t="shared" si="255"/>
        <v>2.9335762851984945E-4</v>
      </c>
      <c r="V956" s="12">
        <f t="shared" si="248"/>
        <v>-1.7705285890232995E-4</v>
      </c>
      <c r="W956" s="12">
        <f t="shared" si="249"/>
        <v>-1.5258726864739923E-4</v>
      </c>
      <c r="X956" s="12">
        <f t="shared" si="250"/>
        <v>2.4158863525164072E-4</v>
      </c>
      <c r="Y956" s="12">
        <f t="shared" si="251"/>
        <v>-1.4580823674309524E-4</v>
      </c>
      <c r="Z956" s="12">
        <f t="shared" si="252"/>
        <v>-1.2566010359197583E-4</v>
      </c>
    </row>
    <row r="957" spans="1:26" ht="13">
      <c r="A957" s="24" t="s">
        <v>207</v>
      </c>
      <c r="B957" s="9">
        <v>2017</v>
      </c>
      <c r="C957" s="19">
        <v>16.510000000000002</v>
      </c>
      <c r="D957" s="19">
        <v>93.5</v>
      </c>
      <c r="E957" s="19">
        <v>294.12</v>
      </c>
      <c r="F957" s="19">
        <v>165.41</v>
      </c>
      <c r="G957" s="19">
        <v>93.5</v>
      </c>
      <c r="H957" s="10">
        <f t="shared" si="311"/>
        <v>5.613355093159255E-2</v>
      </c>
      <c r="I957" s="10">
        <f t="shared" si="312"/>
        <v>0.31789745682034543</v>
      </c>
      <c r="J957" s="10">
        <f t="shared" si="313"/>
        <v>1.769090909090909</v>
      </c>
      <c r="K957" s="4">
        <f t="shared" si="322"/>
        <v>-2.7476618389525611</v>
      </c>
      <c r="L957" s="10">
        <f t="shared" si="323"/>
        <v>0.31789745682034543</v>
      </c>
      <c r="M957" s="25">
        <v>-22.4</v>
      </c>
      <c r="N957" s="25">
        <v>7.24</v>
      </c>
      <c r="O957" s="26">
        <v>30.6</v>
      </c>
      <c r="P957" s="11">
        <v>0</v>
      </c>
      <c r="Q957" s="11">
        <v>5.4800000000000001E-2</v>
      </c>
      <c r="R957" s="12">
        <f t="shared" si="308"/>
        <v>-7.6159390724874196E-2</v>
      </c>
      <c r="S957" s="12">
        <f t="shared" si="309"/>
        <v>2.4615803073575412E-2</v>
      </c>
      <c r="T957" s="12">
        <f t="shared" si="310"/>
        <v>0.10403916768665851</v>
      </c>
      <c r="U957" s="12">
        <f t="shared" si="255"/>
        <v>0</v>
      </c>
      <c r="V957" s="12">
        <f t="shared" si="248"/>
        <v>0</v>
      </c>
      <c r="W957" s="12">
        <f t="shared" si="249"/>
        <v>0</v>
      </c>
      <c r="X957" s="12">
        <f t="shared" si="250"/>
        <v>-4.1735346117231058E-3</v>
      </c>
      <c r="Y957" s="12">
        <f t="shared" si="251"/>
        <v>1.3489460084319326E-3</v>
      </c>
      <c r="Z957" s="12">
        <f t="shared" si="252"/>
        <v>5.7013463892288865E-3</v>
      </c>
    </row>
    <row r="958" spans="1:26" ht="13">
      <c r="A958" s="24" t="str">
        <f t="shared" ref="A958:A961" si="330">A957</f>
        <v>TLD</v>
      </c>
      <c r="B958" s="9">
        <v>2018</v>
      </c>
      <c r="C958" s="19">
        <v>20.420000000000002</v>
      </c>
      <c r="D958" s="19">
        <v>134.82</v>
      </c>
      <c r="E958" s="19">
        <v>348.66</v>
      </c>
      <c r="F958" s="19">
        <v>171.71</v>
      </c>
      <c r="G958" s="19">
        <v>134.82</v>
      </c>
      <c r="H958" s="10">
        <f t="shared" si="311"/>
        <v>5.8567085412723E-2</v>
      </c>
      <c r="I958" s="10">
        <f t="shared" si="312"/>
        <v>0.38668043366029936</v>
      </c>
      <c r="J958" s="10">
        <f t="shared" si="313"/>
        <v>1.2736240913811008</v>
      </c>
      <c r="K958" s="4">
        <f t="shared" si="322"/>
        <v>-2.3645679088590716</v>
      </c>
      <c r="L958" s="10">
        <f t="shared" si="323"/>
        <v>0.38668043366029936</v>
      </c>
      <c r="M958" s="25">
        <v>18.75</v>
      </c>
      <c r="N958" s="25">
        <v>-55.79</v>
      </c>
      <c r="O958" s="25">
        <v>20.350000000000001</v>
      </c>
      <c r="P958" s="11">
        <v>4.1999999999999997E-3</v>
      </c>
      <c r="Q958" s="11">
        <v>8.1780000000000004E-4</v>
      </c>
      <c r="R958" s="12">
        <f t="shared" si="308"/>
        <v>5.3777318877990019E-2</v>
      </c>
      <c r="S958" s="12">
        <f t="shared" si="309"/>
        <v>-0.16001261974416336</v>
      </c>
      <c r="T958" s="12">
        <f t="shared" si="310"/>
        <v>5.8366316755578497E-2</v>
      </c>
      <c r="U958" s="12">
        <f t="shared" si="255"/>
        <v>2.2586473928755806E-4</v>
      </c>
      <c r="V958" s="12">
        <f t="shared" si="248"/>
        <v>-6.7205300292548606E-4</v>
      </c>
      <c r="W958" s="12">
        <f t="shared" si="249"/>
        <v>2.4513853037342969E-4</v>
      </c>
      <c r="X958" s="12">
        <f t="shared" si="250"/>
        <v>4.3979091378420239E-5</v>
      </c>
      <c r="Y958" s="12">
        <f t="shared" si="251"/>
        <v>-1.308583204267768E-4</v>
      </c>
      <c r="Z958" s="12">
        <f t="shared" si="252"/>
        <v>4.7731973842712099E-5</v>
      </c>
    </row>
    <row r="959" spans="1:26" ht="13">
      <c r="A959" s="24" t="str">
        <f t="shared" si="330"/>
        <v>TLD</v>
      </c>
      <c r="B959" s="9">
        <v>2019</v>
      </c>
      <c r="C959" s="19">
        <v>13.55</v>
      </c>
      <c r="D959" s="19">
        <v>243.93</v>
      </c>
      <c r="E959" s="19">
        <v>471.32</v>
      </c>
      <c r="F959" s="19">
        <v>288.75</v>
      </c>
      <c r="G959" s="19">
        <v>243.93</v>
      </c>
      <c r="H959" s="10">
        <f t="shared" si="311"/>
        <v>2.8749045234660105E-2</v>
      </c>
      <c r="I959" s="10">
        <f t="shared" si="312"/>
        <v>0.51754646524654169</v>
      </c>
      <c r="J959" s="10">
        <f t="shared" si="313"/>
        <v>1.1837412372401919</v>
      </c>
      <c r="K959" s="4">
        <f t="shared" si="322"/>
        <v>-1.4840908165996436</v>
      </c>
      <c r="L959" s="10">
        <f t="shared" si="323"/>
        <v>0.51754646524654169</v>
      </c>
      <c r="M959" s="26">
        <v>19.600000000000001</v>
      </c>
      <c r="N959" s="25">
        <v>-23.41</v>
      </c>
      <c r="O959" s="26">
        <v>30.03</v>
      </c>
      <c r="P959" s="11">
        <v>1.3899999999999999E-2</v>
      </c>
      <c r="Q959" s="11">
        <f>Q958</f>
        <v>8.1780000000000004E-4</v>
      </c>
      <c r="R959" s="12">
        <f t="shared" si="308"/>
        <v>4.1585334804379197E-2</v>
      </c>
      <c r="S959" s="12">
        <f t="shared" si="309"/>
        <v>-4.9669014682169228E-2</v>
      </c>
      <c r="T959" s="12">
        <f t="shared" si="310"/>
        <v>6.3714673682423839E-2</v>
      </c>
      <c r="U959" s="12">
        <f t="shared" si="255"/>
        <v>5.7803615378087083E-4</v>
      </c>
      <c r="V959" s="12">
        <f t="shared" si="248"/>
        <v>-6.9039930408215221E-4</v>
      </c>
      <c r="W959" s="12">
        <f t="shared" si="249"/>
        <v>8.8563396418569129E-4</v>
      </c>
      <c r="X959" s="12">
        <f t="shared" si="250"/>
        <v>3.4008486803021312E-5</v>
      </c>
      <c r="Y959" s="12">
        <f t="shared" si="251"/>
        <v>-4.0619320207077994E-5</v>
      </c>
      <c r="Z959" s="12">
        <f t="shared" si="252"/>
        <v>5.2105860137486216E-5</v>
      </c>
    </row>
    <row r="960" spans="1:26" ht="13">
      <c r="A960" s="24" t="str">
        <f t="shared" si="330"/>
        <v>TLD</v>
      </c>
      <c r="B960" s="9">
        <v>2020</v>
      </c>
      <c r="C960" s="19">
        <v>19.54</v>
      </c>
      <c r="D960" s="19">
        <v>185.2</v>
      </c>
      <c r="E960" s="19">
        <v>625.59</v>
      </c>
      <c r="F960" s="19">
        <v>319.72000000000003</v>
      </c>
      <c r="G960" s="19">
        <v>185.2</v>
      </c>
      <c r="H960" s="10">
        <f t="shared" si="311"/>
        <v>3.1234514618200416E-2</v>
      </c>
      <c r="I960" s="10">
        <f t="shared" si="312"/>
        <v>0.29604053773238059</v>
      </c>
      <c r="J960" s="10">
        <f t="shared" si="313"/>
        <v>1.7263498920086395</v>
      </c>
      <c r="K960" s="4">
        <f t="shared" si="322"/>
        <v>-2.7600296502753667</v>
      </c>
      <c r="L960" s="10">
        <f t="shared" si="323"/>
        <v>0.29604053773238059</v>
      </c>
      <c r="M960" s="25">
        <v>-45.8</v>
      </c>
      <c r="N960" s="25">
        <v>-179.18</v>
      </c>
      <c r="O960" s="25">
        <v>217.83</v>
      </c>
      <c r="P960" s="11">
        <v>2.23E-2</v>
      </c>
      <c r="Q960" s="11">
        <v>7.7999999999999999E-4</v>
      </c>
      <c r="R960" s="12">
        <f t="shared" si="308"/>
        <v>-7.3210888920858697E-2</v>
      </c>
      <c r="S960" s="12">
        <f t="shared" si="309"/>
        <v>-0.28641762176505381</v>
      </c>
      <c r="T960" s="12">
        <f t="shared" si="310"/>
        <v>0.34819929986093129</v>
      </c>
      <c r="U960" s="12">
        <f t="shared" si="255"/>
        <v>-1.632602822935149E-3</v>
      </c>
      <c r="V960" s="12">
        <f t="shared" si="248"/>
        <v>-6.3871129653606997E-3</v>
      </c>
      <c r="W960" s="12">
        <f t="shared" si="249"/>
        <v>7.7648443868987681E-3</v>
      </c>
      <c r="X960" s="12">
        <f t="shared" si="250"/>
        <v>-5.7104493358269779E-5</v>
      </c>
      <c r="Y960" s="12">
        <f t="shared" si="251"/>
        <v>-2.2340574497674198E-4</v>
      </c>
      <c r="Z960" s="12">
        <f t="shared" si="252"/>
        <v>2.7159545389152638E-4</v>
      </c>
    </row>
    <row r="961" spans="1:26" ht="13">
      <c r="A961" s="24" t="str">
        <f t="shared" si="330"/>
        <v>TLD</v>
      </c>
      <c r="B961" s="9">
        <v>2021</v>
      </c>
      <c r="C961" s="19">
        <v>18.25</v>
      </c>
      <c r="D961" s="19">
        <v>169.77</v>
      </c>
      <c r="E961" s="19">
        <v>627.29</v>
      </c>
      <c r="F961" s="19">
        <v>351.55</v>
      </c>
      <c r="G961" s="19">
        <v>169.77</v>
      </c>
      <c r="H961" s="10">
        <f t="shared" si="311"/>
        <v>2.9093401775893129E-2</v>
      </c>
      <c r="I961" s="10">
        <f t="shared" si="312"/>
        <v>0.27064037367086996</v>
      </c>
      <c r="J961" s="10">
        <f t="shared" si="313"/>
        <v>2.0707427696294989</v>
      </c>
      <c r="K961" s="4">
        <f t="shared" si="322"/>
        <v>-2.8965531491460781</v>
      </c>
      <c r="L961" s="10">
        <f t="shared" si="323"/>
        <v>0.27064037367086996</v>
      </c>
      <c r="M961" s="25">
        <v>26.55</v>
      </c>
      <c r="N961" s="25">
        <v>-39.07</v>
      </c>
      <c r="O961" s="25">
        <v>8.7200000000000006</v>
      </c>
      <c r="P961" s="11">
        <v>1.4500000000000001E-2</v>
      </c>
      <c r="Q961" s="11">
        <v>8.2799999999999999E-2</v>
      </c>
      <c r="R961" s="12">
        <f t="shared" si="308"/>
        <v>4.2324921487669184E-2</v>
      </c>
      <c r="S961" s="12">
        <f t="shared" si="309"/>
        <v>-6.2283792185432577E-2</v>
      </c>
      <c r="T961" s="12">
        <f t="shared" si="310"/>
        <v>1.3901066492371951E-2</v>
      </c>
      <c r="U961" s="12">
        <f t="shared" si="255"/>
        <v>6.1371136157120317E-4</v>
      </c>
      <c r="V961" s="12">
        <f t="shared" si="248"/>
        <v>-9.0311498668877235E-4</v>
      </c>
      <c r="W961" s="12">
        <f t="shared" si="249"/>
        <v>2.015654641393933E-4</v>
      </c>
      <c r="X961" s="12">
        <f t="shared" si="250"/>
        <v>3.5045034991790084E-3</v>
      </c>
      <c r="Y961" s="12">
        <f t="shared" si="251"/>
        <v>-5.1570979929538175E-3</v>
      </c>
      <c r="Z961" s="12">
        <f t="shared" si="252"/>
        <v>1.1510083055683974E-3</v>
      </c>
    </row>
    <row r="962" spans="1:26" ht="13">
      <c r="A962" s="24" t="s">
        <v>209</v>
      </c>
      <c r="B962" s="9">
        <v>2017</v>
      </c>
      <c r="C962" s="19">
        <v>321.02999999999997</v>
      </c>
      <c r="D962" s="19">
        <v>842.21</v>
      </c>
      <c r="E962" s="19">
        <v>1988.23</v>
      </c>
      <c r="F962" s="19">
        <v>1459.21</v>
      </c>
      <c r="G962" s="19">
        <v>803.62</v>
      </c>
      <c r="H962" s="10">
        <f t="shared" si="311"/>
        <v>0.16146522283639214</v>
      </c>
      <c r="I962" s="10">
        <f t="shared" si="312"/>
        <v>0.42359787348546196</v>
      </c>
      <c r="J962" s="10">
        <f t="shared" si="313"/>
        <v>1.8157960229959433</v>
      </c>
      <c r="K962" s="4">
        <f t="shared" si="322"/>
        <v>-2.6193488079886156</v>
      </c>
      <c r="L962" s="10">
        <f t="shared" si="323"/>
        <v>0.42359787348546196</v>
      </c>
      <c r="M962" s="25">
        <v>97.79</v>
      </c>
      <c r="N962" s="25">
        <v>-287.74</v>
      </c>
      <c r="O962" s="25">
        <v>-99.82</v>
      </c>
      <c r="P962" s="11">
        <v>0</v>
      </c>
      <c r="Q962" s="11">
        <v>1.0500000000000001E-2</v>
      </c>
      <c r="R962" s="12">
        <f t="shared" ref="R962:R1016" si="331">M962/E962</f>
        <v>4.9184450491140362E-2</v>
      </c>
      <c r="S962" s="12">
        <f t="shared" ref="S962:S1016" si="332">N962/E962</f>
        <v>-0.14472168712875272</v>
      </c>
      <c r="T962" s="12">
        <f t="shared" ref="T962:T1016" si="333">O962/E962</f>
        <v>-5.0205459126962171E-2</v>
      </c>
      <c r="U962" s="12">
        <f t="shared" si="255"/>
        <v>0</v>
      </c>
      <c r="V962" s="12">
        <f t="shared" si="248"/>
        <v>0</v>
      </c>
      <c r="W962" s="12">
        <f t="shared" si="249"/>
        <v>0</v>
      </c>
      <c r="X962" s="12">
        <f t="shared" si="250"/>
        <v>5.1643673015697384E-4</v>
      </c>
      <c r="Y962" s="12">
        <f t="shared" si="251"/>
        <v>-1.5195777148519036E-3</v>
      </c>
      <c r="Z962" s="12">
        <f t="shared" si="252"/>
        <v>-5.2715732083310281E-4</v>
      </c>
    </row>
    <row r="963" spans="1:26" ht="13">
      <c r="A963" s="24" t="str">
        <f t="shared" ref="A963:A966" si="334">A962</f>
        <v>THI</v>
      </c>
      <c r="B963" s="9">
        <v>2018</v>
      </c>
      <c r="C963" s="19">
        <v>277.18</v>
      </c>
      <c r="D963" s="19">
        <v>1277.99</v>
      </c>
      <c r="E963" s="19">
        <v>2537.21</v>
      </c>
      <c r="F963" s="19">
        <v>1260.8800000000001</v>
      </c>
      <c r="G963" s="19">
        <v>1229.9000000000001</v>
      </c>
      <c r="H963" s="10">
        <f t="shared" ref="H963:H1016" si="335">C963/E963</f>
        <v>0.10924598279212205</v>
      </c>
      <c r="I963" s="10">
        <f t="shared" ref="I963:I1016" si="336">D963/E963</f>
        <v>0.5036989449040481</v>
      </c>
      <c r="J963" s="10">
        <f t="shared" ref="J963:J1016" si="337">F963/G963</f>
        <v>1.02518903975933</v>
      </c>
      <c r="K963" s="4">
        <f t="shared" si="322"/>
        <v>-1.924623692770512</v>
      </c>
      <c r="L963" s="10">
        <f t="shared" si="323"/>
        <v>0.5036989449040481</v>
      </c>
      <c r="M963" s="25">
        <v>264.94</v>
      </c>
      <c r="N963" s="25">
        <v>-492.11</v>
      </c>
      <c r="O963" s="25">
        <v>43.26</v>
      </c>
      <c r="P963" s="11">
        <v>5.9999999999999995E-4</v>
      </c>
      <c r="Q963" s="11">
        <v>7.4000000000000003E-3</v>
      </c>
      <c r="R963" s="12">
        <f t="shared" si="331"/>
        <v>0.10442178613516422</v>
      </c>
      <c r="S963" s="12">
        <f t="shared" si="332"/>
        <v>-0.19395714189996099</v>
      </c>
      <c r="T963" s="12">
        <f t="shared" si="333"/>
        <v>1.7050224459150009E-2</v>
      </c>
      <c r="U963" s="12">
        <f t="shared" si="255"/>
        <v>6.2653071681098528E-5</v>
      </c>
      <c r="V963" s="12">
        <f t="shared" si="248"/>
        <v>-1.1637428513997659E-4</v>
      </c>
      <c r="W963" s="12">
        <f t="shared" si="249"/>
        <v>1.0230134675490004E-5</v>
      </c>
      <c r="X963" s="12">
        <f t="shared" si="250"/>
        <v>7.7272121740021521E-4</v>
      </c>
      <c r="Y963" s="12">
        <f t="shared" si="251"/>
        <v>-1.4352828500597114E-3</v>
      </c>
      <c r="Z963" s="12">
        <f t="shared" si="252"/>
        <v>1.2617166099771008E-4</v>
      </c>
    </row>
    <row r="964" spans="1:26" ht="13">
      <c r="A964" s="24" t="str">
        <f t="shared" si="334"/>
        <v>THI</v>
      </c>
      <c r="B964" s="9">
        <v>2019</v>
      </c>
      <c r="C964" s="19">
        <v>172.84</v>
      </c>
      <c r="D964" s="19">
        <v>1944.03</v>
      </c>
      <c r="E964" s="19">
        <v>3186.44</v>
      </c>
      <c r="F964" s="19">
        <v>2004.39</v>
      </c>
      <c r="G964" s="19">
        <v>1436.05</v>
      </c>
      <c r="H964" s="10">
        <f t="shared" si="335"/>
        <v>5.4242351966457866E-2</v>
      </c>
      <c r="I964" s="10">
        <f t="shared" si="336"/>
        <v>0.61009465108396832</v>
      </c>
      <c r="J964" s="10">
        <f t="shared" si="337"/>
        <v>1.3957661641307755</v>
      </c>
      <c r="K964" s="4">
        <f t="shared" si="322"/>
        <v>-1.0721341373269639</v>
      </c>
      <c r="L964" s="10">
        <f t="shared" si="323"/>
        <v>0.61009465108396832</v>
      </c>
      <c r="M964" s="25">
        <v>-562.59</v>
      </c>
      <c r="N964" s="25">
        <v>99.95</v>
      </c>
      <c r="O964" s="25">
        <v>541.05999999999995</v>
      </c>
      <c r="P964" s="11">
        <v>8.0000000000000004E-4</v>
      </c>
      <c r="Q964" s="11">
        <f>Q963</f>
        <v>7.4000000000000003E-3</v>
      </c>
      <c r="R964" s="12">
        <f t="shared" si="331"/>
        <v>-0.17655753756543352</v>
      </c>
      <c r="S964" s="12">
        <f t="shared" si="332"/>
        <v>3.1367293907934878E-2</v>
      </c>
      <c r="T964" s="12">
        <f t="shared" si="333"/>
        <v>0.16980078080867675</v>
      </c>
      <c r="U964" s="12">
        <f t="shared" si="255"/>
        <v>-1.4124603005234682E-4</v>
      </c>
      <c r="V964" s="12">
        <f t="shared" si="248"/>
        <v>2.5093835126347903E-5</v>
      </c>
      <c r="W964" s="12">
        <f t="shared" si="249"/>
        <v>1.358406246469414E-4</v>
      </c>
      <c r="X964" s="12">
        <f t="shared" si="250"/>
        <v>-1.3065257779842081E-3</v>
      </c>
      <c r="Y964" s="12">
        <f t="shared" si="251"/>
        <v>2.321179749187181E-4</v>
      </c>
      <c r="Z964" s="12">
        <f t="shared" si="252"/>
        <v>1.256525777984208E-3</v>
      </c>
    </row>
    <row r="965" spans="1:26" ht="13">
      <c r="A965" s="24" t="str">
        <f t="shared" si="334"/>
        <v>THI</v>
      </c>
      <c r="B965" s="9">
        <v>2020</v>
      </c>
      <c r="C965" s="19">
        <v>160.38</v>
      </c>
      <c r="D965" s="19">
        <v>1948.52</v>
      </c>
      <c r="E965" s="19">
        <v>3293.95</v>
      </c>
      <c r="F965" s="19">
        <v>2136.36</v>
      </c>
      <c r="G965" s="19">
        <v>1542.89</v>
      </c>
      <c r="H965" s="10">
        <f t="shared" si="335"/>
        <v>4.8689263650025044E-2</v>
      </c>
      <c r="I965" s="10">
        <f t="shared" si="336"/>
        <v>0.59154510542054373</v>
      </c>
      <c r="J965" s="10">
        <f t="shared" si="337"/>
        <v>1.3846482898975299</v>
      </c>
      <c r="K965" s="4">
        <f t="shared" si="322"/>
        <v>-1.1528331786876029</v>
      </c>
      <c r="L965" s="10">
        <f t="shared" si="323"/>
        <v>0.59154510542054373</v>
      </c>
      <c r="M965" s="25">
        <v>332.35</v>
      </c>
      <c r="N965" s="25">
        <v>-47.78</v>
      </c>
      <c r="O965" s="25">
        <v>-288.33999999999997</v>
      </c>
      <c r="P965" s="11">
        <v>5.9999999999999995E-4</v>
      </c>
      <c r="Q965" s="11">
        <v>4.8999999999999998E-3</v>
      </c>
      <c r="R965" s="12">
        <f t="shared" si="331"/>
        <v>0.1008970992273714</v>
      </c>
      <c r="S965" s="12">
        <f t="shared" si="332"/>
        <v>-1.4505381077429835E-2</v>
      </c>
      <c r="T965" s="12">
        <f t="shared" si="333"/>
        <v>-8.7536240683677644E-2</v>
      </c>
      <c r="U965" s="12">
        <f t="shared" si="255"/>
        <v>6.0538259536422839E-5</v>
      </c>
      <c r="V965" s="12">
        <f t="shared" si="248"/>
        <v>-8.7032286464579E-6</v>
      </c>
      <c r="W965" s="12">
        <f t="shared" si="249"/>
        <v>-5.252174441020658E-5</v>
      </c>
      <c r="X965" s="12">
        <f t="shared" si="250"/>
        <v>4.9439578621411986E-4</v>
      </c>
      <c r="Y965" s="12">
        <f t="shared" si="251"/>
        <v>-7.1076367279406183E-5</v>
      </c>
      <c r="Z965" s="12">
        <f t="shared" si="252"/>
        <v>-4.2892757935002044E-4</v>
      </c>
    </row>
    <row r="966" spans="1:26" ht="13">
      <c r="A966" s="24" t="str">
        <f t="shared" si="334"/>
        <v>THI</v>
      </c>
      <c r="B966" s="9">
        <v>2021</v>
      </c>
      <c r="C966" s="19">
        <v>93.24</v>
      </c>
      <c r="D966" s="19">
        <v>1801.79</v>
      </c>
      <c r="E966" s="19">
        <v>3245.79</v>
      </c>
      <c r="F966" s="19">
        <v>2001.23</v>
      </c>
      <c r="G966" s="19">
        <v>1371.3</v>
      </c>
      <c r="H966" s="10">
        <f t="shared" si="335"/>
        <v>2.872644256097899E-2</v>
      </c>
      <c r="I966" s="10">
        <f t="shared" si="336"/>
        <v>0.55511601181838632</v>
      </c>
      <c r="J966" s="10">
        <f t="shared" si="337"/>
        <v>1.4593670239918326</v>
      </c>
      <c r="K966" s="4">
        <f t="shared" si="322"/>
        <v>-1.2709451922555703</v>
      </c>
      <c r="L966" s="10">
        <f t="shared" si="323"/>
        <v>0.55511601181838632</v>
      </c>
      <c r="M966" s="25">
        <v>147.87</v>
      </c>
      <c r="N966" s="25">
        <v>-92.58</v>
      </c>
      <c r="O966" s="25">
        <v>-57.88</v>
      </c>
      <c r="P966" s="11">
        <v>6.9999999999999999E-4</v>
      </c>
      <c r="Q966" s="11">
        <v>3.5999999999999999E-3</v>
      </c>
      <c r="R966" s="12">
        <f t="shared" si="331"/>
        <v>4.5557475991977299E-2</v>
      </c>
      <c r="S966" s="12">
        <f t="shared" si="332"/>
        <v>-2.8523102233970775E-2</v>
      </c>
      <c r="T966" s="12">
        <f t="shared" si="333"/>
        <v>-1.78323304958115E-2</v>
      </c>
      <c r="U966" s="12">
        <f t="shared" si="255"/>
        <v>3.1890233194384106E-5</v>
      </c>
      <c r="V966" s="12">
        <f t="shared" si="248"/>
        <v>-1.9966171563779542E-5</v>
      </c>
      <c r="W966" s="12">
        <f t="shared" si="249"/>
        <v>-1.248263134706805E-5</v>
      </c>
      <c r="X966" s="12">
        <f t="shared" si="250"/>
        <v>1.6400691357111827E-4</v>
      </c>
      <c r="Y966" s="12">
        <f t="shared" si="251"/>
        <v>-1.0268316804229479E-4</v>
      </c>
      <c r="Z966" s="12">
        <f t="shared" si="252"/>
        <v>-6.4196389784921401E-5</v>
      </c>
    </row>
    <row r="967" spans="1:26" ht="13">
      <c r="A967" s="24" t="s">
        <v>210</v>
      </c>
      <c r="B967" s="9">
        <v>2017</v>
      </c>
      <c r="C967" s="19">
        <v>10278.17</v>
      </c>
      <c r="D967" s="19">
        <v>10794.26</v>
      </c>
      <c r="E967" s="19">
        <v>34667.32</v>
      </c>
      <c r="F967" s="19">
        <v>20307.43</v>
      </c>
      <c r="G967" s="19">
        <v>10195.56</v>
      </c>
      <c r="H967" s="10">
        <f t="shared" si="335"/>
        <v>0.29648008556761818</v>
      </c>
      <c r="I967" s="10">
        <f t="shared" si="336"/>
        <v>0.31136701654468818</v>
      </c>
      <c r="J967" s="10">
        <f t="shared" si="337"/>
        <v>1.9917915249383067</v>
      </c>
      <c r="K967" s="4">
        <f t="shared" si="322"/>
        <v>-3.8673355568493122</v>
      </c>
      <c r="L967" s="10">
        <f t="shared" si="323"/>
        <v>0.31136701654468818</v>
      </c>
      <c r="M967" s="25">
        <v>9601.59</v>
      </c>
      <c r="N967" s="25">
        <v>-1770.99</v>
      </c>
      <c r="O967" s="25">
        <v>-7535.35</v>
      </c>
      <c r="P967" s="11">
        <v>0.59789999999999999</v>
      </c>
      <c r="Q967" s="11">
        <v>1.2999999999999999E-3</v>
      </c>
      <c r="R967" s="12">
        <f t="shared" si="331"/>
        <v>0.27696372260676627</v>
      </c>
      <c r="S967" s="12">
        <f t="shared" si="332"/>
        <v>-5.1085287238817424E-2</v>
      </c>
      <c r="T967" s="12">
        <f t="shared" si="333"/>
        <v>-0.21736176895127746</v>
      </c>
      <c r="U967" s="12">
        <f t="shared" si="255"/>
        <v>0.16559660974658555</v>
      </c>
      <c r="V967" s="12">
        <f t="shared" si="248"/>
        <v>-3.0543893240088937E-2</v>
      </c>
      <c r="W967" s="12">
        <f t="shared" si="249"/>
        <v>-0.12996060165596879</v>
      </c>
      <c r="X967" s="12">
        <f t="shared" si="250"/>
        <v>3.6005283938879613E-4</v>
      </c>
      <c r="Y967" s="12">
        <f t="shared" si="251"/>
        <v>-6.6410873410462643E-5</v>
      </c>
      <c r="Z967" s="12">
        <f t="shared" si="252"/>
        <v>-2.825702996366607E-4</v>
      </c>
    </row>
    <row r="968" spans="1:26" ht="13">
      <c r="A968" s="24" t="str">
        <f t="shared" ref="A968:A971" si="338">A967</f>
        <v>VNM</v>
      </c>
      <c r="B968" s="9">
        <v>2018</v>
      </c>
      <c r="C968" s="19">
        <v>10205.629999999999</v>
      </c>
      <c r="D968" s="19">
        <v>11094.74</v>
      </c>
      <c r="E968" s="19">
        <v>37366.11</v>
      </c>
      <c r="F968" s="19">
        <v>20559.759999999998</v>
      </c>
      <c r="G968" s="19">
        <v>10639.59</v>
      </c>
      <c r="H968" s="10">
        <f t="shared" si="335"/>
        <v>0.27312529990411094</v>
      </c>
      <c r="I968" s="10">
        <f t="shared" si="336"/>
        <v>0.29691985598714982</v>
      </c>
      <c r="J968" s="10">
        <f t="shared" si="337"/>
        <v>1.9323827327932748</v>
      </c>
      <c r="K968" s="4">
        <f t="shared" si="322"/>
        <v>-3.8443502013729178</v>
      </c>
      <c r="L968" s="10">
        <f t="shared" si="323"/>
        <v>0.29691985598714982</v>
      </c>
      <c r="M968" s="25">
        <v>8140.24</v>
      </c>
      <c r="N968" s="25">
        <v>-1045.1400000000001</v>
      </c>
      <c r="O968" s="25">
        <v>-6535.11</v>
      </c>
      <c r="P968" s="11">
        <v>0.59209999999999996</v>
      </c>
      <c r="Q968" s="11">
        <f t="shared" ref="Q968:Q971" si="339">Q967</f>
        <v>1.2999999999999999E-3</v>
      </c>
      <c r="R968" s="12">
        <f t="shared" si="331"/>
        <v>0.21785088145380935</v>
      </c>
      <c r="S968" s="12">
        <f t="shared" si="332"/>
        <v>-2.797026503427839E-2</v>
      </c>
      <c r="T968" s="12">
        <f t="shared" si="333"/>
        <v>-0.17489404168643724</v>
      </c>
      <c r="U968" s="12">
        <f t="shared" si="255"/>
        <v>0.12898950690880051</v>
      </c>
      <c r="V968" s="12">
        <f t="shared" si="248"/>
        <v>-1.6561193926796235E-2</v>
      </c>
      <c r="W968" s="12">
        <f t="shared" si="249"/>
        <v>-0.10355476208253948</v>
      </c>
      <c r="X968" s="12">
        <f t="shared" si="250"/>
        <v>2.8320614588995212E-4</v>
      </c>
      <c r="Y968" s="12">
        <f t="shared" si="251"/>
        <v>-3.6361344544561907E-5</v>
      </c>
      <c r="Z968" s="12">
        <f t="shared" si="252"/>
        <v>-2.273622541923684E-4</v>
      </c>
    </row>
    <row r="969" spans="1:26" ht="13">
      <c r="A969" s="24" t="str">
        <f t="shared" si="338"/>
        <v>VNM</v>
      </c>
      <c r="B969" s="9">
        <v>2019</v>
      </c>
      <c r="C969" s="19">
        <v>10554.33</v>
      </c>
      <c r="D969" s="19">
        <v>14968.62</v>
      </c>
      <c r="E969" s="19">
        <v>44699.87</v>
      </c>
      <c r="F969" s="19">
        <v>24721.57</v>
      </c>
      <c r="G969" s="19">
        <v>14442.85</v>
      </c>
      <c r="H969" s="10">
        <f t="shared" si="335"/>
        <v>0.23611545178990451</v>
      </c>
      <c r="I969" s="10">
        <f t="shared" si="336"/>
        <v>0.33486943026903659</v>
      </c>
      <c r="J969" s="10">
        <f t="shared" si="337"/>
        <v>1.7116822510792538</v>
      </c>
      <c r="K969" s="4">
        <f t="shared" si="322"/>
        <v>-3.4606105095253783</v>
      </c>
      <c r="L969" s="10">
        <f t="shared" si="323"/>
        <v>0.33486943026903659</v>
      </c>
      <c r="M969" s="25">
        <v>11409.93</v>
      </c>
      <c r="N969" s="25">
        <v>-6747.87</v>
      </c>
      <c r="O969" s="25">
        <v>-3515.98</v>
      </c>
      <c r="P969" s="11">
        <v>0.58609999999999995</v>
      </c>
      <c r="Q969" s="11">
        <f t="shared" si="339"/>
        <v>1.2999999999999999E-3</v>
      </c>
      <c r="R969" s="12">
        <f t="shared" si="331"/>
        <v>0.25525644705454398</v>
      </c>
      <c r="S969" s="12">
        <f t="shared" si="332"/>
        <v>-0.15095949943478582</v>
      </c>
      <c r="T969" s="12">
        <f t="shared" si="333"/>
        <v>-7.8657499451340679E-2</v>
      </c>
      <c r="U969" s="12">
        <f t="shared" si="255"/>
        <v>0.14960580361866821</v>
      </c>
      <c r="V969" s="12">
        <f t="shared" si="248"/>
        <v>-8.8477362618727962E-2</v>
      </c>
      <c r="W969" s="12">
        <f t="shared" si="249"/>
        <v>-4.6101160428430765E-2</v>
      </c>
      <c r="X969" s="12">
        <f t="shared" si="250"/>
        <v>3.3183338117090714E-4</v>
      </c>
      <c r="Y969" s="12">
        <f t="shared" si="251"/>
        <v>-1.9624734926522154E-4</v>
      </c>
      <c r="Z969" s="12">
        <f t="shared" si="252"/>
        <v>-1.0225474928674288E-4</v>
      </c>
    </row>
    <row r="970" spans="1:26" ht="13">
      <c r="A970" s="24" t="str">
        <f t="shared" si="338"/>
        <v>VNM</v>
      </c>
      <c r="B970" s="9">
        <v>2020</v>
      </c>
      <c r="C970" s="19">
        <v>11235.73</v>
      </c>
      <c r="D970" s="19">
        <v>14785.36</v>
      </c>
      <c r="E970" s="19">
        <v>48432.480000000003</v>
      </c>
      <c r="F970" s="19">
        <v>29665.73</v>
      </c>
      <c r="G970" s="19">
        <v>14212.65</v>
      </c>
      <c r="H970" s="10">
        <f t="shared" si="335"/>
        <v>0.23198750094977583</v>
      </c>
      <c r="I970" s="10">
        <f t="shared" si="336"/>
        <v>0.30527778053075127</v>
      </c>
      <c r="J970" s="10">
        <f t="shared" si="337"/>
        <v>2.0872764755341193</v>
      </c>
      <c r="K970" s="4">
        <f t="shared" si="322"/>
        <v>-3.6122095111508452</v>
      </c>
      <c r="L970" s="10">
        <f t="shared" si="323"/>
        <v>0.30527778053075127</v>
      </c>
      <c r="M970" s="25">
        <v>10180.17</v>
      </c>
      <c r="N970" s="25">
        <v>-4802.01</v>
      </c>
      <c r="O970" s="25">
        <v>-5926.53</v>
      </c>
      <c r="P970" s="11">
        <v>0.57750000000000001</v>
      </c>
      <c r="Q970" s="11">
        <f t="shared" si="339"/>
        <v>1.2999999999999999E-3</v>
      </c>
      <c r="R970" s="12">
        <f t="shared" si="331"/>
        <v>0.21019303574791132</v>
      </c>
      <c r="S970" s="12">
        <f t="shared" si="332"/>
        <v>-9.9148546595177453E-2</v>
      </c>
      <c r="T970" s="12">
        <f t="shared" si="333"/>
        <v>-0.12236684968434405</v>
      </c>
      <c r="U970" s="12">
        <f t="shared" si="255"/>
        <v>0.12138647814441879</v>
      </c>
      <c r="V970" s="12">
        <f t="shared" si="248"/>
        <v>-5.7258285658714977E-2</v>
      </c>
      <c r="W970" s="12">
        <f t="shared" si="249"/>
        <v>-7.0666855692708697E-2</v>
      </c>
      <c r="X970" s="12">
        <f t="shared" si="250"/>
        <v>2.7325094647228472E-4</v>
      </c>
      <c r="Y970" s="12">
        <f t="shared" si="251"/>
        <v>-1.2889311057373069E-4</v>
      </c>
      <c r="Z970" s="12">
        <f t="shared" si="252"/>
        <v>-1.5907690458964727E-4</v>
      </c>
    </row>
    <row r="971" spans="1:26" ht="13">
      <c r="A971" s="24" t="str">
        <f t="shared" si="338"/>
        <v>VNM</v>
      </c>
      <c r="B971" s="9">
        <v>2021</v>
      </c>
      <c r="C971" s="19">
        <v>10632.54</v>
      </c>
      <c r="D971" s="19">
        <v>17482.29</v>
      </c>
      <c r="E971" s="19">
        <v>53332.4</v>
      </c>
      <c r="F971" s="19">
        <v>36109.910000000003</v>
      </c>
      <c r="G971" s="19">
        <v>17068.419999999998</v>
      </c>
      <c r="H971" s="10">
        <f t="shared" si="335"/>
        <v>0.19936361386324261</v>
      </c>
      <c r="I971" s="10">
        <f t="shared" si="336"/>
        <v>0.32779867397679457</v>
      </c>
      <c r="J971" s="10">
        <f t="shared" si="337"/>
        <v>2.1155976944556092</v>
      </c>
      <c r="K971" s="4">
        <f t="shared" si="322"/>
        <v>-3.337146211494685</v>
      </c>
      <c r="L971" s="10">
        <f t="shared" si="323"/>
        <v>0.32779867397679457</v>
      </c>
      <c r="M971" s="25">
        <v>9431.9699999999993</v>
      </c>
      <c r="N971" s="25">
        <v>-3933.25</v>
      </c>
      <c r="O971" s="25">
        <v>-5257.4</v>
      </c>
      <c r="P971" s="11">
        <v>0.54390000000000005</v>
      </c>
      <c r="Q971" s="11">
        <f t="shared" si="339"/>
        <v>1.2999999999999999E-3</v>
      </c>
      <c r="R971" s="12">
        <f t="shared" si="331"/>
        <v>0.17685253241931731</v>
      </c>
      <c r="S971" s="12">
        <f t="shared" si="332"/>
        <v>-7.3749728120242108E-2</v>
      </c>
      <c r="T971" s="12">
        <f t="shared" si="333"/>
        <v>-9.8577975114564495E-2</v>
      </c>
      <c r="U971" s="12">
        <f t="shared" si="255"/>
        <v>9.6190092382866688E-2</v>
      </c>
      <c r="V971" s="12">
        <f t="shared" si="248"/>
        <v>-4.0112477124599685E-2</v>
      </c>
      <c r="W971" s="12">
        <f t="shared" si="249"/>
        <v>-5.3616560664811637E-2</v>
      </c>
      <c r="X971" s="12">
        <f t="shared" si="250"/>
        <v>2.2990829214511249E-4</v>
      </c>
      <c r="Y971" s="12">
        <f t="shared" si="251"/>
        <v>-9.5874646556314737E-5</v>
      </c>
      <c r="Z971" s="12">
        <f t="shared" si="252"/>
        <v>-1.2815136764893383E-4</v>
      </c>
    </row>
    <row r="972" spans="1:26" ht="13">
      <c r="A972" s="24" t="s">
        <v>211</v>
      </c>
      <c r="B972" s="9">
        <v>2017</v>
      </c>
      <c r="C972" s="19">
        <v>2027.68</v>
      </c>
      <c r="D972" s="19">
        <v>12039.18</v>
      </c>
      <c r="E972" s="19">
        <v>38133.24</v>
      </c>
      <c r="F972" s="19">
        <v>13356.54</v>
      </c>
      <c r="G972" s="19">
        <v>8138.19</v>
      </c>
      <c r="H972" s="10">
        <f t="shared" si="335"/>
        <v>5.3173556718495468E-2</v>
      </c>
      <c r="I972" s="10">
        <f t="shared" si="336"/>
        <v>0.31571353496319748</v>
      </c>
      <c r="J972" s="10">
        <f t="shared" si="337"/>
        <v>1.6412175188831917</v>
      </c>
      <c r="K972" s="4">
        <f t="shared" si="322"/>
        <v>-2.7462787260185371</v>
      </c>
      <c r="L972" s="10">
        <f t="shared" si="323"/>
        <v>0.31571353496319748</v>
      </c>
      <c r="M972" s="25">
        <v>2799.41</v>
      </c>
      <c r="N972" s="25">
        <v>-2089.2600000000002</v>
      </c>
      <c r="O972" s="25">
        <v>-986.4</v>
      </c>
      <c r="P972" s="11">
        <v>0</v>
      </c>
      <c r="Q972" s="11">
        <v>0</v>
      </c>
      <c r="R972" s="12">
        <f t="shared" si="331"/>
        <v>7.3411281076562071E-2</v>
      </c>
      <c r="S972" s="12">
        <f t="shared" si="332"/>
        <v>-5.4788420810820172E-2</v>
      </c>
      <c r="T972" s="12">
        <f t="shared" si="333"/>
        <v>-2.5867196178452186E-2</v>
      </c>
      <c r="U972" s="12">
        <f t="shared" si="255"/>
        <v>0</v>
      </c>
      <c r="V972" s="12">
        <f t="shared" si="248"/>
        <v>0</v>
      </c>
      <c r="W972" s="12">
        <f t="shared" si="249"/>
        <v>0</v>
      </c>
      <c r="X972" s="12">
        <f t="shared" si="250"/>
        <v>0</v>
      </c>
      <c r="Y972" s="12">
        <f t="shared" si="251"/>
        <v>0</v>
      </c>
      <c r="Z972" s="12">
        <f t="shared" si="252"/>
        <v>0</v>
      </c>
    </row>
    <row r="973" spans="1:26" ht="13">
      <c r="A973" s="24" t="str">
        <f t="shared" ref="A973:A976" si="340">A972</f>
        <v>VRE</v>
      </c>
      <c r="B973" s="9">
        <v>2018</v>
      </c>
      <c r="C973" s="19">
        <v>2413.23</v>
      </c>
      <c r="D973" s="19">
        <v>10174.4</v>
      </c>
      <c r="E973" s="19">
        <v>38683.68</v>
      </c>
      <c r="F973" s="19">
        <v>7122.64</v>
      </c>
      <c r="G973" s="19">
        <v>6259.85</v>
      </c>
      <c r="H973" s="10">
        <f t="shared" si="335"/>
        <v>6.23836718740306E-2</v>
      </c>
      <c r="I973" s="10">
        <f t="shared" si="336"/>
        <v>0.26301530774734977</v>
      </c>
      <c r="J973" s="10">
        <f t="shared" si="337"/>
        <v>1.1378291812104124</v>
      </c>
      <c r="K973" s="4">
        <f t="shared" si="322"/>
        <v>-3.0860905859980852</v>
      </c>
      <c r="L973" s="10">
        <f t="shared" si="323"/>
        <v>0.26301530774734977</v>
      </c>
      <c r="M973" s="25">
        <v>3573.73</v>
      </c>
      <c r="N973" s="25">
        <v>636.12</v>
      </c>
      <c r="O973" s="25">
        <v>-3200</v>
      </c>
      <c r="P973" s="27">
        <v>0.31469999999999998</v>
      </c>
      <c r="Q973" s="11">
        <v>0</v>
      </c>
      <c r="R973" s="12">
        <f t="shared" si="331"/>
        <v>9.238340302680613E-2</v>
      </c>
      <c r="S973" s="12">
        <f t="shared" si="332"/>
        <v>1.6444143887034534E-2</v>
      </c>
      <c r="T973" s="12">
        <f t="shared" si="333"/>
        <v>-8.2722222911574078E-2</v>
      </c>
      <c r="U973" s="12">
        <f t="shared" si="255"/>
        <v>2.9073056932535889E-2</v>
      </c>
      <c r="V973" s="12">
        <f t="shared" si="248"/>
        <v>5.1749720812497672E-3</v>
      </c>
      <c r="W973" s="12">
        <f t="shared" si="249"/>
        <v>-2.603268355027236E-2</v>
      </c>
      <c r="X973" s="12">
        <f t="shared" si="250"/>
        <v>0</v>
      </c>
      <c r="Y973" s="12">
        <f t="shared" si="251"/>
        <v>0</v>
      </c>
      <c r="Z973" s="12">
        <f t="shared" si="252"/>
        <v>0</v>
      </c>
    </row>
    <row r="974" spans="1:26" ht="13">
      <c r="A974" s="24" t="str">
        <f t="shared" si="340"/>
        <v>VRE</v>
      </c>
      <c r="B974" s="9">
        <v>2019</v>
      </c>
      <c r="C974" s="19">
        <v>2851.93</v>
      </c>
      <c r="D974" s="19">
        <v>8885.18</v>
      </c>
      <c r="E974" s="19">
        <v>35838.69</v>
      </c>
      <c r="F974" s="19">
        <v>5070.41</v>
      </c>
      <c r="G974" s="19">
        <v>4780.2700000000004</v>
      </c>
      <c r="H974" s="10">
        <f t="shared" si="335"/>
        <v>7.9576848372527001E-2</v>
      </c>
      <c r="I974" s="10">
        <f t="shared" si="336"/>
        <v>0.24792145025390158</v>
      </c>
      <c r="J974" s="10">
        <f t="shared" si="337"/>
        <v>1.0606953163733428</v>
      </c>
      <c r="K974" s="4">
        <f t="shared" si="322"/>
        <v>-3.2491863324946255</v>
      </c>
      <c r="L974" s="10">
        <f t="shared" si="323"/>
        <v>0.24792145025390158</v>
      </c>
      <c r="M974" s="25">
        <v>3146.71</v>
      </c>
      <c r="N974" s="25">
        <v>235.18</v>
      </c>
      <c r="O974" s="25">
        <v>-4424.93</v>
      </c>
      <c r="P974" s="11">
        <v>0.32790000000000002</v>
      </c>
      <c r="Q974" s="11">
        <v>2E-8</v>
      </c>
      <c r="R974" s="12">
        <f t="shared" si="331"/>
        <v>8.7802037407059233E-2</v>
      </c>
      <c r="S974" s="12">
        <f t="shared" si="332"/>
        <v>6.562181820819901E-3</v>
      </c>
      <c r="T974" s="12">
        <f t="shared" si="333"/>
        <v>-0.12346796158006891</v>
      </c>
      <c r="U974" s="12">
        <f t="shared" si="255"/>
        <v>2.8790288065774723E-2</v>
      </c>
      <c r="V974" s="12">
        <f t="shared" si="248"/>
        <v>2.1517394190468456E-3</v>
      </c>
      <c r="W974" s="12">
        <f t="shared" si="249"/>
        <v>-4.0485144602104596E-2</v>
      </c>
      <c r="X974" s="12">
        <f t="shared" si="250"/>
        <v>1.7560407481411846E-9</v>
      </c>
      <c r="Y974" s="12">
        <f t="shared" si="251"/>
        <v>1.3124363641639802E-10</v>
      </c>
      <c r="Z974" s="12">
        <f t="shared" si="252"/>
        <v>-2.4693592316013782E-9</v>
      </c>
    </row>
    <row r="975" spans="1:26" ht="13">
      <c r="A975" s="24" t="str">
        <f t="shared" si="340"/>
        <v>VRE</v>
      </c>
      <c r="B975" s="9">
        <v>2020</v>
      </c>
      <c r="C975" s="19">
        <v>2382.31</v>
      </c>
      <c r="D975" s="19">
        <v>10480.620000000001</v>
      </c>
      <c r="E975" s="19">
        <v>39816.43</v>
      </c>
      <c r="F975" s="19">
        <v>7012.4</v>
      </c>
      <c r="G975" s="19">
        <v>3537.87</v>
      </c>
      <c r="H975" s="10">
        <f t="shared" si="335"/>
        <v>5.9832335545904038E-2</v>
      </c>
      <c r="I975" s="10">
        <f t="shared" si="336"/>
        <v>0.26322349844021681</v>
      </c>
      <c r="J975" s="10">
        <f t="shared" si="337"/>
        <v>1.9820965722313142</v>
      </c>
      <c r="K975" s="4">
        <f t="shared" si="322"/>
        <v>-3.0767999551362579</v>
      </c>
      <c r="L975" s="10">
        <f t="shared" si="323"/>
        <v>0.26322349844021681</v>
      </c>
      <c r="M975" s="25">
        <v>4022.38</v>
      </c>
      <c r="N975" s="25">
        <v>-5259.39</v>
      </c>
      <c r="O975" s="25">
        <v>2899.57</v>
      </c>
      <c r="P975" s="11">
        <v>0.30740000000000001</v>
      </c>
      <c r="Q975" s="11">
        <v>2E-8</v>
      </c>
      <c r="R975" s="12">
        <f t="shared" si="331"/>
        <v>0.10102312035508959</v>
      </c>
      <c r="S975" s="12">
        <f t="shared" si="332"/>
        <v>-0.13209094838487528</v>
      </c>
      <c r="T975" s="12">
        <f t="shared" si="333"/>
        <v>7.2823455041047133E-2</v>
      </c>
      <c r="U975" s="12">
        <f t="shared" si="255"/>
        <v>3.1054507197154541E-2</v>
      </c>
      <c r="V975" s="12">
        <f t="shared" si="248"/>
        <v>-4.0604757533510664E-2</v>
      </c>
      <c r="W975" s="12">
        <f t="shared" si="249"/>
        <v>2.238593007961789E-2</v>
      </c>
      <c r="X975" s="12">
        <f t="shared" si="250"/>
        <v>2.020462407101792E-9</v>
      </c>
      <c r="Y975" s="12">
        <f t="shared" si="251"/>
        <v>-2.6418189676975056E-9</v>
      </c>
      <c r="Z975" s="12">
        <f t="shared" si="252"/>
        <v>1.4564691008209426E-9</v>
      </c>
    </row>
    <row r="976" spans="1:26" ht="13">
      <c r="A976" s="24" t="str">
        <f t="shared" si="340"/>
        <v>VRE</v>
      </c>
      <c r="B976" s="9">
        <v>2021</v>
      </c>
      <c r="C976" s="19">
        <v>1315.01</v>
      </c>
      <c r="D976" s="19">
        <v>7222.66</v>
      </c>
      <c r="E976" s="19">
        <v>37873.49</v>
      </c>
      <c r="F976" s="19">
        <v>6826.58</v>
      </c>
      <c r="G976" s="19">
        <v>2890.06</v>
      </c>
      <c r="H976" s="10">
        <f t="shared" si="335"/>
        <v>3.4721120234760518E-2</v>
      </c>
      <c r="I976" s="10">
        <f t="shared" si="336"/>
        <v>0.190704896749679</v>
      </c>
      <c r="J976" s="10">
        <f t="shared" si="337"/>
        <v>2.3620893683868154</v>
      </c>
      <c r="K976" s="4">
        <f t="shared" si="322"/>
        <v>-3.3786754870567992</v>
      </c>
      <c r="L976" s="10">
        <f t="shared" si="323"/>
        <v>0.190704896749679</v>
      </c>
      <c r="M976" s="25">
        <v>1705.32</v>
      </c>
      <c r="N976" s="25">
        <v>1162.21</v>
      </c>
      <c r="O976" s="25">
        <v>-2621.38</v>
      </c>
      <c r="P976" s="37">
        <v>30.26</v>
      </c>
      <c r="Q976" s="11">
        <f>Q975</f>
        <v>2E-8</v>
      </c>
      <c r="R976" s="12">
        <f t="shared" si="331"/>
        <v>4.50267456207495E-2</v>
      </c>
      <c r="S976" s="12">
        <f t="shared" si="332"/>
        <v>3.0686635955651305E-2</v>
      </c>
      <c r="T976" s="12">
        <f t="shared" si="333"/>
        <v>-6.9214112562639471E-2</v>
      </c>
      <c r="U976" s="12">
        <f t="shared" si="255"/>
        <v>1.36250932248388</v>
      </c>
      <c r="V976" s="12">
        <f t="shared" si="248"/>
        <v>0.92857760401800848</v>
      </c>
      <c r="W976" s="12">
        <f t="shared" si="249"/>
        <v>-2.0944190461454704</v>
      </c>
      <c r="X976" s="12">
        <f t="shared" si="250"/>
        <v>9.0053491241499003E-10</v>
      </c>
      <c r="Y976" s="12">
        <f t="shared" si="251"/>
        <v>6.1373271911302615E-10</v>
      </c>
      <c r="Z976" s="12">
        <f t="shared" si="252"/>
        <v>-1.3842822512527894E-9</v>
      </c>
    </row>
    <row r="977" spans="1:26" ht="13">
      <c r="A977" s="24" t="s">
        <v>212</v>
      </c>
      <c r="B977" s="9">
        <v>2017</v>
      </c>
      <c r="C977" s="19">
        <v>10.74</v>
      </c>
      <c r="D977" s="19">
        <v>3225.73</v>
      </c>
      <c r="E977" s="19">
        <v>3864.11</v>
      </c>
      <c r="F977" s="19">
        <v>821.1</v>
      </c>
      <c r="G977" s="19">
        <v>1018.13</v>
      </c>
      <c r="H977" s="10">
        <f t="shared" si="335"/>
        <v>2.7794239812013633E-3</v>
      </c>
      <c r="I977" s="10">
        <f t="shared" si="336"/>
        <v>0.83479248779149662</v>
      </c>
      <c r="J977" s="10">
        <f t="shared" si="337"/>
        <v>0.80647854399732843</v>
      </c>
      <c r="K977" s="4">
        <f t="shared" si="322"/>
        <v>0.44258385832013608</v>
      </c>
      <c r="L977" s="10">
        <f t="shared" si="323"/>
        <v>0.83479248779149662</v>
      </c>
      <c r="M977" s="25">
        <v>147.18</v>
      </c>
      <c r="N977" s="25">
        <v>-7.53</v>
      </c>
      <c r="O977" s="25">
        <v>-146.94</v>
      </c>
      <c r="P977" s="11">
        <v>7.6E-3</v>
      </c>
      <c r="Q977" s="11">
        <v>0.38112699999999999</v>
      </c>
      <c r="R977" s="12">
        <f t="shared" si="331"/>
        <v>3.8088977798251086E-2</v>
      </c>
      <c r="S977" s="12">
        <f t="shared" si="332"/>
        <v>-1.948702288495928E-3</v>
      </c>
      <c r="T977" s="12">
        <f t="shared" si="333"/>
        <v>-3.8026867765151615E-2</v>
      </c>
      <c r="U977" s="12">
        <f t="shared" si="255"/>
        <v>2.8947623126670825E-4</v>
      </c>
      <c r="V977" s="12">
        <f t="shared" si="248"/>
        <v>-1.4810137392569053E-5</v>
      </c>
      <c r="W977" s="12">
        <f t="shared" si="249"/>
        <v>-2.8900419501515229E-4</v>
      </c>
      <c r="X977" s="12">
        <f t="shared" si="250"/>
        <v>1.4516737841314041E-2</v>
      </c>
      <c r="Y977" s="12">
        <f t="shared" si="251"/>
        <v>-7.4270305710758748E-4</v>
      </c>
      <c r="Z977" s="12">
        <f t="shared" si="252"/>
        <v>-1.4493066030728939E-2</v>
      </c>
    </row>
    <row r="978" spans="1:26" ht="13">
      <c r="A978" s="24" t="str">
        <f t="shared" ref="A978:A981" si="341">A977</f>
        <v>VOS</v>
      </c>
      <c r="B978" s="9">
        <v>2018</v>
      </c>
      <c r="C978" s="19">
        <v>17.14</v>
      </c>
      <c r="D978" s="19">
        <v>2990.82</v>
      </c>
      <c r="E978" s="19">
        <v>3645.28</v>
      </c>
      <c r="F978" s="19">
        <v>1059.1099999999999</v>
      </c>
      <c r="G978" s="19">
        <v>1231.05</v>
      </c>
      <c r="H978" s="10">
        <f t="shared" si="335"/>
        <v>4.7019707676776547E-3</v>
      </c>
      <c r="I978" s="10">
        <f t="shared" si="336"/>
        <v>0.8204637229513233</v>
      </c>
      <c r="J978" s="10">
        <f t="shared" si="337"/>
        <v>0.86033061207911943</v>
      </c>
      <c r="K978" s="4">
        <f t="shared" si="322"/>
        <v>0.35204302991967668</v>
      </c>
      <c r="L978" s="10">
        <f t="shared" si="323"/>
        <v>0.8204637229513233</v>
      </c>
      <c r="M978" s="25">
        <v>276.63</v>
      </c>
      <c r="N978" s="25">
        <v>-33.53</v>
      </c>
      <c r="O978" s="25">
        <v>-246.08</v>
      </c>
      <c r="P978" s="11">
        <v>2.2000000000000001E-3</v>
      </c>
      <c r="Q978" s="11">
        <v>0.200627</v>
      </c>
      <c r="R978" s="12">
        <f t="shared" si="331"/>
        <v>7.5887174647763678E-2</v>
      </c>
      <c r="S978" s="12">
        <f t="shared" si="332"/>
        <v>-9.1981960233507437E-3</v>
      </c>
      <c r="T978" s="12">
        <f t="shared" si="333"/>
        <v>-6.7506474125444416E-2</v>
      </c>
      <c r="U978" s="12">
        <f t="shared" si="255"/>
        <v>1.6695178422508009E-4</v>
      </c>
      <c r="V978" s="12">
        <f t="shared" si="248"/>
        <v>-2.0236031251371639E-5</v>
      </c>
      <c r="W978" s="12">
        <f t="shared" si="249"/>
        <v>-1.4851424307597773E-4</v>
      </c>
      <c r="X978" s="12">
        <f t="shared" si="250"/>
        <v>1.5225016188056884E-2</v>
      </c>
      <c r="Y978" s="12">
        <f t="shared" si="251"/>
        <v>-1.8454064735767897E-3</v>
      </c>
      <c r="Z978" s="12">
        <f t="shared" si="252"/>
        <v>-1.3543621384365536E-2</v>
      </c>
    </row>
    <row r="979" spans="1:26" ht="13">
      <c r="A979" s="24" t="str">
        <f t="shared" si="341"/>
        <v>VOS</v>
      </c>
      <c r="B979" s="9">
        <v>2019</v>
      </c>
      <c r="C979" s="19">
        <v>51.07</v>
      </c>
      <c r="D979" s="19">
        <v>2412.69</v>
      </c>
      <c r="E979" s="19">
        <v>3120.28</v>
      </c>
      <c r="F979" s="19">
        <v>842.99</v>
      </c>
      <c r="G979" s="19">
        <v>1176.48</v>
      </c>
      <c r="H979" s="10">
        <f t="shared" si="335"/>
        <v>1.6367120899406461E-2</v>
      </c>
      <c r="I979" s="10">
        <f t="shared" si="336"/>
        <v>0.77322868460522776</v>
      </c>
      <c r="J979" s="10">
        <f t="shared" si="337"/>
        <v>0.7165357677138583</v>
      </c>
      <c r="K979" s="4">
        <f t="shared" si="322"/>
        <v>3.0885315131613952E-2</v>
      </c>
      <c r="L979" s="10">
        <f t="shared" si="323"/>
        <v>0.77322868460522776</v>
      </c>
      <c r="M979" s="25">
        <v>243.44</v>
      </c>
      <c r="N979" s="26">
        <v>30.9</v>
      </c>
      <c r="O979" s="25">
        <v>-366.96</v>
      </c>
      <c r="P979" s="11">
        <v>2.4199999999999998E-3</v>
      </c>
      <c r="Q979" s="11">
        <v>0.1104</v>
      </c>
      <c r="R979" s="12">
        <f t="shared" si="331"/>
        <v>7.8018639352878588E-2</v>
      </c>
      <c r="S979" s="12">
        <f t="shared" si="332"/>
        <v>9.9029574268975854E-3</v>
      </c>
      <c r="T979" s="12">
        <f t="shared" si="333"/>
        <v>-0.11760483033573908</v>
      </c>
      <c r="U979" s="12">
        <f t="shared" si="255"/>
        <v>1.8880510723396618E-4</v>
      </c>
      <c r="V979" s="12">
        <f t="shared" si="248"/>
        <v>2.3965156973092157E-5</v>
      </c>
      <c r="W979" s="12">
        <f t="shared" si="249"/>
        <v>-2.8460368941248855E-4</v>
      </c>
      <c r="X979" s="12">
        <f t="shared" si="250"/>
        <v>8.6132577845577964E-3</v>
      </c>
      <c r="Y979" s="12">
        <f t="shared" si="251"/>
        <v>1.0932864999294934E-3</v>
      </c>
      <c r="Z979" s="12">
        <f t="shared" si="252"/>
        <v>-1.2983573269065594E-2</v>
      </c>
    </row>
    <row r="980" spans="1:26" ht="13">
      <c r="A980" s="24" t="str">
        <f t="shared" si="341"/>
        <v>VOS</v>
      </c>
      <c r="B980" s="9">
        <v>2020</v>
      </c>
      <c r="C980" s="19">
        <v>-187.26</v>
      </c>
      <c r="D980" s="19">
        <v>2287.46</v>
      </c>
      <c r="E980" s="19">
        <v>2795.96</v>
      </c>
      <c r="F980" s="19">
        <v>829.33</v>
      </c>
      <c r="G980" s="19">
        <v>911.95</v>
      </c>
      <c r="H980" s="10">
        <f t="shared" si="335"/>
        <v>-6.6975207084507646E-2</v>
      </c>
      <c r="I980" s="10">
        <f t="shared" si="336"/>
        <v>0.81813044535687207</v>
      </c>
      <c r="J980" s="10">
        <f t="shared" si="337"/>
        <v>0.90940292779209386</v>
      </c>
      <c r="K980" s="4">
        <f t="shared" si="322"/>
        <v>0.6610943587032877</v>
      </c>
      <c r="L980" s="10">
        <f t="shared" si="323"/>
        <v>0.81813044535687207</v>
      </c>
      <c r="M980" s="25">
        <v>34.799999999999997</v>
      </c>
      <c r="N980" s="25">
        <v>77.69</v>
      </c>
      <c r="O980" s="25">
        <v>-120.7</v>
      </c>
      <c r="P980" s="11">
        <f>P979</f>
        <v>2.4199999999999998E-3</v>
      </c>
      <c r="Q980" s="11">
        <v>0.1115</v>
      </c>
      <c r="R980" s="12">
        <f t="shared" si="331"/>
        <v>1.2446529993276011E-2</v>
      </c>
      <c r="S980" s="12">
        <f t="shared" si="332"/>
        <v>2.7786520551080843E-2</v>
      </c>
      <c r="T980" s="12">
        <f t="shared" si="333"/>
        <v>-4.3169430177828011E-2</v>
      </c>
      <c r="U980" s="12">
        <f t="shared" si="255"/>
        <v>3.0120602583727944E-5</v>
      </c>
      <c r="V980" s="12">
        <f t="shared" si="248"/>
        <v>6.7243379733615639E-5</v>
      </c>
      <c r="W980" s="12">
        <f t="shared" si="249"/>
        <v>-1.0447002103034377E-4</v>
      </c>
      <c r="X980" s="12">
        <f t="shared" si="250"/>
        <v>1.3877880942502754E-3</v>
      </c>
      <c r="Y980" s="12">
        <f t="shared" si="251"/>
        <v>3.0981970414455141E-3</v>
      </c>
      <c r="Z980" s="12">
        <f t="shared" si="252"/>
        <v>-4.8133914648278231E-3</v>
      </c>
    </row>
    <row r="981" spans="1:26" ht="13">
      <c r="A981" s="24" t="str">
        <f t="shared" si="341"/>
        <v>VOS</v>
      </c>
      <c r="B981" s="9">
        <v>2021</v>
      </c>
      <c r="C981" s="19">
        <v>490.3</v>
      </c>
      <c r="D981" s="19">
        <v>1737.51</v>
      </c>
      <c r="E981" s="19">
        <v>2746.62</v>
      </c>
      <c r="F981" s="19">
        <v>1092.05</v>
      </c>
      <c r="G981" s="19">
        <v>726.96</v>
      </c>
      <c r="H981" s="10">
        <f t="shared" si="335"/>
        <v>0.17851031449563465</v>
      </c>
      <c r="I981" s="10">
        <f t="shared" si="336"/>
        <v>0.63259934028005327</v>
      </c>
      <c r="J981" s="10">
        <f t="shared" si="337"/>
        <v>1.5022147023219983</v>
      </c>
      <c r="K981" s="4">
        <f t="shared" si="322"/>
        <v>-1.5034890344433396</v>
      </c>
      <c r="L981" s="10">
        <f t="shared" si="323"/>
        <v>0.63259934028005327</v>
      </c>
      <c r="M981" s="25">
        <v>708.66</v>
      </c>
      <c r="N981" s="25">
        <v>27.73</v>
      </c>
      <c r="O981" s="25">
        <v>-685.99</v>
      </c>
      <c r="P981" s="11">
        <v>2.0660000000000001E-2</v>
      </c>
      <c r="Q981" s="11">
        <v>0.105534</v>
      </c>
      <c r="R981" s="12">
        <f t="shared" si="331"/>
        <v>0.25801166524673963</v>
      </c>
      <c r="S981" s="12">
        <f t="shared" si="332"/>
        <v>1.009604532115837E-2</v>
      </c>
      <c r="T981" s="12">
        <f t="shared" si="333"/>
        <v>-0.24975788423589723</v>
      </c>
      <c r="U981" s="12">
        <f t="shared" si="255"/>
        <v>5.3305210039976412E-3</v>
      </c>
      <c r="V981" s="12">
        <f t="shared" si="248"/>
        <v>2.0858429633513194E-4</v>
      </c>
      <c r="W981" s="12">
        <f t="shared" si="249"/>
        <v>-5.1599978883136374E-3</v>
      </c>
      <c r="X981" s="12">
        <f t="shared" si="250"/>
        <v>2.722900308014942E-2</v>
      </c>
      <c r="Y981" s="12">
        <f t="shared" si="251"/>
        <v>1.0654760469231276E-3</v>
      </c>
      <c r="Z981" s="12">
        <f t="shared" si="252"/>
        <v>-2.6357948554951178E-2</v>
      </c>
    </row>
    <row r="982" spans="1:26" ht="13">
      <c r="A982" s="24" t="s">
        <v>213</v>
      </c>
      <c r="B982" s="9">
        <v>2017</v>
      </c>
      <c r="C982" s="19">
        <v>162.18</v>
      </c>
      <c r="D982" s="19">
        <v>1436.02</v>
      </c>
      <c r="E982" s="19">
        <v>2641.1</v>
      </c>
      <c r="F982" s="19">
        <v>228.89</v>
      </c>
      <c r="G982" s="19">
        <v>408.96</v>
      </c>
      <c r="H982" s="10">
        <f t="shared" si="335"/>
        <v>6.1406232251713308E-2</v>
      </c>
      <c r="I982" s="10">
        <f t="shared" si="336"/>
        <v>0.54372041952216876</v>
      </c>
      <c r="J982" s="10">
        <f t="shared" si="337"/>
        <v>0.55968798904538342</v>
      </c>
      <c r="K982" s="4">
        <f t="shared" si="322"/>
        <v>-1.4793604058125287</v>
      </c>
      <c r="L982" s="10">
        <f t="shared" si="323"/>
        <v>0.54372041952216876</v>
      </c>
      <c r="M982" s="25">
        <v>350.17</v>
      </c>
      <c r="N982" s="25">
        <v>-153.82</v>
      </c>
      <c r="O982" s="25">
        <v>-112.61</v>
      </c>
      <c r="P982" s="11">
        <v>4.0000000000000002E-4</v>
      </c>
      <c r="Q982" s="11">
        <v>5.8719999999999996E-3</v>
      </c>
      <c r="R982" s="12">
        <f t="shared" si="331"/>
        <v>0.13258490780356672</v>
      </c>
      <c r="S982" s="12">
        <f t="shared" si="332"/>
        <v>-5.8240884479951537E-2</v>
      </c>
      <c r="T982" s="12">
        <f t="shared" si="333"/>
        <v>-4.2637537389723978E-2</v>
      </c>
      <c r="U982" s="12">
        <f t="shared" si="255"/>
        <v>5.3033963121426686E-5</v>
      </c>
      <c r="V982" s="12">
        <f t="shared" si="248"/>
        <v>-2.3296353791980614E-5</v>
      </c>
      <c r="W982" s="12">
        <f t="shared" si="249"/>
        <v>-1.7055014955889593E-5</v>
      </c>
      <c r="X982" s="12">
        <f t="shared" si="250"/>
        <v>7.7853857862254371E-4</v>
      </c>
      <c r="Y982" s="12">
        <f t="shared" si="251"/>
        <v>-3.4199047366627539E-4</v>
      </c>
      <c r="Z982" s="12">
        <f t="shared" si="252"/>
        <v>-2.5036761955245918E-4</v>
      </c>
    </row>
    <row r="983" spans="1:26" ht="13">
      <c r="A983" s="24" t="str">
        <f t="shared" ref="A983:A986" si="342">A982</f>
        <v>VPD</v>
      </c>
      <c r="B983" s="9">
        <v>2018</v>
      </c>
      <c r="C983" s="19">
        <v>174.29</v>
      </c>
      <c r="D983" s="19">
        <v>1212.1400000000001</v>
      </c>
      <c r="E983" s="19">
        <v>2476.87</v>
      </c>
      <c r="F983" s="19">
        <v>176.64</v>
      </c>
      <c r="G983" s="19">
        <v>538.41</v>
      </c>
      <c r="H983" s="10">
        <f t="shared" si="335"/>
        <v>7.0367035815363743E-2</v>
      </c>
      <c r="I983" s="10">
        <f t="shared" si="336"/>
        <v>0.48938377872072419</v>
      </c>
      <c r="J983" s="10">
        <f t="shared" si="337"/>
        <v>0.32807711595252687</v>
      </c>
      <c r="K983" s="4">
        <f t="shared" si="322"/>
        <v>-1.8284764309248183</v>
      </c>
      <c r="L983" s="10">
        <f t="shared" si="323"/>
        <v>0.48938377872072419</v>
      </c>
      <c r="M983" s="25">
        <v>305.62</v>
      </c>
      <c r="N983" s="25">
        <v>-37.64</v>
      </c>
      <c r="O983" s="25">
        <v>-375.35</v>
      </c>
      <c r="P983" s="27">
        <v>4.0000000000000002E-4</v>
      </c>
      <c r="Q983" s="11">
        <v>5.9500000000000004E-3</v>
      </c>
      <c r="R983" s="12">
        <f t="shared" si="331"/>
        <v>0.12338960058460881</v>
      </c>
      <c r="S983" s="12">
        <f t="shared" si="332"/>
        <v>-1.5196598933331182E-2</v>
      </c>
      <c r="T983" s="12">
        <f t="shared" si="333"/>
        <v>-0.15154206720578797</v>
      </c>
      <c r="U983" s="12">
        <f t="shared" si="255"/>
        <v>4.9355840233843525E-5</v>
      </c>
      <c r="V983" s="12">
        <f t="shared" si="248"/>
        <v>-6.0786395733324731E-6</v>
      </c>
      <c r="W983" s="12">
        <f t="shared" si="249"/>
        <v>-6.0616826882315193E-5</v>
      </c>
      <c r="X983" s="12">
        <f t="shared" si="250"/>
        <v>7.3416812347842247E-4</v>
      </c>
      <c r="Y983" s="12">
        <f t="shared" si="251"/>
        <v>-9.0419763653320541E-5</v>
      </c>
      <c r="Z983" s="12">
        <f t="shared" si="252"/>
        <v>-9.0167529987443854E-4</v>
      </c>
    </row>
    <row r="984" spans="1:26" ht="13">
      <c r="A984" s="24" t="str">
        <f t="shared" si="342"/>
        <v>VPD</v>
      </c>
      <c r="B984" s="9">
        <v>2019</v>
      </c>
      <c r="C984" s="19">
        <v>96.8</v>
      </c>
      <c r="D984" s="19">
        <v>1032.51</v>
      </c>
      <c r="E984" s="19">
        <v>2277.44</v>
      </c>
      <c r="F984" s="19">
        <v>118.16</v>
      </c>
      <c r="G984" s="19">
        <v>558.01</v>
      </c>
      <c r="H984" s="10">
        <f t="shared" si="335"/>
        <v>4.250386398763524E-2</v>
      </c>
      <c r="I984" s="10">
        <f t="shared" si="336"/>
        <v>0.45336430377968245</v>
      </c>
      <c r="J984" s="10">
        <f t="shared" si="337"/>
        <v>0.21175247755416568</v>
      </c>
      <c r="K984" s="4">
        <f t="shared" si="322"/>
        <v>-1.9079378663103845</v>
      </c>
      <c r="L984" s="10">
        <f t="shared" si="323"/>
        <v>0.45336430377968245</v>
      </c>
      <c r="M984" s="25">
        <v>314.95999999999998</v>
      </c>
      <c r="N984" s="25">
        <v>-73.099999999999994</v>
      </c>
      <c r="O984" s="25">
        <v>-226.53</v>
      </c>
      <c r="P984" s="11">
        <v>6.4000000000000005E-4</v>
      </c>
      <c r="Q984" s="11">
        <f t="shared" ref="Q984:Q986" si="343">Q983</f>
        <v>5.9500000000000004E-3</v>
      </c>
      <c r="R984" s="12">
        <f t="shared" si="331"/>
        <v>0.13829563018125612</v>
      </c>
      <c r="S984" s="12">
        <f t="shared" si="332"/>
        <v>-3.2097442742728674E-2</v>
      </c>
      <c r="T984" s="12">
        <f t="shared" si="333"/>
        <v>-9.9466945342138541E-2</v>
      </c>
      <c r="U984" s="12">
        <f t="shared" si="255"/>
        <v>8.8509203316003928E-5</v>
      </c>
      <c r="V984" s="12">
        <f t="shared" si="248"/>
        <v>-2.0542363355346355E-5</v>
      </c>
      <c r="W984" s="12">
        <f t="shared" si="249"/>
        <v>-6.3658845018968677E-5</v>
      </c>
      <c r="X984" s="12">
        <f t="shared" si="250"/>
        <v>8.2285899957847402E-4</v>
      </c>
      <c r="Y984" s="12">
        <f t="shared" si="251"/>
        <v>-1.9097978431923562E-4</v>
      </c>
      <c r="Z984" s="12">
        <f t="shared" si="252"/>
        <v>-5.9182832478572433E-4</v>
      </c>
    </row>
    <row r="985" spans="1:26" ht="13">
      <c r="A985" s="24" t="str">
        <f t="shared" si="342"/>
        <v>VPD</v>
      </c>
      <c r="B985" s="9">
        <v>2020</v>
      </c>
      <c r="C985" s="19">
        <v>80.430000000000007</v>
      </c>
      <c r="D985" s="19">
        <v>892.78</v>
      </c>
      <c r="E985" s="19">
        <v>2160.9299999999998</v>
      </c>
      <c r="F985" s="19">
        <v>157.02000000000001</v>
      </c>
      <c r="G985" s="19">
        <v>228.13</v>
      </c>
      <c r="H985" s="10">
        <f t="shared" si="335"/>
        <v>3.7220085796393222E-2</v>
      </c>
      <c r="I985" s="10">
        <f t="shared" si="336"/>
        <v>0.4131461916859871</v>
      </c>
      <c r="J985" s="10">
        <f t="shared" si="337"/>
        <v>0.68829176346819798</v>
      </c>
      <c r="K985" s="4">
        <f t="shared" si="322"/>
        <v>-2.1153102605275151</v>
      </c>
      <c r="L985" s="10">
        <f t="shared" si="323"/>
        <v>0.4131461916859871</v>
      </c>
      <c r="M985" s="25">
        <v>188.17</v>
      </c>
      <c r="N985" s="25">
        <v>-5.62</v>
      </c>
      <c r="O985" s="25">
        <v>-195.28</v>
      </c>
      <c r="P985" s="11">
        <v>3.8999999999999999E-4</v>
      </c>
      <c r="Q985" s="11">
        <f t="shared" si="343"/>
        <v>5.9500000000000004E-3</v>
      </c>
      <c r="R985" s="12">
        <f t="shared" si="331"/>
        <v>8.7078248716987591E-2</v>
      </c>
      <c r="S985" s="12">
        <f t="shared" si="332"/>
        <v>-2.6007320922010434E-3</v>
      </c>
      <c r="T985" s="12">
        <f t="shared" si="333"/>
        <v>-9.0368498748224155E-2</v>
      </c>
      <c r="U985" s="12">
        <f t="shared" si="255"/>
        <v>3.3960516999625158E-5</v>
      </c>
      <c r="V985" s="12">
        <f t="shared" si="248"/>
        <v>-1.0142855159584068E-6</v>
      </c>
      <c r="W985" s="12">
        <f t="shared" si="249"/>
        <v>-3.5243714511807421E-5</v>
      </c>
      <c r="X985" s="12">
        <f t="shared" si="250"/>
        <v>5.1811557986607625E-4</v>
      </c>
      <c r="Y985" s="12">
        <f t="shared" si="251"/>
        <v>-1.5474355948596208E-5</v>
      </c>
      <c r="Z985" s="12">
        <f t="shared" si="252"/>
        <v>-5.3769256755193371E-4</v>
      </c>
    </row>
    <row r="986" spans="1:26" ht="13">
      <c r="A986" s="24" t="str">
        <f t="shared" si="342"/>
        <v>VPD</v>
      </c>
      <c r="B986" s="9">
        <v>2021</v>
      </c>
      <c r="C986" s="19">
        <v>164.09</v>
      </c>
      <c r="D986" s="19">
        <v>704.81</v>
      </c>
      <c r="E986" s="19">
        <v>2069.16</v>
      </c>
      <c r="F986" s="19">
        <v>203.86</v>
      </c>
      <c r="G986" s="19">
        <v>326.16000000000003</v>
      </c>
      <c r="H986" s="10">
        <f t="shared" si="335"/>
        <v>7.9302712211718779E-2</v>
      </c>
      <c r="I986" s="10">
        <f t="shared" si="336"/>
        <v>0.34062614780877265</v>
      </c>
      <c r="J986" s="10">
        <f t="shared" si="337"/>
        <v>0.62503065979887173</v>
      </c>
      <c r="K986" s="4">
        <f t="shared" si="322"/>
        <v>-2.717793285081926</v>
      </c>
      <c r="L986" s="10">
        <f t="shared" si="323"/>
        <v>0.34062614780877265</v>
      </c>
      <c r="M986" s="25">
        <v>349.54</v>
      </c>
      <c r="N986" s="25">
        <v>-20.85</v>
      </c>
      <c r="O986" s="25">
        <v>-255.14</v>
      </c>
      <c r="P986" s="11">
        <v>1.23E-3</v>
      </c>
      <c r="Q986" s="11">
        <f t="shared" si="343"/>
        <v>5.9500000000000004E-3</v>
      </c>
      <c r="R986" s="12">
        <f t="shared" si="331"/>
        <v>0.16892845405865184</v>
      </c>
      <c r="S986" s="12">
        <f t="shared" si="332"/>
        <v>-1.0076552804036422E-2</v>
      </c>
      <c r="T986" s="12">
        <f t="shared" si="333"/>
        <v>-0.12330607589553248</v>
      </c>
      <c r="U986" s="12">
        <f t="shared" si="255"/>
        <v>2.0778199849214176E-4</v>
      </c>
      <c r="V986" s="12">
        <f t="shared" si="248"/>
        <v>-1.2394159948964797E-5</v>
      </c>
      <c r="W986" s="12">
        <f t="shared" si="249"/>
        <v>-1.5166647335150495E-4</v>
      </c>
      <c r="X986" s="12">
        <f t="shared" si="250"/>
        <v>1.0051243016489786E-3</v>
      </c>
      <c r="Y986" s="12">
        <f t="shared" si="251"/>
        <v>-5.9955489184016711E-5</v>
      </c>
      <c r="Z986" s="12">
        <f t="shared" si="252"/>
        <v>-7.336711515784183E-4</v>
      </c>
    </row>
    <row r="987" spans="1:26" ht="13">
      <c r="A987" s="24" t="s">
        <v>214</v>
      </c>
      <c r="B987" s="9">
        <v>2017</v>
      </c>
      <c r="C987" s="19">
        <v>5654.94</v>
      </c>
      <c r="D987" s="19">
        <v>161235.04999999999</v>
      </c>
      <c r="E987" s="19">
        <v>213792.06</v>
      </c>
      <c r="F987" s="19">
        <v>100246.62</v>
      </c>
      <c r="G987" s="19">
        <v>123624.63</v>
      </c>
      <c r="H987" s="10">
        <f t="shared" si="335"/>
        <v>2.6450654902712475E-2</v>
      </c>
      <c r="I987" s="10">
        <f t="shared" si="336"/>
        <v>0.7541676243729537</v>
      </c>
      <c r="J987" s="10">
        <f t="shared" si="337"/>
        <v>0.81089520753267363</v>
      </c>
      <c r="K987" s="4">
        <f t="shared" si="322"/>
        <v>-0.12351606896650107</v>
      </c>
      <c r="L987" s="10">
        <f t="shared" si="323"/>
        <v>0.7541676243729537</v>
      </c>
      <c r="M987" s="25">
        <v>16785.849999999999</v>
      </c>
      <c r="N987" s="25">
        <v>-26516.46</v>
      </c>
      <c r="O987" s="25">
        <v>8040.45</v>
      </c>
      <c r="P987" s="11">
        <v>9.8000000000000004E-2</v>
      </c>
      <c r="Q987" s="11">
        <v>5.9999999999999995E-4</v>
      </c>
      <c r="R987" s="12">
        <f t="shared" si="331"/>
        <v>7.8514842880507349E-2</v>
      </c>
      <c r="S987" s="12">
        <f t="shared" si="332"/>
        <v>-0.12402920856836311</v>
      </c>
      <c r="T987" s="12">
        <f t="shared" si="333"/>
        <v>3.7608740006527835E-2</v>
      </c>
      <c r="U987" s="12">
        <f t="shared" si="255"/>
        <v>7.6944546022897206E-3</v>
      </c>
      <c r="V987" s="12">
        <f t="shared" si="248"/>
        <v>-1.2154862439699585E-2</v>
      </c>
      <c r="W987" s="12">
        <f t="shared" si="249"/>
        <v>3.6856565206397282E-3</v>
      </c>
      <c r="X987" s="12">
        <f t="shared" si="250"/>
        <v>4.7108905728304406E-5</v>
      </c>
      <c r="Y987" s="12">
        <f t="shared" si="251"/>
        <v>-7.4417525141017859E-5</v>
      </c>
      <c r="Z987" s="12">
        <f t="shared" si="252"/>
        <v>2.25652440039167E-5</v>
      </c>
    </row>
    <row r="988" spans="1:26" ht="13">
      <c r="A988" s="24" t="str">
        <f t="shared" ref="A988:A991" si="344">A987</f>
        <v>VIC</v>
      </c>
      <c r="B988" s="9">
        <v>2018</v>
      </c>
      <c r="C988" s="19">
        <v>6237.89</v>
      </c>
      <c r="D988" s="19">
        <v>188960.46</v>
      </c>
      <c r="E988" s="19">
        <v>288127.18</v>
      </c>
      <c r="F988" s="19">
        <v>135401.66</v>
      </c>
      <c r="G988" s="19">
        <v>109245.61</v>
      </c>
      <c r="H988" s="10">
        <f t="shared" si="335"/>
        <v>2.1649779795158516E-2</v>
      </c>
      <c r="I988" s="10">
        <f t="shared" si="336"/>
        <v>0.65582309867468935</v>
      </c>
      <c r="J988" s="10">
        <f t="shared" si="337"/>
        <v>1.2394242661100983</v>
      </c>
      <c r="K988" s="4">
        <f t="shared" si="322"/>
        <v>-0.6641900436969238</v>
      </c>
      <c r="L988" s="10">
        <f t="shared" si="323"/>
        <v>0.65582309867468935</v>
      </c>
      <c r="M988" s="25">
        <v>-9983.73</v>
      </c>
      <c r="N988" s="25">
        <v>-62313.62</v>
      </c>
      <c r="O988" s="25">
        <v>77719.839999999997</v>
      </c>
      <c r="P988" s="11">
        <v>8.6999999999999994E-2</v>
      </c>
      <c r="Q988" s="11">
        <f t="shared" ref="Q988:Q989" si="345">Q987</f>
        <v>5.9999999999999995E-4</v>
      </c>
      <c r="R988" s="12">
        <f t="shared" si="331"/>
        <v>-3.4650427634074644E-2</v>
      </c>
      <c r="S988" s="12">
        <f t="shared" si="332"/>
        <v>-0.21627123133610651</v>
      </c>
      <c r="T988" s="12">
        <f t="shared" si="333"/>
        <v>0.26974143848560206</v>
      </c>
      <c r="U988" s="12">
        <f t="shared" si="255"/>
        <v>-3.0145872041644939E-3</v>
      </c>
      <c r="V988" s="12">
        <f t="shared" si="248"/>
        <v>-1.8815597126241264E-2</v>
      </c>
      <c r="W988" s="12">
        <f t="shared" si="249"/>
        <v>2.3467505148247376E-2</v>
      </c>
      <c r="X988" s="12">
        <f t="shared" si="250"/>
        <v>-2.0790256580444783E-5</v>
      </c>
      <c r="Y988" s="12">
        <f t="shared" si="251"/>
        <v>-1.297627388016639E-4</v>
      </c>
      <c r="Z988" s="12">
        <f t="shared" si="252"/>
        <v>1.6184486309136123E-4</v>
      </c>
    </row>
    <row r="989" spans="1:26" ht="13">
      <c r="A989" s="24" t="str">
        <f t="shared" si="344"/>
        <v>VIC</v>
      </c>
      <c r="B989" s="9">
        <v>2019</v>
      </c>
      <c r="C989" s="19">
        <v>7716.61</v>
      </c>
      <c r="D989" s="19">
        <v>283152.15999999997</v>
      </c>
      <c r="E989" s="19">
        <v>403740.75</v>
      </c>
      <c r="F989" s="19">
        <v>197392.88</v>
      </c>
      <c r="G989" s="19">
        <v>181293.25</v>
      </c>
      <c r="H989" s="10">
        <f t="shared" si="335"/>
        <v>1.9112784627263905E-2</v>
      </c>
      <c r="I989" s="10">
        <f t="shared" si="336"/>
        <v>0.70132172687547634</v>
      </c>
      <c r="J989" s="10">
        <f t="shared" si="337"/>
        <v>1.0888043542713257</v>
      </c>
      <c r="K989" s="4">
        <f t="shared" si="322"/>
        <v>-0.39282890504955742</v>
      </c>
      <c r="L989" s="10">
        <f t="shared" si="323"/>
        <v>0.70132172687547634</v>
      </c>
      <c r="M989" s="25">
        <v>15967.09</v>
      </c>
      <c r="N989" s="25">
        <v>-59866.07</v>
      </c>
      <c r="O989" s="25">
        <v>48789.37</v>
      </c>
      <c r="P989" s="11">
        <v>0.14860000000000001</v>
      </c>
      <c r="Q989" s="11">
        <f t="shared" si="345"/>
        <v>5.9999999999999995E-4</v>
      </c>
      <c r="R989" s="12">
        <f t="shared" si="331"/>
        <v>3.9547878186682914E-2</v>
      </c>
      <c r="S989" s="12">
        <f t="shared" si="332"/>
        <v>-0.14827849306764304</v>
      </c>
      <c r="T989" s="12">
        <f t="shared" si="333"/>
        <v>0.1208433134381407</v>
      </c>
      <c r="U989" s="12">
        <f t="shared" si="255"/>
        <v>5.8768146985410811E-3</v>
      </c>
      <c r="V989" s="12">
        <f t="shared" si="248"/>
        <v>-2.2034184069851758E-2</v>
      </c>
      <c r="W989" s="12">
        <f t="shared" si="249"/>
        <v>1.7957316376907707E-2</v>
      </c>
      <c r="X989" s="12">
        <f t="shared" si="250"/>
        <v>2.3728726912009746E-5</v>
      </c>
      <c r="Y989" s="12">
        <f t="shared" si="251"/>
        <v>-8.8967095840585811E-5</v>
      </c>
      <c r="Z989" s="12">
        <f t="shared" si="252"/>
        <v>7.2505988062884411E-5</v>
      </c>
    </row>
    <row r="990" spans="1:26" ht="13">
      <c r="A990" s="24" t="str">
        <f t="shared" si="344"/>
        <v>VIC</v>
      </c>
      <c r="B990" s="9">
        <v>2020</v>
      </c>
      <c r="C990" s="19">
        <v>4545.57</v>
      </c>
      <c r="D990" s="19">
        <v>286651.05</v>
      </c>
      <c r="E990" s="19">
        <v>422503.77</v>
      </c>
      <c r="F990" s="19">
        <v>166013.81</v>
      </c>
      <c r="G990" s="19">
        <v>169222.61</v>
      </c>
      <c r="H990" s="10">
        <f t="shared" si="335"/>
        <v>1.0758649561872547E-2</v>
      </c>
      <c r="I990" s="10">
        <f t="shared" si="336"/>
        <v>0.67845796973598593</v>
      </c>
      <c r="J990" s="10">
        <f t="shared" si="337"/>
        <v>0.98103799486368881</v>
      </c>
      <c r="K990" s="4">
        <f t="shared" si="322"/>
        <v>-0.485127647512761</v>
      </c>
      <c r="L990" s="10">
        <f t="shared" si="323"/>
        <v>0.67845796973598593</v>
      </c>
      <c r="M990" s="25">
        <v>15954.93</v>
      </c>
      <c r="N990" s="25">
        <v>-16213.84</v>
      </c>
      <c r="O990" s="25">
        <v>11216.32</v>
      </c>
      <c r="P990" s="11">
        <v>0.13589999999999999</v>
      </c>
      <c r="Q990" s="11">
        <v>5.4000000000000001E-4</v>
      </c>
      <c r="R990" s="12">
        <f t="shared" si="331"/>
        <v>3.7762810968526975E-2</v>
      </c>
      <c r="S990" s="12">
        <f t="shared" si="332"/>
        <v>-3.8375610234199803E-2</v>
      </c>
      <c r="T990" s="12">
        <f t="shared" si="333"/>
        <v>2.6547266075282593E-2</v>
      </c>
      <c r="U990" s="12">
        <f t="shared" si="255"/>
        <v>5.131966010622816E-3</v>
      </c>
      <c r="V990" s="12">
        <f t="shared" si="248"/>
        <v>-5.2152454308277531E-3</v>
      </c>
      <c r="W990" s="12">
        <f t="shared" si="249"/>
        <v>3.607773459630904E-3</v>
      </c>
      <c r="X990" s="12">
        <f t="shared" si="250"/>
        <v>2.0391917923004566E-5</v>
      </c>
      <c r="Y990" s="12">
        <f t="shared" si="251"/>
        <v>-2.0722829526467894E-5</v>
      </c>
      <c r="Z990" s="12">
        <f t="shared" si="252"/>
        <v>1.43355236806526E-5</v>
      </c>
    </row>
    <row r="991" spans="1:26" ht="13">
      <c r="A991" s="24" t="str">
        <f t="shared" si="344"/>
        <v>VIC</v>
      </c>
      <c r="B991" s="9">
        <v>2021</v>
      </c>
      <c r="C991" s="19">
        <v>-7558.16</v>
      </c>
      <c r="D991" s="19">
        <v>268812.59999999998</v>
      </c>
      <c r="E991" s="19">
        <v>428384.47</v>
      </c>
      <c r="F991" s="19">
        <v>161374.26999999999</v>
      </c>
      <c r="G991" s="19">
        <v>146445.32</v>
      </c>
      <c r="H991" s="10">
        <f t="shared" si="335"/>
        <v>-1.7643403366139766E-2</v>
      </c>
      <c r="I991" s="10">
        <f t="shared" si="336"/>
        <v>0.62750313987806328</v>
      </c>
      <c r="J991" s="10">
        <f t="shared" si="337"/>
        <v>1.1019421446858115</v>
      </c>
      <c r="K991" s="4">
        <f t="shared" si="322"/>
        <v>-0.6482445561261535</v>
      </c>
      <c r="L991" s="10">
        <f t="shared" si="323"/>
        <v>0.62750313987806328</v>
      </c>
      <c r="M991" s="25">
        <v>-14205.9</v>
      </c>
      <c r="N991" s="25">
        <v>-22383.79</v>
      </c>
      <c r="O991" s="25">
        <v>25672.03</v>
      </c>
      <c r="P991" s="11">
        <v>0.13439999999999999</v>
      </c>
      <c r="Q991" s="11">
        <v>5.5000000000000003E-4</v>
      </c>
      <c r="R991" s="12">
        <f t="shared" si="331"/>
        <v>-3.3161566291140296E-2</v>
      </c>
      <c r="S991" s="12">
        <f t="shared" si="332"/>
        <v>-5.2251637413466466E-2</v>
      </c>
      <c r="T991" s="12">
        <f t="shared" si="333"/>
        <v>5.9927545926209698E-2</v>
      </c>
      <c r="U991" s="12">
        <f t="shared" si="255"/>
        <v>-4.4569145095292558E-3</v>
      </c>
      <c r="V991" s="12">
        <f t="shared" si="248"/>
        <v>-7.0226200683698925E-3</v>
      </c>
      <c r="W991" s="12">
        <f t="shared" si="249"/>
        <v>8.0542621724825833E-3</v>
      </c>
      <c r="X991" s="12">
        <f t="shared" si="250"/>
        <v>-1.8238861460127165E-5</v>
      </c>
      <c r="Y991" s="12">
        <f t="shared" si="251"/>
        <v>-2.8738400577406557E-5</v>
      </c>
      <c r="Z991" s="12">
        <f t="shared" si="252"/>
        <v>3.2960150259415332E-5</v>
      </c>
    </row>
    <row r="992" spans="1:26" ht="13">
      <c r="A992" s="24" t="s">
        <v>215</v>
      </c>
      <c r="B992" s="9">
        <v>2017</v>
      </c>
      <c r="C992" s="19">
        <v>29.82</v>
      </c>
      <c r="D992" s="19">
        <v>1088.49</v>
      </c>
      <c r="E992" s="19">
        <v>1342.73</v>
      </c>
      <c r="F992" s="19">
        <v>1153.81</v>
      </c>
      <c r="G992" s="19">
        <v>1085.2</v>
      </c>
      <c r="H992" s="10">
        <f t="shared" si="335"/>
        <v>2.2208485697050039E-2</v>
      </c>
      <c r="I992" s="10">
        <f t="shared" si="336"/>
        <v>0.81065441302421182</v>
      </c>
      <c r="J992" s="10">
        <f t="shared" si="337"/>
        <v>1.0632233689642461</v>
      </c>
      <c r="K992" s="4">
        <f t="shared" si="322"/>
        <v>0.21653907512542506</v>
      </c>
      <c r="L992" s="10">
        <f t="shared" si="323"/>
        <v>0.81065441302421182</v>
      </c>
      <c r="M992" s="25">
        <v>593.14</v>
      </c>
      <c r="N992" s="25">
        <v>-524.38</v>
      </c>
      <c r="O992" s="25">
        <v>-12.33</v>
      </c>
      <c r="P992" s="11">
        <v>0</v>
      </c>
      <c r="Q992" s="11">
        <f>(36.604+10+5+5+5+1+0.5)/100</f>
        <v>0.63104000000000005</v>
      </c>
      <c r="R992" s="12">
        <f t="shared" si="331"/>
        <v>0.44174182449189336</v>
      </c>
      <c r="S992" s="12">
        <f t="shared" si="332"/>
        <v>-0.39053272065121059</v>
      </c>
      <c r="T992" s="12">
        <f t="shared" si="333"/>
        <v>-9.18278432745228E-3</v>
      </c>
      <c r="U992" s="12">
        <f t="shared" si="255"/>
        <v>0</v>
      </c>
      <c r="V992" s="12">
        <f t="shared" si="248"/>
        <v>0</v>
      </c>
      <c r="W992" s="12">
        <f t="shared" si="249"/>
        <v>0</v>
      </c>
      <c r="X992" s="12">
        <f t="shared" si="250"/>
        <v>0.2787567609273644</v>
      </c>
      <c r="Y992" s="12">
        <f t="shared" si="251"/>
        <v>-0.24644176803973994</v>
      </c>
      <c r="Z992" s="12">
        <f t="shared" si="252"/>
        <v>-5.7947042219954874E-3</v>
      </c>
    </row>
    <row r="993" spans="1:26" ht="13">
      <c r="A993" s="24" t="str">
        <f t="shared" ref="A993:A996" si="346">A992</f>
        <v>VPG</v>
      </c>
      <c r="B993" s="9">
        <v>2018</v>
      </c>
      <c r="C993" s="19">
        <v>58.71</v>
      </c>
      <c r="D993" s="19">
        <v>1889.65</v>
      </c>
      <c r="E993" s="19">
        <v>2201.92</v>
      </c>
      <c r="F993" s="19">
        <v>2017.04</v>
      </c>
      <c r="G993" s="19">
        <v>1887.57</v>
      </c>
      <c r="H993" s="10">
        <f t="shared" si="335"/>
        <v>2.6663094027030956E-2</v>
      </c>
      <c r="I993" s="10">
        <f t="shared" si="336"/>
        <v>0.8581828585961343</v>
      </c>
      <c r="J993" s="10">
        <f t="shared" si="337"/>
        <v>1.068590833717425</v>
      </c>
      <c r="K993" s="4">
        <f t="shared" si="322"/>
        <v>0.46738400754145698</v>
      </c>
      <c r="L993" s="10">
        <f t="shared" si="323"/>
        <v>0.8581828585961343</v>
      </c>
      <c r="M993" s="25">
        <v>-123.41</v>
      </c>
      <c r="N993" s="25">
        <v>-192.31</v>
      </c>
      <c r="O993" s="25">
        <v>381.08</v>
      </c>
      <c r="P993" s="11">
        <v>0</v>
      </c>
      <c r="Q993" s="11">
        <f>(36.604+10+5+5+1)/100</f>
        <v>0.57604</v>
      </c>
      <c r="R993" s="12">
        <f t="shared" si="331"/>
        <v>-5.6046541200406912E-2</v>
      </c>
      <c r="S993" s="12">
        <f t="shared" si="332"/>
        <v>-8.7337414619968023E-2</v>
      </c>
      <c r="T993" s="12">
        <f t="shared" si="333"/>
        <v>0.1730671414038657</v>
      </c>
      <c r="U993" s="12">
        <f t="shared" si="255"/>
        <v>0</v>
      </c>
      <c r="V993" s="12">
        <f t="shared" si="248"/>
        <v>0</v>
      </c>
      <c r="W993" s="12">
        <f t="shared" si="249"/>
        <v>0</v>
      </c>
      <c r="X993" s="12">
        <f t="shared" si="250"/>
        <v>-3.2285049593082399E-2</v>
      </c>
      <c r="Y993" s="12">
        <f t="shared" si="251"/>
        <v>-5.0309844317686377E-2</v>
      </c>
      <c r="Z993" s="12">
        <f t="shared" si="252"/>
        <v>9.9693596134282803E-2</v>
      </c>
    </row>
    <row r="994" spans="1:26" ht="13">
      <c r="A994" s="24" t="str">
        <f t="shared" si="346"/>
        <v>VPG</v>
      </c>
      <c r="B994" s="9">
        <v>2019</v>
      </c>
      <c r="C994" s="19">
        <v>55.07</v>
      </c>
      <c r="D994" s="19">
        <v>1569.04</v>
      </c>
      <c r="E994" s="19">
        <v>1916.25</v>
      </c>
      <c r="F994" s="19">
        <v>1634.59</v>
      </c>
      <c r="G994" s="19">
        <v>1496.89</v>
      </c>
      <c r="H994" s="10">
        <f t="shared" si="335"/>
        <v>2.8738421395955643E-2</v>
      </c>
      <c r="I994" s="10">
        <f t="shared" si="336"/>
        <v>0.81880756686236134</v>
      </c>
      <c r="J994" s="10">
        <f t="shared" si="337"/>
        <v>1.0919907274415621</v>
      </c>
      <c r="K994" s="4">
        <f t="shared" si="322"/>
        <v>0.23351227192389348</v>
      </c>
      <c r="L994" s="10">
        <f t="shared" si="323"/>
        <v>0.81880756686236134</v>
      </c>
      <c r="M994" s="25">
        <v>-311.51</v>
      </c>
      <c r="N994" s="25">
        <v>493.9</v>
      </c>
      <c r="O994" s="25">
        <v>-209.05</v>
      </c>
      <c r="P994" s="11">
        <v>4.0000000000000002E-4</v>
      </c>
      <c r="Q994" s="11">
        <f>(36.604+10+5+5.03)/100</f>
        <v>0.56633999999999995</v>
      </c>
      <c r="R994" s="12">
        <f t="shared" si="331"/>
        <v>-0.16256229615133724</v>
      </c>
      <c r="S994" s="12">
        <f t="shared" si="332"/>
        <v>0.25774298760600128</v>
      </c>
      <c r="T994" s="12">
        <f t="shared" si="333"/>
        <v>-0.10909328114807568</v>
      </c>
      <c r="U994" s="12">
        <f t="shared" si="255"/>
        <v>-6.5024918460534901E-5</v>
      </c>
      <c r="V994" s="12">
        <f t="shared" si="248"/>
        <v>1.0309719504240052E-4</v>
      </c>
      <c r="W994" s="12">
        <f t="shared" si="249"/>
        <v>-4.3637312459230272E-5</v>
      </c>
      <c r="X994" s="12">
        <f t="shared" si="250"/>
        <v>-9.2065530802348333E-2</v>
      </c>
      <c r="Y994" s="12">
        <f t="shared" si="251"/>
        <v>0.14597016360078274</v>
      </c>
      <c r="Z994" s="12">
        <f t="shared" si="252"/>
        <v>-6.1783888845401175E-2</v>
      </c>
    </row>
    <row r="995" spans="1:26" ht="13">
      <c r="A995" s="24" t="str">
        <f t="shared" si="346"/>
        <v>VPG</v>
      </c>
      <c r="B995" s="9">
        <v>2020</v>
      </c>
      <c r="C995" s="19">
        <v>88.34</v>
      </c>
      <c r="D995" s="19">
        <v>1032.99</v>
      </c>
      <c r="E995" s="19">
        <v>1551.09</v>
      </c>
      <c r="F995" s="19">
        <v>1360.23</v>
      </c>
      <c r="G995" s="19">
        <v>1032.99</v>
      </c>
      <c r="H995" s="10">
        <f t="shared" si="335"/>
        <v>5.6953497218085354E-2</v>
      </c>
      <c r="I995" s="10">
        <f t="shared" si="336"/>
        <v>0.66597682919753209</v>
      </c>
      <c r="J995" s="10">
        <f t="shared" si="337"/>
        <v>1.3167891267098424</v>
      </c>
      <c r="K995" s="4">
        <f t="shared" si="322"/>
        <v>-0.76548996756229037</v>
      </c>
      <c r="L995" s="10">
        <f t="shared" si="323"/>
        <v>0.66597682919753209</v>
      </c>
      <c r="M995" s="25">
        <v>44.96</v>
      </c>
      <c r="N995" s="25">
        <v>131.11000000000001</v>
      </c>
      <c r="O995" s="25">
        <v>-108.95</v>
      </c>
      <c r="P995" s="11">
        <v>2.9999999999999997E-4</v>
      </c>
      <c r="Q995" s="11">
        <f>(27.66+3.8+7.56+0.01)/100</f>
        <v>0.39030000000000004</v>
      </c>
      <c r="R995" s="12">
        <f t="shared" si="331"/>
        <v>2.8986067861955143E-2</v>
      </c>
      <c r="S995" s="12">
        <f t="shared" si="332"/>
        <v>8.4527654746017325E-2</v>
      </c>
      <c r="T995" s="12">
        <f t="shared" si="333"/>
        <v>-7.0240927347865051E-2</v>
      </c>
      <c r="U995" s="12">
        <f t="shared" si="255"/>
        <v>8.6958203585865417E-6</v>
      </c>
      <c r="V995" s="12">
        <f t="shared" si="248"/>
        <v>2.5358296423805197E-5</v>
      </c>
      <c r="W995" s="12">
        <f t="shared" si="249"/>
        <v>-2.1072278204359514E-5</v>
      </c>
      <c r="X995" s="12">
        <f t="shared" si="250"/>
        <v>1.1313262286521094E-2</v>
      </c>
      <c r="Y995" s="12">
        <f t="shared" si="251"/>
        <v>3.2991143647370567E-2</v>
      </c>
      <c r="Z995" s="12">
        <f t="shared" si="252"/>
        <v>-2.7415033943871733E-2</v>
      </c>
    </row>
    <row r="996" spans="1:26" ht="13">
      <c r="A996" s="24" t="str">
        <f t="shared" si="346"/>
        <v>VPG</v>
      </c>
      <c r="B996" s="9">
        <v>2021</v>
      </c>
      <c r="C996" s="19">
        <v>421.3</v>
      </c>
      <c r="D996" s="19">
        <v>1470.51</v>
      </c>
      <c r="E996" s="19">
        <v>2383.9</v>
      </c>
      <c r="F996" s="19">
        <v>2153.36</v>
      </c>
      <c r="G996" s="19">
        <v>1470.51</v>
      </c>
      <c r="H996" s="10">
        <f t="shared" si="335"/>
        <v>0.17672721171190067</v>
      </c>
      <c r="I996" s="10">
        <f t="shared" si="336"/>
        <v>0.6168505390326775</v>
      </c>
      <c r="J996" s="10">
        <f t="shared" si="337"/>
        <v>1.464362704095858</v>
      </c>
      <c r="K996" s="4">
        <f t="shared" si="322"/>
        <v>-1.5850818310336738</v>
      </c>
      <c r="L996" s="10">
        <f t="shared" si="323"/>
        <v>0.6168505390326775</v>
      </c>
      <c r="M996" s="25">
        <v>275.76</v>
      </c>
      <c r="N996" s="25">
        <v>-19.68</v>
      </c>
      <c r="O996" s="25">
        <v>245.85</v>
      </c>
      <c r="P996" s="11">
        <v>1.8200000000000001E-2</v>
      </c>
      <c r="Q996" s="11">
        <f>(27.66+3.8+5.1+0.004)/100</f>
        <v>0.36564000000000002</v>
      </c>
      <c r="R996" s="12">
        <f t="shared" si="331"/>
        <v>0.1156759931205168</v>
      </c>
      <c r="S996" s="12">
        <f t="shared" si="332"/>
        <v>-8.2553798397583793E-3</v>
      </c>
      <c r="T996" s="12">
        <f t="shared" si="333"/>
        <v>0.10312932589454255</v>
      </c>
      <c r="U996" s="12">
        <f t="shared" si="255"/>
        <v>2.1053030747934056E-3</v>
      </c>
      <c r="V996" s="12">
        <f t="shared" si="248"/>
        <v>-1.5024791308360252E-4</v>
      </c>
      <c r="W996" s="12">
        <f t="shared" si="249"/>
        <v>1.8769537312806745E-3</v>
      </c>
      <c r="X996" s="12">
        <f t="shared" si="250"/>
        <v>4.2295770124585762E-2</v>
      </c>
      <c r="Y996" s="12">
        <f t="shared" si="251"/>
        <v>-3.0184970846092538E-3</v>
      </c>
      <c r="Z996" s="12">
        <f t="shared" si="252"/>
        <v>3.7708206720080538E-2</v>
      </c>
    </row>
    <row r="997" spans="1:26" ht="13">
      <c r="A997" s="24" t="s">
        <v>217</v>
      </c>
      <c r="B997" s="9">
        <v>2017</v>
      </c>
      <c r="C997" s="25">
        <v>190.69</v>
      </c>
      <c r="D997" s="25">
        <v>971.07</v>
      </c>
      <c r="E997" s="25">
        <v>1928.52</v>
      </c>
      <c r="F997" s="26">
        <v>1564.05</v>
      </c>
      <c r="G997" s="25">
        <v>788.1</v>
      </c>
      <c r="H997" s="10">
        <f t="shared" si="335"/>
        <v>9.8878933067844774E-2</v>
      </c>
      <c r="I997" s="10">
        <f t="shared" si="336"/>
        <v>0.50353120527658524</v>
      </c>
      <c r="J997" s="10">
        <f t="shared" si="337"/>
        <v>1.9845831747240197</v>
      </c>
      <c r="K997" s="4">
        <f t="shared" ref="K997:K1016" si="347">-4.3 -4.5*(C997/E997)+5.7*(D997/E997)-0.004*(F997/G997)</f>
        <v>-1.8827656614276613</v>
      </c>
      <c r="L997" s="10">
        <f t="shared" ref="L997:L1016" si="348">D997/E997</f>
        <v>0.50353120527658524</v>
      </c>
      <c r="M997" s="25">
        <v>288.49</v>
      </c>
      <c r="N997" s="25">
        <v>-253.84</v>
      </c>
      <c r="O997" s="25">
        <v>-21.27</v>
      </c>
      <c r="P997" s="11">
        <v>0.13350000000000001</v>
      </c>
      <c r="Q997" s="11">
        <v>7.1900000000000002E-3</v>
      </c>
      <c r="R997" s="12">
        <f t="shared" si="331"/>
        <v>0.1495913965113144</v>
      </c>
      <c r="S997" s="12">
        <f t="shared" si="332"/>
        <v>-0.13162425072075998</v>
      </c>
      <c r="T997" s="12">
        <f t="shared" si="333"/>
        <v>-1.1029183000435566E-2</v>
      </c>
      <c r="U997" s="12">
        <f t="shared" si="255"/>
        <v>1.9970451434260472E-2</v>
      </c>
      <c r="V997" s="12">
        <f t="shared" si="248"/>
        <v>-1.7571837471221458E-2</v>
      </c>
      <c r="W997" s="12">
        <f t="shared" si="249"/>
        <v>-1.4723959305581482E-3</v>
      </c>
      <c r="X997" s="12">
        <f t="shared" si="250"/>
        <v>1.0755621409163506E-3</v>
      </c>
      <c r="Y997" s="12">
        <f t="shared" si="251"/>
        <v>-9.4637836268226432E-4</v>
      </c>
      <c r="Z997" s="12">
        <f t="shared" si="252"/>
        <v>-7.9299825773131719E-5</v>
      </c>
    </row>
    <row r="998" spans="1:26" ht="13">
      <c r="A998" s="24" t="str">
        <f t="shared" ref="A998:A1001" si="349">A997</f>
        <v>VPH</v>
      </c>
      <c r="B998" s="9">
        <v>2018</v>
      </c>
      <c r="C998" s="25">
        <v>146.51</v>
      </c>
      <c r="D998" s="25">
        <v>1022.86</v>
      </c>
      <c r="E998" s="25">
        <v>2074.2399999999998</v>
      </c>
      <c r="F998" s="26">
        <v>1724.02</v>
      </c>
      <c r="G998" s="25">
        <v>1022</v>
      </c>
      <c r="H998" s="10">
        <f t="shared" si="335"/>
        <v>7.0633099352051837E-2</v>
      </c>
      <c r="I998" s="10">
        <f t="shared" si="336"/>
        <v>0.49312519284171558</v>
      </c>
      <c r="J998" s="10">
        <f t="shared" si="337"/>
        <v>1.686908023483366</v>
      </c>
      <c r="K998" s="4">
        <f t="shared" si="347"/>
        <v>-1.8137829799803873</v>
      </c>
      <c r="L998" s="10">
        <f t="shared" si="348"/>
        <v>0.49312519284171558</v>
      </c>
      <c r="M998" s="25">
        <v>92.69</v>
      </c>
      <c r="N998" s="25">
        <v>-6.52</v>
      </c>
      <c r="O998" s="25">
        <v>-113.65</v>
      </c>
      <c r="P998" s="11">
        <v>0.1333</v>
      </c>
      <c r="Q998" s="11">
        <v>1.8E-3</v>
      </c>
      <c r="R998" s="12">
        <f t="shared" si="331"/>
        <v>4.4686246528849123E-2</v>
      </c>
      <c r="S998" s="12">
        <f t="shared" si="332"/>
        <v>-3.1433199629743907E-3</v>
      </c>
      <c r="T998" s="12">
        <f t="shared" si="333"/>
        <v>-5.4791152422091954E-2</v>
      </c>
      <c r="U998" s="12">
        <f t="shared" si="255"/>
        <v>5.9566766622955883E-3</v>
      </c>
      <c r="V998" s="12">
        <f t="shared" si="248"/>
        <v>-4.1900455106448625E-4</v>
      </c>
      <c r="W998" s="12">
        <f t="shared" si="249"/>
        <v>-7.3036606178648574E-3</v>
      </c>
      <c r="X998" s="12">
        <f t="shared" si="250"/>
        <v>8.0435243751928416E-5</v>
      </c>
      <c r="Y998" s="12">
        <f t="shared" si="251"/>
        <v>-5.6579759333539028E-6</v>
      </c>
      <c r="Z998" s="12">
        <f t="shared" si="252"/>
        <v>-9.862407435976552E-5</v>
      </c>
    </row>
    <row r="999" spans="1:26" ht="13">
      <c r="A999" s="24" t="str">
        <f t="shared" si="349"/>
        <v>VPH</v>
      </c>
      <c r="B999" s="9">
        <v>2019</v>
      </c>
      <c r="C999" s="26">
        <v>29.9</v>
      </c>
      <c r="D999" s="25">
        <v>766.57</v>
      </c>
      <c r="E999" s="25">
        <v>1781.62</v>
      </c>
      <c r="F999" s="25">
        <v>1479.43</v>
      </c>
      <c r="G999" s="25">
        <v>757.05</v>
      </c>
      <c r="H999" s="10">
        <f t="shared" si="335"/>
        <v>1.6782478867547513E-2</v>
      </c>
      <c r="I999" s="10">
        <f t="shared" si="336"/>
        <v>0.43026571322728757</v>
      </c>
      <c r="J999" s="10">
        <f t="shared" si="337"/>
        <v>1.9542038174493099</v>
      </c>
      <c r="K999" s="4">
        <f t="shared" si="347"/>
        <v>-1.9308234047782216</v>
      </c>
      <c r="L999" s="10">
        <f t="shared" si="348"/>
        <v>0.43026571322728757</v>
      </c>
      <c r="M999" s="25">
        <v>163.04</v>
      </c>
      <c r="N999" s="25">
        <v>-6.82</v>
      </c>
      <c r="O999" s="25">
        <v>-166.33</v>
      </c>
      <c r="P999" s="11">
        <v>0.13500000000000001</v>
      </c>
      <c r="Q999" s="11">
        <v>0.1615</v>
      </c>
      <c r="R999" s="12">
        <f t="shared" si="331"/>
        <v>9.1512219216218951E-2</v>
      </c>
      <c r="S999" s="12">
        <f t="shared" si="332"/>
        <v>-3.8279767851730454E-3</v>
      </c>
      <c r="T999" s="12">
        <f t="shared" si="333"/>
        <v>-9.3358853178567833E-2</v>
      </c>
      <c r="U999" s="12">
        <f t="shared" si="255"/>
        <v>1.2354149594189559E-2</v>
      </c>
      <c r="V999" s="12">
        <f t="shared" si="248"/>
        <v>-5.1677686599836117E-4</v>
      </c>
      <c r="W999" s="12">
        <f t="shared" si="249"/>
        <v>-1.2603445179106658E-2</v>
      </c>
      <c r="X999" s="12">
        <f t="shared" si="250"/>
        <v>1.4779223403419361E-2</v>
      </c>
      <c r="Y999" s="12">
        <f t="shared" si="251"/>
        <v>-6.1821825080544685E-4</v>
      </c>
      <c r="Z999" s="12">
        <f t="shared" si="252"/>
        <v>-1.5077454788338706E-2</v>
      </c>
    </row>
    <row r="1000" spans="1:26" ht="13">
      <c r="A1000" s="24" t="str">
        <f t="shared" si="349"/>
        <v>VPH</v>
      </c>
      <c r="B1000" s="9">
        <v>2020</v>
      </c>
      <c r="C1000" s="25">
        <v>13.65</v>
      </c>
      <c r="D1000" s="25">
        <v>1051.1600000000001</v>
      </c>
      <c r="E1000" s="25">
        <v>2090.25</v>
      </c>
      <c r="F1000" s="25">
        <v>1787.91</v>
      </c>
      <c r="G1000" s="25">
        <v>1050.6400000000001</v>
      </c>
      <c r="H1000" s="10">
        <f t="shared" si="335"/>
        <v>6.5303193397918914E-3</v>
      </c>
      <c r="I1000" s="10">
        <f t="shared" si="336"/>
        <v>0.50288721444803253</v>
      </c>
      <c r="J1000" s="10">
        <f t="shared" si="337"/>
        <v>1.7017341810705855</v>
      </c>
      <c r="K1000" s="4">
        <f t="shared" si="347"/>
        <v>-1.46973625139956</v>
      </c>
      <c r="L1000" s="10">
        <f t="shared" si="348"/>
        <v>0.50288721444803253</v>
      </c>
      <c r="M1000" s="25">
        <v>-161.30000000000001</v>
      </c>
      <c r="N1000" s="25">
        <v>-25.67</v>
      </c>
      <c r="O1000" s="25">
        <v>155.47999999999999</v>
      </c>
      <c r="P1000" s="11">
        <v>0.1172</v>
      </c>
      <c r="Q1000" s="11">
        <v>6.5909999999999996E-2</v>
      </c>
      <c r="R1000" s="12">
        <f t="shared" si="331"/>
        <v>-7.7167802894390625E-2</v>
      </c>
      <c r="S1000" s="12">
        <f t="shared" si="332"/>
        <v>-1.2280827652194714E-2</v>
      </c>
      <c r="T1000" s="12">
        <f t="shared" si="333"/>
        <v>7.4383446956105728E-2</v>
      </c>
      <c r="U1000" s="12">
        <f t="shared" si="255"/>
        <v>-9.0440664992225816E-3</v>
      </c>
      <c r="V1000" s="12">
        <f t="shared" si="248"/>
        <v>-1.4393130008372205E-3</v>
      </c>
      <c r="W1000" s="12">
        <f t="shared" si="249"/>
        <v>8.7177399832555919E-3</v>
      </c>
      <c r="X1000" s="12">
        <f t="shared" si="250"/>
        <v>-5.0861298887692856E-3</v>
      </c>
      <c r="Y1000" s="12">
        <f t="shared" si="251"/>
        <v>-8.0942935055615362E-4</v>
      </c>
      <c r="Z1000" s="12">
        <f t="shared" si="252"/>
        <v>4.902612988876928E-3</v>
      </c>
    </row>
    <row r="1001" spans="1:26" ht="13">
      <c r="A1001" s="24" t="str">
        <f t="shared" si="349"/>
        <v>VPH</v>
      </c>
      <c r="B1001" s="9">
        <v>2021</v>
      </c>
      <c r="C1001" s="25">
        <v>83.37</v>
      </c>
      <c r="D1001" s="25">
        <v>982.58</v>
      </c>
      <c r="E1001" s="26">
        <v>2051.0500000000002</v>
      </c>
      <c r="F1001" s="26">
        <v>1642.9</v>
      </c>
      <c r="G1001" s="25">
        <v>982.07</v>
      </c>
      <c r="H1001" s="10">
        <f t="shared" si="335"/>
        <v>4.0647473245410883E-2</v>
      </c>
      <c r="I1001" s="10">
        <f t="shared" si="336"/>
        <v>0.4790619438824017</v>
      </c>
      <c r="J1001" s="10">
        <f t="shared" si="337"/>
        <v>1.6728950074841915</v>
      </c>
      <c r="K1001" s="4">
        <f t="shared" si="347"/>
        <v>-1.758952129504596</v>
      </c>
      <c r="L1001" s="10">
        <f t="shared" si="348"/>
        <v>0.4790619438824017</v>
      </c>
      <c r="M1001" s="25">
        <v>-83.25</v>
      </c>
      <c r="N1001" s="25">
        <v>156.41999999999999</v>
      </c>
      <c r="O1001" s="25">
        <v>27.82</v>
      </c>
      <c r="P1001" s="11">
        <v>4.7000000000000002E-3</v>
      </c>
      <c r="Q1001" s="11">
        <v>6.5909999999999996E-2</v>
      </c>
      <c r="R1001" s="12">
        <f t="shared" si="331"/>
        <v>-4.058896662684966E-2</v>
      </c>
      <c r="S1001" s="12">
        <f t="shared" si="332"/>
        <v>7.6263377294556428E-2</v>
      </c>
      <c r="T1001" s="12">
        <f t="shared" si="333"/>
        <v>1.3563784403110601E-2</v>
      </c>
      <c r="U1001" s="12">
        <f t="shared" si="255"/>
        <v>-1.907681431461934E-4</v>
      </c>
      <c r="V1001" s="12">
        <f t="shared" si="248"/>
        <v>3.5843787328441524E-4</v>
      </c>
      <c r="W1001" s="12">
        <f t="shared" si="249"/>
        <v>6.3749786694619823E-5</v>
      </c>
      <c r="X1001" s="12">
        <f t="shared" si="250"/>
        <v>-2.6752187903756608E-3</v>
      </c>
      <c r="Y1001" s="12">
        <f t="shared" si="251"/>
        <v>5.026519197484214E-3</v>
      </c>
      <c r="Z1001" s="12">
        <f t="shared" si="252"/>
        <v>8.9398903000901966E-4</v>
      </c>
    </row>
    <row r="1002" spans="1:26" ht="13">
      <c r="A1002" s="24" t="s">
        <v>218</v>
      </c>
      <c r="B1002" s="9">
        <v>2017</v>
      </c>
      <c r="C1002" s="25">
        <v>77.12</v>
      </c>
      <c r="D1002" s="25">
        <v>281.77</v>
      </c>
      <c r="E1002" s="25">
        <v>1017.46</v>
      </c>
      <c r="F1002" s="25">
        <v>1008.45</v>
      </c>
      <c r="G1002" s="25">
        <v>175.31</v>
      </c>
      <c r="H1002" s="10">
        <f t="shared" si="335"/>
        <v>7.5796591512197045E-2</v>
      </c>
      <c r="I1002" s="10">
        <f t="shared" si="336"/>
        <v>0.27693471979242423</v>
      </c>
      <c r="J1002" s="10">
        <f t="shared" si="337"/>
        <v>5.7523814956363015</v>
      </c>
      <c r="K1002" s="4">
        <f t="shared" si="347"/>
        <v>-3.0855662849706138</v>
      </c>
      <c r="L1002" s="10">
        <f t="shared" si="348"/>
        <v>0.27693471979242423</v>
      </c>
      <c r="M1002" s="25">
        <v>-81.22</v>
      </c>
      <c r="N1002" s="25">
        <v>-288.07</v>
      </c>
      <c r="O1002" s="25">
        <v>385.54</v>
      </c>
      <c r="P1002" s="11">
        <v>2.4199999999999998E-3</v>
      </c>
      <c r="Q1002" s="11">
        <v>0</v>
      </c>
      <c r="R1002" s="12">
        <f t="shared" si="331"/>
        <v>-7.9826233955143197E-2</v>
      </c>
      <c r="S1002" s="12">
        <f t="shared" si="332"/>
        <v>-0.2831266093998781</v>
      </c>
      <c r="T1002" s="12">
        <f t="shared" si="333"/>
        <v>0.37892398718377135</v>
      </c>
      <c r="U1002" s="12">
        <f t="shared" si="255"/>
        <v>-1.9317948617144653E-4</v>
      </c>
      <c r="V1002" s="12">
        <f t="shared" si="248"/>
        <v>-6.8516639474770497E-4</v>
      </c>
      <c r="W1002" s="12">
        <f t="shared" si="249"/>
        <v>9.1699604898472665E-4</v>
      </c>
      <c r="X1002" s="12">
        <f t="shared" si="250"/>
        <v>0</v>
      </c>
      <c r="Y1002" s="12">
        <f t="shared" si="251"/>
        <v>0</v>
      </c>
      <c r="Z1002" s="12">
        <f t="shared" si="252"/>
        <v>0</v>
      </c>
    </row>
    <row r="1003" spans="1:26" ht="13">
      <c r="A1003" s="24" t="str">
        <f t="shared" ref="A1003:A1006" si="350">A1002</f>
        <v>VRC</v>
      </c>
      <c r="B1003" s="9">
        <v>2018</v>
      </c>
      <c r="C1003" s="25">
        <v>280.44</v>
      </c>
      <c r="D1003" s="25">
        <v>404.68</v>
      </c>
      <c r="E1003" s="26">
        <v>1419.08</v>
      </c>
      <c r="F1003" s="25">
        <v>919.72</v>
      </c>
      <c r="G1003" s="25">
        <v>304.64999999999998</v>
      </c>
      <c r="H1003" s="10">
        <f t="shared" si="335"/>
        <v>0.19762099388336105</v>
      </c>
      <c r="I1003" s="10">
        <f t="shared" si="336"/>
        <v>0.28517067395777546</v>
      </c>
      <c r="J1003" s="10">
        <f t="shared" si="337"/>
        <v>3.0189397669456759</v>
      </c>
      <c r="K1003" s="4">
        <f t="shared" si="347"/>
        <v>-3.5758973899835866</v>
      </c>
      <c r="L1003" s="10">
        <f t="shared" si="348"/>
        <v>0.28517067395777546</v>
      </c>
      <c r="M1003" s="25">
        <v>-322.12</v>
      </c>
      <c r="N1003" s="25">
        <v>282.25</v>
      </c>
      <c r="O1003" s="25">
        <v>-0.51</v>
      </c>
      <c r="P1003" s="11">
        <v>2.6370000000000001E-2</v>
      </c>
      <c r="Q1003" s="11">
        <v>0</v>
      </c>
      <c r="R1003" s="12">
        <f t="shared" si="331"/>
        <v>-0.2269921357499225</v>
      </c>
      <c r="S1003" s="12">
        <f t="shared" si="332"/>
        <v>0.19889646813428419</v>
      </c>
      <c r="T1003" s="12">
        <f t="shared" si="333"/>
        <v>-3.5938777235955692E-4</v>
      </c>
      <c r="U1003" s="12">
        <f t="shared" si="255"/>
        <v>-5.9857826197254561E-3</v>
      </c>
      <c r="V1003" s="12">
        <f t="shared" si="248"/>
        <v>5.2448998647010745E-3</v>
      </c>
      <c r="W1003" s="12">
        <f t="shared" si="249"/>
        <v>-9.4770555571215161E-6</v>
      </c>
      <c r="X1003" s="12">
        <f t="shared" si="250"/>
        <v>0</v>
      </c>
      <c r="Y1003" s="12">
        <f t="shared" si="251"/>
        <v>0</v>
      </c>
      <c r="Z1003" s="12">
        <f t="shared" si="252"/>
        <v>0</v>
      </c>
    </row>
    <row r="1004" spans="1:26" ht="13">
      <c r="A1004" s="24" t="str">
        <f t="shared" si="350"/>
        <v>VRC</v>
      </c>
      <c r="B1004" s="9">
        <v>2019</v>
      </c>
      <c r="C1004" s="25">
        <v>24.96</v>
      </c>
      <c r="D1004" s="25">
        <v>414.03</v>
      </c>
      <c r="E1004" s="25">
        <v>1675.14</v>
      </c>
      <c r="F1004" s="25">
        <v>1206</v>
      </c>
      <c r="G1004" s="25">
        <v>314</v>
      </c>
      <c r="H1004" s="10">
        <f t="shared" si="335"/>
        <v>1.4900247143522331E-2</v>
      </c>
      <c r="I1004" s="10">
        <f t="shared" si="336"/>
        <v>0.24716143128335538</v>
      </c>
      <c r="J1004" s="10">
        <f t="shared" si="337"/>
        <v>3.8407643312101909</v>
      </c>
      <c r="K1004" s="4">
        <f t="shared" si="347"/>
        <v>-2.9735940111555648</v>
      </c>
      <c r="L1004" s="10">
        <f t="shared" si="348"/>
        <v>0.24716143128335538</v>
      </c>
      <c r="M1004" s="25">
        <v>-355.26</v>
      </c>
      <c r="N1004" s="25">
        <v>61.66</v>
      </c>
      <c r="O1004" s="25">
        <v>276.75</v>
      </c>
      <c r="P1004" s="11">
        <v>3.4200000000000001E-2</v>
      </c>
      <c r="Q1004" s="11">
        <v>0</v>
      </c>
      <c r="R1004" s="12">
        <f t="shared" si="331"/>
        <v>-0.21207779648268202</v>
      </c>
      <c r="S1004" s="12">
        <f t="shared" si="332"/>
        <v>3.6808863736762294E-2</v>
      </c>
      <c r="T1004" s="12">
        <f t="shared" si="333"/>
        <v>0.16521007199398258</v>
      </c>
      <c r="U1004" s="12">
        <f t="shared" si="255"/>
        <v>-7.2530606397077256E-3</v>
      </c>
      <c r="V1004" s="12">
        <f t="shared" si="248"/>
        <v>1.2588631397972706E-3</v>
      </c>
      <c r="W1004" s="12">
        <f t="shared" si="249"/>
        <v>5.6501844621942047E-3</v>
      </c>
      <c r="X1004" s="12">
        <f t="shared" si="250"/>
        <v>0</v>
      </c>
      <c r="Y1004" s="12">
        <f t="shared" si="251"/>
        <v>0</v>
      </c>
      <c r="Z1004" s="12">
        <f t="shared" si="252"/>
        <v>0</v>
      </c>
    </row>
    <row r="1005" spans="1:26" ht="13">
      <c r="A1005" s="24" t="str">
        <f t="shared" si="350"/>
        <v>VRC</v>
      </c>
      <c r="B1005" s="9">
        <v>2020</v>
      </c>
      <c r="C1005" s="25">
        <v>0.44</v>
      </c>
      <c r="D1005" s="25">
        <v>423.09</v>
      </c>
      <c r="E1005" s="25">
        <v>1684.64</v>
      </c>
      <c r="F1005" s="25">
        <v>1215.8800000000001</v>
      </c>
      <c r="G1005" s="25">
        <v>323.07</v>
      </c>
      <c r="H1005" s="10">
        <f t="shared" si="335"/>
        <v>2.6118339823345046E-4</v>
      </c>
      <c r="I1005" s="10">
        <f t="shared" si="336"/>
        <v>0.25114564536043305</v>
      </c>
      <c r="J1005" s="10">
        <f t="shared" si="337"/>
        <v>3.7635187420682827</v>
      </c>
      <c r="K1005" s="4">
        <f t="shared" si="347"/>
        <v>-2.8846992217058545</v>
      </c>
      <c r="L1005" s="10">
        <f t="shared" si="348"/>
        <v>0.25114564536043305</v>
      </c>
      <c r="M1005" s="25">
        <v>-293.12</v>
      </c>
      <c r="N1005" s="25">
        <v>0.74</v>
      </c>
      <c r="O1005" s="25">
        <v>290.45</v>
      </c>
      <c r="P1005" s="11">
        <v>1.72E-2</v>
      </c>
      <c r="Q1005" s="11">
        <v>0.1173</v>
      </c>
      <c r="R1005" s="12">
        <f t="shared" si="331"/>
        <v>-0.17399563111406591</v>
      </c>
      <c r="S1005" s="12">
        <f t="shared" si="332"/>
        <v>4.3926298793807574E-4</v>
      </c>
      <c r="T1005" s="12">
        <f t="shared" si="333"/>
        <v>0.17241072276569472</v>
      </c>
      <c r="U1005" s="12">
        <f t="shared" si="255"/>
        <v>-2.9927248551619334E-3</v>
      </c>
      <c r="V1005" s="12">
        <f t="shared" si="248"/>
        <v>7.5553233925349026E-6</v>
      </c>
      <c r="W1005" s="12">
        <f t="shared" si="249"/>
        <v>2.9654644315699492E-3</v>
      </c>
      <c r="X1005" s="12">
        <f t="shared" si="250"/>
        <v>-2.0409687529679931E-2</v>
      </c>
      <c r="Y1005" s="12">
        <f t="shared" si="251"/>
        <v>5.1525548485136289E-5</v>
      </c>
      <c r="Z1005" s="12">
        <f t="shared" si="252"/>
        <v>2.0223777780415991E-2</v>
      </c>
    </row>
    <row r="1006" spans="1:26" ht="13">
      <c r="A1006" s="24" t="str">
        <f t="shared" si="350"/>
        <v>VRC</v>
      </c>
      <c r="B1006" s="9">
        <v>2021</v>
      </c>
      <c r="C1006" s="25">
        <v>0.49</v>
      </c>
      <c r="D1006" s="25">
        <v>596.02</v>
      </c>
      <c r="E1006" s="26">
        <v>1858.07</v>
      </c>
      <c r="F1006" s="25">
        <v>1389.43</v>
      </c>
      <c r="G1006" s="25">
        <v>67.61</v>
      </c>
      <c r="H1006" s="10">
        <f t="shared" si="335"/>
        <v>2.6371449945373425E-4</v>
      </c>
      <c r="I1006" s="10">
        <f t="shared" si="336"/>
        <v>0.32077370604982591</v>
      </c>
      <c r="J1006" s="10">
        <f t="shared" si="337"/>
        <v>20.550658186658779</v>
      </c>
      <c r="K1006" s="4">
        <f t="shared" si="347"/>
        <v>-2.5549792235101689</v>
      </c>
      <c r="L1006" s="10">
        <f t="shared" si="348"/>
        <v>0.32077370604982591</v>
      </c>
      <c r="M1006" s="25">
        <v>-173.34</v>
      </c>
      <c r="N1006" s="25">
        <v>0.03</v>
      </c>
      <c r="O1006" s="25">
        <v>171.15</v>
      </c>
      <c r="P1006" s="11">
        <v>2.7000000000000001E-3</v>
      </c>
      <c r="Q1006" s="11">
        <v>0.12529999999999999</v>
      </c>
      <c r="R1006" s="12">
        <f t="shared" si="331"/>
        <v>-9.329034966389857E-2</v>
      </c>
      <c r="S1006" s="12">
        <f t="shared" si="332"/>
        <v>1.6145785680840871E-5</v>
      </c>
      <c r="T1006" s="12">
        <f t="shared" si="333"/>
        <v>9.2111707309197183E-2</v>
      </c>
      <c r="U1006" s="12">
        <f t="shared" si="255"/>
        <v>-2.5188394409252616E-4</v>
      </c>
      <c r="V1006" s="12">
        <f t="shared" si="248"/>
        <v>4.3593621338270351E-8</v>
      </c>
      <c r="W1006" s="12">
        <f t="shared" si="249"/>
        <v>2.4870160973483238E-4</v>
      </c>
      <c r="X1006" s="12">
        <f t="shared" si="250"/>
        <v>-1.1689280812886491E-2</v>
      </c>
      <c r="Y1006" s="12">
        <f t="shared" si="251"/>
        <v>2.0230669458093612E-6</v>
      </c>
      <c r="Z1006" s="12">
        <f t="shared" si="252"/>
        <v>1.1541596925842406E-2</v>
      </c>
    </row>
    <row r="1007" spans="1:26" ht="13">
      <c r="A1007" s="24" t="s">
        <v>219</v>
      </c>
      <c r="B1007" s="9">
        <v>2017</v>
      </c>
      <c r="C1007" s="26">
        <v>31.01</v>
      </c>
      <c r="D1007" s="25">
        <v>351.23</v>
      </c>
      <c r="E1007" s="25">
        <v>575.20000000000005</v>
      </c>
      <c r="F1007" s="25">
        <v>258.93</v>
      </c>
      <c r="G1007" s="25">
        <v>205.74</v>
      </c>
      <c r="H1007" s="10">
        <f t="shared" si="335"/>
        <v>5.3911682892906813E-2</v>
      </c>
      <c r="I1007" s="10">
        <f t="shared" si="336"/>
        <v>0.61062239221140469</v>
      </c>
      <c r="J1007" s="10">
        <f t="shared" si="337"/>
        <v>1.2585301837270342</v>
      </c>
      <c r="K1007" s="4">
        <f t="shared" si="347"/>
        <v>-1.0670890581479817</v>
      </c>
      <c r="L1007" s="10">
        <f t="shared" si="348"/>
        <v>0.61062239221140469</v>
      </c>
      <c r="M1007" s="25">
        <v>-99.67</v>
      </c>
      <c r="N1007" s="25">
        <v>-38.92</v>
      </c>
      <c r="O1007" s="25">
        <v>121.85</v>
      </c>
      <c r="P1007" s="11">
        <v>3.1199999999999999E-2</v>
      </c>
      <c r="Q1007" s="11">
        <v>2.8038E-3</v>
      </c>
      <c r="R1007" s="12">
        <f t="shared" si="331"/>
        <v>-0.17327885952712099</v>
      </c>
      <c r="S1007" s="12">
        <f t="shared" si="332"/>
        <v>-6.7663421418636988E-2</v>
      </c>
      <c r="T1007" s="12">
        <f t="shared" si="333"/>
        <v>0.21183936022253128</v>
      </c>
      <c r="U1007" s="12">
        <f t="shared" si="255"/>
        <v>-5.4063004172461744E-3</v>
      </c>
      <c r="V1007" s="12">
        <f t="shared" si="248"/>
        <v>-2.1110987482614741E-3</v>
      </c>
      <c r="W1007" s="12">
        <f t="shared" si="249"/>
        <v>6.6093880389429755E-3</v>
      </c>
      <c r="X1007" s="12">
        <f t="shared" si="250"/>
        <v>-4.8583926634214182E-4</v>
      </c>
      <c r="Y1007" s="12">
        <f t="shared" si="251"/>
        <v>-1.8971470097357439E-4</v>
      </c>
      <c r="Z1007" s="12">
        <f t="shared" si="252"/>
        <v>5.939551981919332E-4</v>
      </c>
    </row>
    <row r="1008" spans="1:26" ht="13">
      <c r="A1008" s="24" t="str">
        <f t="shared" ref="A1008:A1011" si="351">A1007</f>
        <v>VSI</v>
      </c>
      <c r="B1008" s="9">
        <v>2018</v>
      </c>
      <c r="C1008" s="25">
        <v>22.16</v>
      </c>
      <c r="D1008" s="25">
        <v>494.08</v>
      </c>
      <c r="E1008" s="25">
        <v>702.41</v>
      </c>
      <c r="F1008" s="25">
        <v>326.54000000000002</v>
      </c>
      <c r="G1008" s="25">
        <v>288.17</v>
      </c>
      <c r="H1008" s="10">
        <f t="shared" si="335"/>
        <v>3.1548525789780901E-2</v>
      </c>
      <c r="I1008" s="10">
        <f t="shared" si="336"/>
        <v>0.70340684215771421</v>
      </c>
      <c r="J1008" s="10">
        <f t="shared" si="337"/>
        <v>1.1331505708435994</v>
      </c>
      <c r="K1008" s="4">
        <f t="shared" si="347"/>
        <v>-0.43708196803841737</v>
      </c>
      <c r="L1008" s="10">
        <f t="shared" si="348"/>
        <v>0.70340684215771421</v>
      </c>
      <c r="M1008" s="25">
        <v>5.23</v>
      </c>
      <c r="N1008" s="25">
        <v>-2.85</v>
      </c>
      <c r="O1008" s="25">
        <v>3.15</v>
      </c>
      <c r="P1008" s="11">
        <v>5.1000000000000004E-3</v>
      </c>
      <c r="Q1008" s="11">
        <v>2.8038E-3</v>
      </c>
      <c r="R1008" s="12">
        <f t="shared" si="331"/>
        <v>7.4457937671730196E-3</v>
      </c>
      <c r="S1008" s="12">
        <f t="shared" si="332"/>
        <v>-4.0574593186315684E-3</v>
      </c>
      <c r="T1008" s="12">
        <f t="shared" si="333"/>
        <v>4.4845602995401551E-3</v>
      </c>
      <c r="U1008" s="12">
        <f t="shared" si="255"/>
        <v>3.7973548212582403E-5</v>
      </c>
      <c r="V1008" s="12">
        <f t="shared" si="248"/>
        <v>-2.0693042525021E-5</v>
      </c>
      <c r="W1008" s="12">
        <f t="shared" si="249"/>
        <v>2.2871257527654792E-5</v>
      </c>
      <c r="X1008" s="12">
        <f t="shared" si="250"/>
        <v>2.0876516564399713E-5</v>
      </c>
      <c r="Y1008" s="12">
        <f t="shared" si="251"/>
        <v>-1.1376304437579192E-5</v>
      </c>
      <c r="Z1008" s="12">
        <f t="shared" si="252"/>
        <v>1.2573810167850687E-5</v>
      </c>
    </row>
    <row r="1009" spans="1:26" ht="13">
      <c r="A1009" s="24" t="str">
        <f t="shared" si="351"/>
        <v>VSI</v>
      </c>
      <c r="B1009" s="9">
        <v>2019</v>
      </c>
      <c r="C1009" s="25">
        <v>23</v>
      </c>
      <c r="D1009" s="25">
        <v>467.82</v>
      </c>
      <c r="E1009" s="25">
        <v>676.69</v>
      </c>
      <c r="F1009" s="25">
        <v>282.05</v>
      </c>
      <c r="G1009" s="25">
        <v>225.71</v>
      </c>
      <c r="H1009" s="10">
        <f t="shared" si="335"/>
        <v>3.3988975749604688E-2</v>
      </c>
      <c r="I1009" s="10">
        <f t="shared" si="336"/>
        <v>0.6913357667469594</v>
      </c>
      <c r="J1009" s="10">
        <f t="shared" si="337"/>
        <v>1.249612334411413</v>
      </c>
      <c r="K1009" s="4">
        <f t="shared" si="347"/>
        <v>-0.51733496975319848</v>
      </c>
      <c r="L1009" s="10">
        <f t="shared" si="348"/>
        <v>0.6913357667469594</v>
      </c>
      <c r="M1009" s="25">
        <v>0.28999999999999998</v>
      </c>
      <c r="N1009" s="26">
        <v>-41.37</v>
      </c>
      <c r="O1009" s="26">
        <v>14.08</v>
      </c>
      <c r="P1009" s="11">
        <v>5.1000000000000004E-3</v>
      </c>
      <c r="Q1009" s="11">
        <v>2.8038E-3</v>
      </c>
      <c r="R1009" s="12">
        <f t="shared" si="331"/>
        <v>4.2855665075588518E-4</v>
      </c>
      <c r="S1009" s="12">
        <f t="shared" si="332"/>
        <v>-6.1135822902658524E-2</v>
      </c>
      <c r="T1009" s="12">
        <f t="shared" si="333"/>
        <v>2.0807164284975393E-2</v>
      </c>
      <c r="U1009" s="12">
        <f t="shared" si="255"/>
        <v>2.1856389188550148E-6</v>
      </c>
      <c r="V1009" s="12">
        <f t="shared" si="248"/>
        <v>-3.1179269680355851E-4</v>
      </c>
      <c r="W1009" s="12">
        <f t="shared" si="249"/>
        <v>1.0611653785337452E-4</v>
      </c>
      <c r="X1009" s="12">
        <f t="shared" si="250"/>
        <v>1.2015871373893509E-6</v>
      </c>
      <c r="Y1009" s="12">
        <f t="shared" si="251"/>
        <v>-1.7141262025447397E-4</v>
      </c>
      <c r="Z1009" s="12">
        <f t="shared" si="252"/>
        <v>5.8339127222214011E-5</v>
      </c>
    </row>
    <row r="1010" spans="1:26" ht="13">
      <c r="A1010" s="24" t="str">
        <f t="shared" si="351"/>
        <v>VSI</v>
      </c>
      <c r="B1010" s="9">
        <v>2020</v>
      </c>
      <c r="C1010" s="25">
        <v>19.13</v>
      </c>
      <c r="D1010" s="25">
        <v>451.75</v>
      </c>
      <c r="E1010" s="25">
        <v>657.16</v>
      </c>
      <c r="F1010" s="25">
        <v>270.41000000000003</v>
      </c>
      <c r="G1010" s="25">
        <v>211.82</v>
      </c>
      <c r="H1010" s="10">
        <f t="shared" si="335"/>
        <v>2.9110110171039018E-2</v>
      </c>
      <c r="I1010" s="10">
        <f t="shared" si="336"/>
        <v>0.6874277192768885</v>
      </c>
      <c r="J1010" s="10">
        <f t="shared" si="337"/>
        <v>1.2766027759418375</v>
      </c>
      <c r="K1010" s="4">
        <f t="shared" si="347"/>
        <v>-0.51776390699517783</v>
      </c>
      <c r="L1010" s="10">
        <f t="shared" si="348"/>
        <v>0.6874277192768885</v>
      </c>
      <c r="M1010" s="25">
        <v>54.53</v>
      </c>
      <c r="N1010" s="25">
        <v>-8.3000000000000007</v>
      </c>
      <c r="O1010" s="25">
        <v>-25</v>
      </c>
      <c r="P1010" s="11">
        <v>5.1000000000000004E-3</v>
      </c>
      <c r="Q1010" s="11">
        <v>2.8038E-3</v>
      </c>
      <c r="R1010" s="12">
        <f t="shared" si="331"/>
        <v>8.2978270132083518E-2</v>
      </c>
      <c r="S1010" s="12">
        <f t="shared" si="332"/>
        <v>-1.263010530160083E-2</v>
      </c>
      <c r="T1010" s="12">
        <f t="shared" si="333"/>
        <v>-3.8042485848195265E-2</v>
      </c>
      <c r="U1010" s="12">
        <f t="shared" si="255"/>
        <v>4.2318917767362595E-4</v>
      </c>
      <c r="V1010" s="12">
        <f t="shared" si="248"/>
        <v>-6.4413537038164246E-5</v>
      </c>
      <c r="W1010" s="12">
        <f t="shared" si="249"/>
        <v>-1.9401667782579585E-4</v>
      </c>
      <c r="X1010" s="12">
        <f t="shared" si="250"/>
        <v>2.3265447379633577E-4</v>
      </c>
      <c r="Y1010" s="12">
        <f t="shared" si="251"/>
        <v>-3.541228924462841E-5</v>
      </c>
      <c r="Z1010" s="12">
        <f t="shared" si="252"/>
        <v>-1.0666352182116988E-4</v>
      </c>
    </row>
    <row r="1011" spans="1:26" ht="13">
      <c r="A1011" s="24" t="str">
        <f t="shared" si="351"/>
        <v>VSI</v>
      </c>
      <c r="B1011" s="9">
        <v>2021</v>
      </c>
      <c r="C1011" s="25">
        <v>49.98</v>
      </c>
      <c r="D1011" s="25">
        <v>318.52999999999997</v>
      </c>
      <c r="E1011" s="25">
        <v>536.16</v>
      </c>
      <c r="F1011" s="25">
        <v>198.52</v>
      </c>
      <c r="G1011" s="25">
        <v>96.42</v>
      </c>
      <c r="H1011" s="10">
        <f t="shared" si="335"/>
        <v>9.3218442256042977E-2</v>
      </c>
      <c r="I1011" s="10">
        <f t="shared" si="336"/>
        <v>0.59409504625484932</v>
      </c>
      <c r="J1011" s="10">
        <f t="shared" si="337"/>
        <v>2.0589089400539309</v>
      </c>
      <c r="K1011" s="4">
        <f t="shared" si="347"/>
        <v>-1.3413768622597677</v>
      </c>
      <c r="L1011" s="10">
        <f t="shared" si="348"/>
        <v>0.59409504625484932</v>
      </c>
      <c r="M1011" s="25">
        <v>17.350000000000001</v>
      </c>
      <c r="N1011" s="25">
        <v>72.959999999999994</v>
      </c>
      <c r="O1011" s="25">
        <v>-56.71</v>
      </c>
      <c r="P1011" s="11">
        <v>5.3E-3</v>
      </c>
      <c r="Q1011" s="11">
        <v>2.8038E-3</v>
      </c>
      <c r="R1011" s="12">
        <f t="shared" si="331"/>
        <v>3.2359743360190991E-2</v>
      </c>
      <c r="S1011" s="12">
        <f t="shared" si="332"/>
        <v>0.13607878245299909</v>
      </c>
      <c r="T1011" s="12">
        <f t="shared" si="333"/>
        <v>-0.10577066547299314</v>
      </c>
      <c r="U1011" s="12">
        <f t="shared" si="255"/>
        <v>1.7150663980901226E-4</v>
      </c>
      <c r="V1011" s="12">
        <f t="shared" si="248"/>
        <v>7.2121754700089523E-4</v>
      </c>
      <c r="W1011" s="12">
        <f t="shared" si="249"/>
        <v>-5.6058452700686364E-4</v>
      </c>
      <c r="X1011" s="12">
        <f t="shared" si="250"/>
        <v>9.0730248433303504E-5</v>
      </c>
      <c r="Y1011" s="12">
        <f t="shared" si="251"/>
        <v>3.8153769024171886E-4</v>
      </c>
      <c r="Z1011" s="12">
        <f t="shared" si="252"/>
        <v>-2.9655979185317819E-4</v>
      </c>
    </row>
    <row r="1012" spans="1:26" ht="13">
      <c r="A1012" s="24" t="s">
        <v>220</v>
      </c>
      <c r="B1012" s="9">
        <v>2017</v>
      </c>
      <c r="C1012" s="25">
        <v>94.48</v>
      </c>
      <c r="D1012" s="25">
        <v>812.3</v>
      </c>
      <c r="E1012" s="25">
        <v>1946.46</v>
      </c>
      <c r="F1012" s="25">
        <v>213.14</v>
      </c>
      <c r="G1012" s="25">
        <v>349.6</v>
      </c>
      <c r="H1012" s="10">
        <f t="shared" si="335"/>
        <v>4.8539399730793339E-2</v>
      </c>
      <c r="I1012" s="10">
        <f t="shared" si="336"/>
        <v>0.41732170196150958</v>
      </c>
      <c r="J1012" s="10">
        <f t="shared" si="337"/>
        <v>0.60966819221967961</v>
      </c>
      <c r="K1012" s="4">
        <f t="shared" si="347"/>
        <v>-2.1421322703768437</v>
      </c>
      <c r="L1012" s="10">
        <f t="shared" si="348"/>
        <v>0.41732170196150958</v>
      </c>
      <c r="M1012" s="25">
        <v>395.09</v>
      </c>
      <c r="N1012" s="25">
        <v>-199.29</v>
      </c>
      <c r="O1012" s="19">
        <v>-174.5</v>
      </c>
      <c r="P1012" s="11">
        <v>2.01E-2</v>
      </c>
      <c r="Q1012" s="11">
        <v>3.3E-4</v>
      </c>
      <c r="R1012" s="12">
        <f t="shared" si="331"/>
        <v>0.202978740893725</v>
      </c>
      <c r="S1012" s="12">
        <f t="shared" si="332"/>
        <v>-0.10238586973274559</v>
      </c>
      <c r="T1012" s="12">
        <f t="shared" si="333"/>
        <v>-8.964992858830903E-2</v>
      </c>
      <c r="U1012" s="12">
        <f t="shared" si="255"/>
        <v>4.0798726919638725E-3</v>
      </c>
      <c r="V1012" s="12">
        <f t="shared" ref="V1012:V1016" si="352">S1012*P1012</f>
        <v>-2.0579559816281865E-3</v>
      </c>
      <c r="W1012" s="12">
        <f t="shared" ref="W1012:W1016" si="353">T1012*P1012</f>
        <v>-1.8019635646250114E-3</v>
      </c>
      <c r="X1012" s="12">
        <f t="shared" ref="X1012:X1016" si="354">R1012*Q1012</f>
        <v>6.6982984494929254E-5</v>
      </c>
      <c r="Y1012" s="12">
        <f t="shared" ref="Y1012:Y1016" si="355">S1012*Q1012</f>
        <v>-3.3787337011806042E-5</v>
      </c>
      <c r="Z1012" s="12">
        <f t="shared" ref="Z1012:Z1016" si="356">T1012*Q1012</f>
        <v>-2.9584476434141979E-5</v>
      </c>
    </row>
    <row r="1013" spans="1:26" ht="13">
      <c r="A1013" s="24" t="str">
        <f t="shared" ref="A1013:A1016" si="357">A1012</f>
        <v>VTO</v>
      </c>
      <c r="B1013" s="9">
        <v>2018</v>
      </c>
      <c r="C1013" s="25">
        <v>102.06</v>
      </c>
      <c r="D1013" s="25">
        <v>696.96</v>
      </c>
      <c r="E1013" s="25">
        <v>1845.92</v>
      </c>
      <c r="F1013" s="25">
        <v>394.26</v>
      </c>
      <c r="G1013" s="25">
        <v>303.83</v>
      </c>
      <c r="H1013" s="10">
        <f t="shared" si="335"/>
        <v>5.5289503337089367E-2</v>
      </c>
      <c r="I1013" s="10">
        <f t="shared" si="336"/>
        <v>0.37756782525786597</v>
      </c>
      <c r="J1013" s="10">
        <f t="shared" si="337"/>
        <v>1.2976335450745482</v>
      </c>
      <c r="K1013" s="4">
        <f t="shared" si="347"/>
        <v>-2.4018566952273637</v>
      </c>
      <c r="L1013" s="10">
        <f t="shared" si="348"/>
        <v>0.37756782525786597</v>
      </c>
      <c r="M1013" s="25">
        <v>415.27</v>
      </c>
      <c r="N1013" s="25">
        <v>-28.74</v>
      </c>
      <c r="O1013" s="19">
        <v>-238.48</v>
      </c>
      <c r="P1013" s="11">
        <v>2.4199999999999999E-2</v>
      </c>
      <c r="Q1013" s="11">
        <v>2.3E-3</v>
      </c>
      <c r="R1013" s="12">
        <f t="shared" si="331"/>
        <v>0.22496641241223886</v>
      </c>
      <c r="S1013" s="12">
        <f t="shared" si="332"/>
        <v>-1.5569472133136862E-2</v>
      </c>
      <c r="T1013" s="12">
        <f t="shared" si="333"/>
        <v>-0.12919303111727484</v>
      </c>
      <c r="U1013" s="12">
        <f t="shared" si="255"/>
        <v>5.4441871803761806E-3</v>
      </c>
      <c r="V1013" s="12">
        <f t="shared" si="352"/>
        <v>-3.7678122562191202E-4</v>
      </c>
      <c r="W1013" s="12">
        <f t="shared" si="353"/>
        <v>-3.1264713530380511E-3</v>
      </c>
      <c r="X1013" s="12">
        <f t="shared" si="354"/>
        <v>5.1742274854814938E-4</v>
      </c>
      <c r="Y1013" s="12">
        <f t="shared" si="355"/>
        <v>-3.5809785906214783E-5</v>
      </c>
      <c r="Z1013" s="12">
        <f t="shared" si="356"/>
        <v>-2.9714397156973215E-4</v>
      </c>
    </row>
    <row r="1014" spans="1:26" ht="13">
      <c r="A1014" s="24" t="str">
        <f t="shared" si="357"/>
        <v>VTO</v>
      </c>
      <c r="B1014" s="9">
        <v>2019</v>
      </c>
      <c r="C1014" s="25">
        <v>99.28</v>
      </c>
      <c r="D1014" s="25">
        <v>816.43</v>
      </c>
      <c r="E1014" s="25">
        <v>1975.71</v>
      </c>
      <c r="F1014" s="25">
        <v>464.29</v>
      </c>
      <c r="G1014" s="25">
        <v>393.13</v>
      </c>
      <c r="H1014" s="10">
        <f t="shared" si="335"/>
        <v>5.025028976924751E-2</v>
      </c>
      <c r="I1014" s="10">
        <f t="shared" si="336"/>
        <v>0.41323372357279153</v>
      </c>
      <c r="J1014" s="10">
        <f t="shared" si="337"/>
        <v>1.1810088265968002</v>
      </c>
      <c r="K1014" s="4">
        <f t="shared" si="347"/>
        <v>-2.1754181149030889</v>
      </c>
      <c r="L1014" s="10">
        <f t="shared" si="348"/>
        <v>0.41323372357279153</v>
      </c>
      <c r="M1014" s="25">
        <v>309.37</v>
      </c>
      <c r="N1014" s="25">
        <v>-246.03</v>
      </c>
      <c r="O1014" s="19">
        <v>-16.48</v>
      </c>
      <c r="P1014" s="11">
        <v>2.5399999999999999E-2</v>
      </c>
      <c r="Q1014" s="11">
        <v>3.0999999999999999E-3</v>
      </c>
      <c r="R1014" s="12">
        <f t="shared" si="331"/>
        <v>0.15658674603054093</v>
      </c>
      <c r="S1014" s="12">
        <f t="shared" si="332"/>
        <v>-0.12452738509194163</v>
      </c>
      <c r="T1014" s="12">
        <f t="shared" si="333"/>
        <v>-8.3413051510596199E-3</v>
      </c>
      <c r="U1014" s="12">
        <f t="shared" si="255"/>
        <v>3.9773033491757393E-3</v>
      </c>
      <c r="V1014" s="12">
        <f t="shared" si="352"/>
        <v>-3.1629955813353172E-3</v>
      </c>
      <c r="W1014" s="12">
        <f t="shared" si="353"/>
        <v>-2.1186915083691433E-4</v>
      </c>
      <c r="X1014" s="12">
        <f t="shared" si="354"/>
        <v>4.8541891269467688E-4</v>
      </c>
      <c r="Y1014" s="12">
        <f t="shared" si="355"/>
        <v>-3.8603489378501903E-4</v>
      </c>
      <c r="Z1014" s="12">
        <f t="shared" si="356"/>
        <v>-2.5858045968284821E-5</v>
      </c>
    </row>
    <row r="1015" spans="1:26" ht="13">
      <c r="A1015" s="24" t="str">
        <f t="shared" si="357"/>
        <v>VTO</v>
      </c>
      <c r="B1015" s="9">
        <v>2020</v>
      </c>
      <c r="C1015" s="25">
        <v>69.959999999999994</v>
      </c>
      <c r="D1015" s="25">
        <v>685.33</v>
      </c>
      <c r="E1015" s="26">
        <v>1786.07</v>
      </c>
      <c r="F1015" s="25">
        <v>535.79999999999995</v>
      </c>
      <c r="G1015" s="25">
        <v>353.44</v>
      </c>
      <c r="H1015" s="10">
        <f t="shared" si="335"/>
        <v>3.9169797376362628E-2</v>
      </c>
      <c r="I1015" s="10">
        <f t="shared" si="336"/>
        <v>0.38370836529363356</v>
      </c>
      <c r="J1015" s="10">
        <f t="shared" si="337"/>
        <v>1.5159574468085104</v>
      </c>
      <c r="K1015" s="4">
        <f t="shared" si="347"/>
        <v>-2.2951902358071545</v>
      </c>
      <c r="L1015" s="10">
        <f t="shared" si="348"/>
        <v>0.38370836529363356</v>
      </c>
      <c r="M1015" s="25">
        <v>284.38</v>
      </c>
      <c r="N1015" s="25">
        <v>-19.27</v>
      </c>
      <c r="O1015" s="19">
        <v>-181.52</v>
      </c>
      <c r="P1015" s="11">
        <v>1.8599999999999998E-2</v>
      </c>
      <c r="Q1015" s="11">
        <v>3.8509999999999998E-3</v>
      </c>
      <c r="R1015" s="12">
        <f t="shared" si="331"/>
        <v>0.15922108316023448</v>
      </c>
      <c r="S1015" s="12">
        <f t="shared" si="332"/>
        <v>-1.0789050821076441E-2</v>
      </c>
      <c r="T1015" s="12">
        <f t="shared" si="333"/>
        <v>-0.10163095511374136</v>
      </c>
      <c r="U1015" s="12">
        <f t="shared" si="255"/>
        <v>2.9615121467803612E-3</v>
      </c>
      <c r="V1015" s="12">
        <f t="shared" si="352"/>
        <v>-2.0067634527202178E-4</v>
      </c>
      <c r="W1015" s="12">
        <f t="shared" si="353"/>
        <v>-1.8903357651155891E-3</v>
      </c>
      <c r="X1015" s="12">
        <f t="shared" si="354"/>
        <v>6.1316039125006291E-4</v>
      </c>
      <c r="Y1015" s="12">
        <f t="shared" si="355"/>
        <v>-4.1548634711965375E-5</v>
      </c>
      <c r="Z1015" s="12">
        <f t="shared" si="356"/>
        <v>-3.9138080814301793E-4</v>
      </c>
    </row>
    <row r="1016" spans="1:26" ht="13">
      <c r="A1016" s="24" t="str">
        <f t="shared" si="357"/>
        <v>VTO</v>
      </c>
      <c r="B1016" s="9">
        <v>2021</v>
      </c>
      <c r="C1016" s="25">
        <v>129.31</v>
      </c>
      <c r="D1016" s="25">
        <v>608.39</v>
      </c>
      <c r="E1016" s="26">
        <v>1756.06</v>
      </c>
      <c r="F1016" s="25">
        <v>750.82</v>
      </c>
      <c r="G1016" s="25">
        <v>361.75</v>
      </c>
      <c r="H1016" s="10">
        <f t="shared" si="335"/>
        <v>7.3636436112661297E-2</v>
      </c>
      <c r="I1016" s="10">
        <f t="shared" si="336"/>
        <v>0.34645171577280959</v>
      </c>
      <c r="J1016" s="10">
        <f t="shared" si="337"/>
        <v>2.0755217691776089</v>
      </c>
      <c r="K1016" s="4">
        <f t="shared" si="347"/>
        <v>-2.6648912696786713</v>
      </c>
      <c r="L1016" s="10">
        <f t="shared" si="348"/>
        <v>0.34645171577280959</v>
      </c>
      <c r="M1016" s="25">
        <v>235.57</v>
      </c>
      <c r="N1016" s="25">
        <v>118.28</v>
      </c>
      <c r="O1016" s="19">
        <v>-135.94</v>
      </c>
      <c r="P1016" s="11">
        <v>1.9400000000000001E-2</v>
      </c>
      <c r="Q1016" s="11">
        <v>3.8509999999999998E-3</v>
      </c>
      <c r="R1016" s="12">
        <f t="shared" si="331"/>
        <v>0.13414689703085317</v>
      </c>
      <c r="S1016" s="12">
        <f t="shared" si="332"/>
        <v>6.7355329544548592E-2</v>
      </c>
      <c r="T1016" s="12">
        <f t="shared" si="333"/>
        <v>-7.7411933533022795E-2</v>
      </c>
      <c r="U1016" s="12">
        <f t="shared" si="255"/>
        <v>2.6024498023985514E-3</v>
      </c>
      <c r="V1016" s="12">
        <f t="shared" si="352"/>
        <v>1.3066933931642427E-3</v>
      </c>
      <c r="W1016" s="12">
        <f t="shared" si="353"/>
        <v>-1.5017915105406422E-3</v>
      </c>
      <c r="X1016" s="12">
        <f t="shared" si="354"/>
        <v>5.1659970046581552E-4</v>
      </c>
      <c r="Y1016" s="12">
        <f t="shared" si="355"/>
        <v>2.5938537407605664E-4</v>
      </c>
      <c r="Z1016" s="12">
        <f t="shared" si="356"/>
        <v>-2.9811335603567075E-4</v>
      </c>
    </row>
    <row r="1017" spans="1:26" ht="13">
      <c r="A1017" s="24"/>
      <c r="B1017" s="9"/>
      <c r="C1017" s="19"/>
      <c r="D1017" s="19"/>
      <c r="E1017" s="19"/>
      <c r="F1017" s="19"/>
      <c r="G1017" s="19"/>
      <c r="H1017" s="19"/>
      <c r="I1017" s="19"/>
      <c r="J1017" s="19"/>
      <c r="K1017" s="4"/>
      <c r="L1017" s="10"/>
      <c r="M1017" s="19"/>
      <c r="N1017" s="19"/>
      <c r="O1017" s="19"/>
      <c r="P1017" s="11"/>
      <c r="Q1017" s="11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spans="1:26" ht="13">
      <c r="A1018" s="24"/>
      <c r="B1018" s="9"/>
      <c r="C1018" s="19"/>
      <c r="D1018" s="19"/>
      <c r="E1018" s="19"/>
      <c r="F1018" s="19"/>
      <c r="G1018" s="19"/>
      <c r="H1018" s="19"/>
      <c r="I1018" s="19"/>
      <c r="J1018" s="19"/>
      <c r="K1018" s="4"/>
      <c r="L1018" s="10"/>
      <c r="M1018" s="19"/>
      <c r="N1018" s="19"/>
      <c r="O1018" s="19"/>
      <c r="P1018" s="11"/>
      <c r="Q1018" s="11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spans="1:26" ht="13">
      <c r="A1019" s="24"/>
      <c r="B1019" s="9"/>
      <c r="C1019" s="19"/>
      <c r="D1019" s="19"/>
      <c r="E1019" s="19"/>
      <c r="F1019" s="19"/>
      <c r="G1019" s="19"/>
      <c r="H1019" s="19"/>
      <c r="I1019" s="19"/>
      <c r="J1019" s="19"/>
      <c r="K1019" s="4"/>
      <c r="L1019" s="10"/>
      <c r="M1019" s="19"/>
      <c r="N1019" s="19"/>
      <c r="O1019" s="19"/>
      <c r="P1019" s="11"/>
      <c r="Q1019" s="11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spans="1:26" ht="13">
      <c r="A1020" s="24"/>
      <c r="B1020" s="9"/>
      <c r="C1020" s="19"/>
      <c r="D1020" s="19"/>
      <c r="E1020" s="19"/>
      <c r="F1020" s="19"/>
      <c r="G1020" s="19"/>
      <c r="H1020" s="19"/>
      <c r="I1020" s="19"/>
      <c r="J1020" s="19"/>
      <c r="K1020" s="4"/>
      <c r="L1020" s="10"/>
      <c r="M1020" s="19"/>
      <c r="N1020" s="19"/>
      <c r="O1020" s="19"/>
      <c r="P1020" s="11"/>
      <c r="Q1020" s="11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spans="1:26" ht="13">
      <c r="A1021" s="24"/>
      <c r="B1021" s="9"/>
      <c r="C1021" s="19"/>
      <c r="D1021" s="19"/>
      <c r="E1021" s="19"/>
      <c r="F1021" s="19"/>
      <c r="G1021" s="19"/>
      <c r="H1021" s="19"/>
      <c r="I1021" s="19"/>
      <c r="J1021" s="19"/>
      <c r="K1021" s="4"/>
      <c r="L1021" s="10"/>
      <c r="M1021" s="19"/>
      <c r="N1021" s="19"/>
      <c r="O1021" s="19"/>
      <c r="P1021" s="11"/>
      <c r="Q1021" s="11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spans="1:26" ht="13">
      <c r="A1022" s="24"/>
      <c r="B1022" s="9"/>
      <c r="C1022" s="19"/>
      <c r="D1022" s="19"/>
      <c r="E1022" s="19"/>
      <c r="F1022" s="19"/>
      <c r="G1022" s="19"/>
      <c r="H1022" s="19"/>
      <c r="I1022" s="19"/>
      <c r="J1022" s="19"/>
      <c r="K1022" s="4"/>
      <c r="L1022" s="10"/>
      <c r="M1022" s="19"/>
      <c r="N1022" s="19"/>
      <c r="O1022" s="19"/>
      <c r="P1022" s="11"/>
      <c r="Q1022" s="11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spans="1:26" ht="13">
      <c r="A1023" s="24"/>
      <c r="B1023" s="9"/>
      <c r="C1023" s="19"/>
      <c r="D1023" s="19"/>
      <c r="E1023" s="19"/>
      <c r="F1023" s="19"/>
      <c r="G1023" s="19"/>
      <c r="H1023" s="19"/>
      <c r="I1023" s="19"/>
      <c r="J1023" s="19"/>
      <c r="K1023" s="4"/>
      <c r="L1023" s="10"/>
      <c r="M1023" s="19"/>
      <c r="N1023" s="19"/>
      <c r="O1023" s="19"/>
      <c r="P1023" s="11"/>
      <c r="Q1023" s="11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spans="1:26" ht="13">
      <c r="A1024" s="24"/>
      <c r="B1024" s="9"/>
      <c r="C1024" s="19"/>
      <c r="D1024" s="19"/>
      <c r="E1024" s="19"/>
      <c r="F1024" s="19"/>
      <c r="G1024" s="19"/>
      <c r="H1024" s="19"/>
      <c r="I1024" s="19"/>
      <c r="J1024" s="19"/>
      <c r="K1024" s="4"/>
      <c r="L1024" s="10"/>
      <c r="M1024" s="19"/>
      <c r="N1024" s="19"/>
      <c r="O1024" s="19"/>
      <c r="P1024" s="11"/>
      <c r="Q1024" s="11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spans="1:26" ht="13">
      <c r="A1025" s="24"/>
      <c r="B1025" s="9"/>
      <c r="C1025" s="19"/>
      <c r="D1025" s="19"/>
      <c r="E1025" s="19"/>
      <c r="F1025" s="19"/>
      <c r="G1025" s="19"/>
      <c r="H1025" s="19"/>
      <c r="I1025" s="19"/>
      <c r="J1025" s="19"/>
      <c r="K1025" s="4"/>
      <c r="L1025" s="10"/>
      <c r="M1025" s="19"/>
      <c r="N1025" s="19"/>
      <c r="O1025" s="19"/>
      <c r="P1025" s="11"/>
      <c r="Q1025" s="11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spans="1:26" ht="13">
      <c r="A1026" s="24"/>
      <c r="B1026" s="9"/>
      <c r="C1026" s="19"/>
      <c r="D1026" s="19"/>
      <c r="E1026" s="19"/>
      <c r="F1026" s="19"/>
      <c r="G1026" s="19"/>
      <c r="H1026" s="19"/>
      <c r="I1026" s="19"/>
      <c r="J1026" s="19"/>
      <c r="K1026" s="4"/>
      <c r="L1026" s="10"/>
      <c r="M1026" s="19"/>
      <c r="N1026" s="19"/>
      <c r="O1026" s="19"/>
      <c r="P1026" s="11"/>
      <c r="Q1026" s="11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spans="1:26" ht="13">
      <c r="A1027" s="24"/>
      <c r="B1027" s="9"/>
      <c r="C1027" s="19"/>
      <c r="D1027" s="19"/>
      <c r="E1027" s="19"/>
      <c r="F1027" s="19"/>
      <c r="G1027" s="19"/>
      <c r="H1027" s="19"/>
      <c r="I1027" s="19"/>
      <c r="J1027" s="19"/>
      <c r="K1027" s="4"/>
      <c r="L1027" s="10"/>
      <c r="M1027" s="19"/>
      <c r="N1027" s="19"/>
      <c r="O1027" s="19"/>
      <c r="P1027" s="11"/>
      <c r="Q1027" s="11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spans="1:26" ht="13">
      <c r="A1028" s="24"/>
      <c r="B1028" s="9"/>
      <c r="C1028" s="19"/>
      <c r="D1028" s="19"/>
      <c r="E1028" s="19"/>
      <c r="F1028" s="19"/>
      <c r="G1028" s="19"/>
      <c r="H1028" s="19"/>
      <c r="I1028" s="19"/>
      <c r="J1028" s="19"/>
      <c r="K1028" s="4"/>
      <c r="L1028" s="10"/>
      <c r="M1028" s="19"/>
      <c r="N1028" s="19"/>
      <c r="O1028" s="19"/>
      <c r="P1028" s="11"/>
      <c r="Q1028" s="11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spans="1:26" ht="13">
      <c r="A1029" s="24"/>
      <c r="B1029" s="9"/>
      <c r="C1029" s="19"/>
      <c r="D1029" s="19"/>
      <c r="E1029" s="19"/>
      <c r="F1029" s="19"/>
      <c r="G1029" s="19"/>
      <c r="H1029" s="19"/>
      <c r="I1029" s="19"/>
      <c r="J1029" s="19"/>
      <c r="K1029" s="4"/>
      <c r="L1029" s="10"/>
      <c r="M1029" s="19"/>
      <c r="N1029" s="19"/>
      <c r="O1029" s="19"/>
      <c r="P1029" s="11"/>
      <c r="Q1029" s="11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spans="1:26" ht="13">
      <c r="A1030" s="24"/>
      <c r="B1030" s="9"/>
      <c r="C1030" s="19"/>
      <c r="D1030" s="19"/>
      <c r="E1030" s="19"/>
      <c r="F1030" s="19"/>
      <c r="G1030" s="19"/>
      <c r="H1030" s="19"/>
      <c r="I1030" s="19"/>
      <c r="J1030" s="19"/>
      <c r="K1030" s="4"/>
      <c r="L1030" s="10"/>
      <c r="M1030" s="19"/>
      <c r="N1030" s="19"/>
      <c r="O1030" s="19"/>
      <c r="P1030" s="11"/>
      <c r="Q1030" s="11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spans="1:26" ht="13">
      <c r="A1031" s="24"/>
      <c r="B1031" s="9"/>
      <c r="C1031" s="19"/>
      <c r="D1031" s="19"/>
      <c r="E1031" s="19"/>
      <c r="F1031" s="19"/>
      <c r="G1031" s="19"/>
      <c r="H1031" s="19"/>
      <c r="I1031" s="19"/>
      <c r="J1031" s="19"/>
      <c r="K1031" s="4"/>
      <c r="L1031" s="10"/>
      <c r="M1031" s="19"/>
      <c r="N1031" s="19"/>
      <c r="O1031" s="19"/>
      <c r="P1031" s="11"/>
      <c r="Q1031" s="11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spans="1:26" ht="13">
      <c r="A1032" s="24"/>
      <c r="B1032" s="9"/>
      <c r="C1032" s="19"/>
      <c r="D1032" s="19"/>
      <c r="E1032" s="19"/>
      <c r="F1032" s="19"/>
      <c r="G1032" s="19"/>
      <c r="H1032" s="19"/>
      <c r="I1032" s="19"/>
      <c r="J1032" s="19"/>
      <c r="K1032" s="4"/>
      <c r="L1032" s="10"/>
      <c r="M1032" s="19"/>
      <c r="N1032" s="19"/>
      <c r="O1032" s="19"/>
      <c r="P1032" s="11"/>
      <c r="Q1032" s="11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spans="1:26" ht="13">
      <c r="A1033" s="24"/>
      <c r="B1033" s="9"/>
      <c r="C1033" s="19"/>
      <c r="D1033" s="19"/>
      <c r="E1033" s="19"/>
      <c r="F1033" s="19"/>
      <c r="G1033" s="19"/>
      <c r="H1033" s="19"/>
      <c r="I1033" s="19"/>
      <c r="J1033" s="19"/>
      <c r="K1033" s="4"/>
      <c r="L1033" s="10"/>
      <c r="M1033" s="19"/>
      <c r="N1033" s="19"/>
      <c r="O1033" s="19"/>
      <c r="P1033" s="11"/>
      <c r="Q1033" s="11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spans="1:26" ht="13">
      <c r="A1034" s="24"/>
      <c r="B1034" s="9"/>
      <c r="C1034" s="19"/>
      <c r="D1034" s="19"/>
      <c r="E1034" s="19"/>
      <c r="F1034" s="19"/>
      <c r="G1034" s="19"/>
      <c r="H1034" s="19"/>
      <c r="I1034" s="19"/>
      <c r="J1034" s="19"/>
      <c r="K1034" s="4"/>
      <c r="L1034" s="10"/>
      <c r="M1034" s="19"/>
      <c r="N1034" s="19"/>
      <c r="O1034" s="19"/>
      <c r="P1034" s="11"/>
      <c r="Q1034" s="11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spans="1:26" ht="13">
      <c r="A1035" s="24"/>
      <c r="B1035" s="9"/>
      <c r="C1035" s="19"/>
      <c r="D1035" s="19"/>
      <c r="E1035" s="19"/>
      <c r="F1035" s="19"/>
      <c r="G1035" s="19"/>
      <c r="H1035" s="19"/>
      <c r="I1035" s="19"/>
      <c r="J1035" s="19"/>
      <c r="K1035" s="4"/>
      <c r="L1035" s="10"/>
      <c r="M1035" s="19"/>
      <c r="N1035" s="19"/>
      <c r="O1035" s="19"/>
      <c r="P1035" s="11"/>
      <c r="Q1035" s="11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spans="1:26" ht="13">
      <c r="A1036" s="24"/>
      <c r="B1036" s="9"/>
      <c r="C1036" s="19"/>
      <c r="D1036" s="19"/>
      <c r="E1036" s="19"/>
      <c r="F1036" s="19"/>
      <c r="G1036" s="19"/>
      <c r="H1036" s="19"/>
      <c r="I1036" s="19"/>
      <c r="J1036" s="19"/>
      <c r="K1036" s="4"/>
      <c r="L1036" s="10"/>
      <c r="M1036" s="19"/>
      <c r="N1036" s="19"/>
      <c r="O1036" s="19"/>
      <c r="P1036" s="11"/>
      <c r="Q1036" s="11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spans="1:26" ht="13">
      <c r="A1037" s="24"/>
      <c r="B1037" s="9"/>
      <c r="C1037" s="19"/>
      <c r="D1037" s="19"/>
      <c r="E1037" s="19"/>
      <c r="F1037" s="19"/>
      <c r="G1037" s="19"/>
      <c r="H1037" s="19"/>
      <c r="I1037" s="19"/>
      <c r="J1037" s="19"/>
      <c r="K1037" s="4"/>
      <c r="L1037" s="10"/>
      <c r="M1037" s="19"/>
      <c r="N1037" s="19"/>
      <c r="O1037" s="19"/>
      <c r="P1037" s="11"/>
      <c r="Q1037" s="11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spans="1:26" ht="13">
      <c r="A1038" s="24"/>
      <c r="B1038" s="9"/>
      <c r="C1038" s="19"/>
      <c r="D1038" s="19"/>
      <c r="E1038" s="19"/>
      <c r="F1038" s="19"/>
      <c r="G1038" s="19"/>
      <c r="H1038" s="19"/>
      <c r="I1038" s="19"/>
      <c r="J1038" s="19"/>
      <c r="K1038" s="4"/>
      <c r="L1038" s="10"/>
      <c r="M1038" s="19"/>
      <c r="N1038" s="19"/>
      <c r="O1038" s="19"/>
      <c r="P1038" s="11"/>
      <c r="Q1038" s="11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 spans="1:26" ht="13">
      <c r="A1039" s="24"/>
      <c r="B1039" s="9"/>
      <c r="C1039" s="19"/>
      <c r="D1039" s="19"/>
      <c r="E1039" s="19"/>
      <c r="F1039" s="19"/>
      <c r="G1039" s="19"/>
      <c r="H1039" s="19"/>
      <c r="I1039" s="19"/>
      <c r="J1039" s="19"/>
      <c r="K1039" s="4"/>
      <c r="L1039" s="10"/>
      <c r="M1039" s="19"/>
      <c r="N1039" s="19"/>
      <c r="O1039" s="19"/>
      <c r="P1039" s="11"/>
      <c r="Q1039" s="11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 spans="1:26" ht="13">
      <c r="A1040" s="24"/>
      <c r="B1040" s="9"/>
      <c r="C1040" s="19"/>
      <c r="D1040" s="19"/>
      <c r="E1040" s="19"/>
      <c r="F1040" s="19"/>
      <c r="G1040" s="19"/>
      <c r="H1040" s="19"/>
      <c r="I1040" s="19"/>
      <c r="J1040" s="19"/>
      <c r="K1040" s="4"/>
      <c r="L1040" s="10"/>
      <c r="M1040" s="19"/>
      <c r="N1040" s="19"/>
      <c r="O1040" s="19"/>
      <c r="P1040" s="11"/>
      <c r="Q1040" s="11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 spans="1:26" ht="13">
      <c r="A1041" s="24"/>
      <c r="B1041" s="9"/>
      <c r="C1041" s="19"/>
      <c r="D1041" s="19"/>
      <c r="E1041" s="19"/>
      <c r="F1041" s="19"/>
      <c r="G1041" s="19"/>
      <c r="H1041" s="19"/>
      <c r="I1041" s="19"/>
      <c r="J1041" s="19"/>
      <c r="K1041" s="4"/>
      <c r="L1041" s="10"/>
      <c r="M1041" s="19"/>
      <c r="N1041" s="19"/>
      <c r="O1041" s="19"/>
      <c r="P1041" s="11"/>
      <c r="Q1041" s="11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 spans="1:26" ht="13">
      <c r="A1042" s="24"/>
      <c r="B1042" s="9"/>
      <c r="C1042" s="19"/>
      <c r="D1042" s="19"/>
      <c r="E1042" s="19"/>
      <c r="F1042" s="19"/>
      <c r="G1042" s="19"/>
      <c r="H1042" s="19"/>
      <c r="I1042" s="19"/>
      <c r="J1042" s="19"/>
      <c r="K1042" s="4"/>
      <c r="L1042" s="10"/>
      <c r="M1042" s="19"/>
      <c r="N1042" s="19"/>
      <c r="O1042" s="19"/>
      <c r="P1042" s="11"/>
      <c r="Q1042" s="11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 spans="1:26" ht="13">
      <c r="A1043" s="24"/>
      <c r="B1043" s="9"/>
      <c r="C1043" s="19"/>
      <c r="D1043" s="19"/>
      <c r="E1043" s="19"/>
      <c r="F1043" s="19"/>
      <c r="G1043" s="19"/>
      <c r="H1043" s="19"/>
      <c r="I1043" s="19"/>
      <c r="J1043" s="19"/>
      <c r="K1043" s="4"/>
      <c r="L1043" s="10"/>
      <c r="M1043" s="19"/>
      <c r="N1043" s="19"/>
      <c r="O1043" s="19"/>
      <c r="P1043" s="11"/>
      <c r="Q1043" s="11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 spans="1:26" ht="13">
      <c r="A1044" s="24"/>
      <c r="B1044" s="9"/>
      <c r="C1044" s="19"/>
      <c r="D1044" s="19"/>
      <c r="E1044" s="19"/>
      <c r="F1044" s="19"/>
      <c r="G1044" s="19"/>
      <c r="H1044" s="19"/>
      <c r="I1044" s="19"/>
      <c r="J1044" s="19"/>
      <c r="K1044" s="4"/>
      <c r="L1044" s="10"/>
      <c r="M1044" s="19"/>
      <c r="N1044" s="19"/>
      <c r="O1044" s="19"/>
      <c r="P1044" s="11"/>
      <c r="Q1044" s="11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 spans="1:26" ht="13">
      <c r="A1045" s="24"/>
      <c r="B1045" s="9"/>
      <c r="C1045" s="19"/>
      <c r="D1045" s="19"/>
      <c r="E1045" s="19"/>
      <c r="F1045" s="19"/>
      <c r="G1045" s="19"/>
      <c r="H1045" s="19"/>
      <c r="I1045" s="19"/>
      <c r="J1045" s="19"/>
      <c r="K1045" s="4"/>
      <c r="L1045" s="10"/>
      <c r="M1045" s="19"/>
      <c r="N1045" s="19"/>
      <c r="O1045" s="19"/>
      <c r="P1045" s="11"/>
      <c r="Q1045" s="11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 spans="1:26" ht="13">
      <c r="A1046" s="24"/>
      <c r="B1046" s="9"/>
      <c r="C1046" s="19"/>
      <c r="D1046" s="19"/>
      <c r="E1046" s="19"/>
      <c r="F1046" s="19"/>
      <c r="G1046" s="19"/>
      <c r="H1046" s="19"/>
      <c r="I1046" s="19"/>
      <c r="J1046" s="19"/>
      <c r="K1046" s="4"/>
      <c r="L1046" s="10"/>
      <c r="M1046" s="19"/>
      <c r="N1046" s="19"/>
      <c r="O1046" s="19"/>
      <c r="P1046" s="11"/>
      <c r="Q1046" s="11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 spans="1:26" ht="13">
      <c r="A1047" s="24"/>
      <c r="B1047" s="9"/>
      <c r="C1047" s="19"/>
      <c r="D1047" s="19"/>
      <c r="E1047" s="19"/>
      <c r="F1047" s="19"/>
      <c r="G1047" s="19"/>
      <c r="H1047" s="19"/>
      <c r="I1047" s="19"/>
      <c r="J1047" s="19"/>
      <c r="K1047" s="4"/>
      <c r="L1047" s="10"/>
      <c r="M1047" s="19"/>
      <c r="N1047" s="19"/>
      <c r="O1047" s="19"/>
      <c r="P1047" s="11"/>
      <c r="Q1047" s="11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 spans="1:26" ht="13">
      <c r="A1048" s="24"/>
      <c r="B1048" s="9"/>
      <c r="C1048" s="19"/>
      <c r="D1048" s="19"/>
      <c r="E1048" s="19"/>
      <c r="F1048" s="19"/>
      <c r="G1048" s="19"/>
      <c r="H1048" s="19"/>
      <c r="I1048" s="19"/>
      <c r="J1048" s="19"/>
      <c r="K1048" s="4"/>
      <c r="L1048" s="10"/>
      <c r="M1048" s="19"/>
      <c r="N1048" s="19"/>
      <c r="O1048" s="19"/>
      <c r="P1048" s="11"/>
      <c r="Q1048" s="11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 spans="1:26" ht="13">
      <c r="A1049" s="24"/>
      <c r="B1049" s="9"/>
      <c r="C1049" s="19"/>
      <c r="D1049" s="19"/>
      <c r="E1049" s="19"/>
      <c r="F1049" s="19"/>
      <c r="G1049" s="19"/>
      <c r="H1049" s="19"/>
      <c r="I1049" s="19"/>
      <c r="J1049" s="19"/>
      <c r="K1049" s="4"/>
      <c r="L1049" s="10"/>
      <c r="M1049" s="19"/>
      <c r="N1049" s="19"/>
      <c r="O1049" s="19"/>
      <c r="P1049" s="11"/>
      <c r="Q1049" s="11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 spans="1:26" ht="13">
      <c r="A1050" s="24"/>
      <c r="B1050" s="9"/>
      <c r="C1050" s="19"/>
      <c r="D1050" s="19"/>
      <c r="E1050" s="19"/>
      <c r="F1050" s="19"/>
      <c r="G1050" s="19"/>
      <c r="H1050" s="19"/>
      <c r="I1050" s="19"/>
      <c r="J1050" s="19"/>
      <c r="K1050" s="4"/>
      <c r="L1050" s="10"/>
      <c r="M1050" s="19"/>
      <c r="N1050" s="19"/>
      <c r="O1050" s="19"/>
      <c r="P1050" s="11"/>
      <c r="Q1050" s="11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 spans="1:26" ht="13">
      <c r="A1051" s="24"/>
      <c r="B1051" s="9"/>
      <c r="C1051" s="19"/>
      <c r="D1051" s="19"/>
      <c r="E1051" s="19"/>
      <c r="F1051" s="19"/>
      <c r="G1051" s="19"/>
      <c r="H1051" s="19"/>
      <c r="I1051" s="19"/>
      <c r="J1051" s="19"/>
      <c r="K1051" s="4"/>
      <c r="L1051" s="10"/>
      <c r="M1051" s="19"/>
      <c r="N1051" s="19"/>
      <c r="O1051" s="19"/>
      <c r="P1051" s="11"/>
      <c r="Q1051" s="11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 spans="1:26" ht="13">
      <c r="A1052" s="24"/>
      <c r="B1052" s="9"/>
      <c r="C1052" s="19"/>
      <c r="D1052" s="19"/>
      <c r="E1052" s="19"/>
      <c r="F1052" s="19"/>
      <c r="G1052" s="19"/>
      <c r="H1052" s="19"/>
      <c r="I1052" s="19"/>
      <c r="J1052" s="19"/>
      <c r="K1052" s="4"/>
      <c r="L1052" s="10"/>
      <c r="M1052" s="19"/>
      <c r="N1052" s="19"/>
      <c r="O1052" s="19"/>
      <c r="P1052" s="11"/>
      <c r="Q1052" s="11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 spans="1:26" ht="13">
      <c r="A1053" s="24"/>
      <c r="B1053" s="9"/>
      <c r="C1053" s="19"/>
      <c r="D1053" s="19"/>
      <c r="E1053" s="19"/>
      <c r="F1053" s="19"/>
      <c r="G1053" s="19"/>
      <c r="H1053" s="19"/>
      <c r="I1053" s="19"/>
      <c r="J1053" s="19"/>
      <c r="K1053" s="4"/>
      <c r="L1053" s="10"/>
      <c r="M1053" s="19"/>
      <c r="N1053" s="19"/>
      <c r="O1053" s="19"/>
      <c r="P1053" s="11"/>
      <c r="Q1053" s="11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 spans="1:26" ht="13">
      <c r="A1054" s="24"/>
      <c r="B1054" s="9"/>
      <c r="C1054" s="19"/>
      <c r="D1054" s="19"/>
      <c r="E1054" s="19"/>
      <c r="F1054" s="19"/>
      <c r="G1054" s="19"/>
      <c r="H1054" s="19"/>
      <c r="I1054" s="19"/>
      <c r="J1054" s="19"/>
      <c r="K1054" s="4"/>
      <c r="L1054" s="10"/>
      <c r="M1054" s="19"/>
      <c r="N1054" s="19"/>
      <c r="O1054" s="19"/>
      <c r="P1054" s="11"/>
      <c r="Q1054" s="11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 spans="1:26" ht="13">
      <c r="A1055" s="24"/>
      <c r="B1055" s="9"/>
      <c r="C1055" s="19"/>
      <c r="D1055" s="19"/>
      <c r="E1055" s="19"/>
      <c r="F1055" s="19"/>
      <c r="G1055" s="19"/>
      <c r="H1055" s="19"/>
      <c r="I1055" s="19"/>
      <c r="J1055" s="19"/>
      <c r="K1055" s="4"/>
      <c r="L1055" s="10"/>
      <c r="M1055" s="19"/>
      <c r="N1055" s="19"/>
      <c r="O1055" s="19"/>
      <c r="P1055" s="11"/>
      <c r="Q1055" s="11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 spans="1:26" ht="13">
      <c r="A1056" s="24"/>
      <c r="B1056" s="9"/>
      <c r="C1056" s="19"/>
      <c r="D1056" s="19"/>
      <c r="E1056" s="19"/>
      <c r="F1056" s="19"/>
      <c r="G1056" s="19"/>
      <c r="H1056" s="19"/>
      <c r="I1056" s="19"/>
      <c r="J1056" s="19"/>
      <c r="K1056" s="4"/>
      <c r="L1056" s="10"/>
      <c r="M1056" s="19"/>
      <c r="N1056" s="19"/>
      <c r="O1056" s="19"/>
      <c r="P1056" s="11"/>
      <c r="Q1056" s="11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 spans="1:26" ht="13">
      <c r="A1057" s="24"/>
      <c r="B1057" s="9"/>
      <c r="C1057" s="19"/>
      <c r="D1057" s="19"/>
      <c r="E1057" s="19"/>
      <c r="F1057" s="19"/>
      <c r="G1057" s="19"/>
      <c r="H1057" s="19"/>
      <c r="I1057" s="19"/>
      <c r="J1057" s="19"/>
      <c r="K1057" s="4"/>
      <c r="L1057" s="10"/>
      <c r="M1057" s="19"/>
      <c r="N1057" s="19"/>
      <c r="O1057" s="19"/>
      <c r="P1057" s="11"/>
      <c r="Q1057" s="11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 spans="1:26" ht="13">
      <c r="A1058" s="24"/>
      <c r="B1058" s="9"/>
      <c r="C1058" s="19"/>
      <c r="D1058" s="19"/>
      <c r="E1058" s="19"/>
      <c r="F1058" s="19"/>
      <c r="G1058" s="19"/>
      <c r="H1058" s="19"/>
      <c r="I1058" s="19"/>
      <c r="J1058" s="19"/>
      <c r="K1058" s="4"/>
      <c r="L1058" s="10"/>
      <c r="M1058" s="19"/>
      <c r="N1058" s="19"/>
      <c r="O1058" s="19"/>
      <c r="P1058" s="11"/>
      <c r="Q1058" s="11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 spans="1:26" ht="13">
      <c r="A1059" s="24"/>
      <c r="B1059" s="9"/>
      <c r="C1059" s="19"/>
      <c r="D1059" s="19"/>
      <c r="E1059" s="19"/>
      <c r="F1059" s="19"/>
      <c r="G1059" s="19"/>
      <c r="H1059" s="19"/>
      <c r="I1059" s="19"/>
      <c r="J1059" s="19"/>
      <c r="K1059" s="4"/>
      <c r="L1059" s="10"/>
      <c r="M1059" s="19"/>
      <c r="N1059" s="19"/>
      <c r="O1059" s="19"/>
      <c r="P1059" s="11"/>
      <c r="Q1059" s="11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 spans="1:26" ht="13">
      <c r="A1060" s="24"/>
      <c r="B1060" s="9"/>
      <c r="C1060" s="19"/>
      <c r="D1060" s="19"/>
      <c r="E1060" s="19"/>
      <c r="F1060" s="19"/>
      <c r="G1060" s="19"/>
      <c r="H1060" s="19"/>
      <c r="I1060" s="19"/>
      <c r="J1060" s="19"/>
      <c r="K1060" s="4"/>
      <c r="L1060" s="10"/>
      <c r="M1060" s="19"/>
      <c r="N1060" s="19"/>
      <c r="O1060" s="19"/>
      <c r="P1060" s="11"/>
      <c r="Q1060" s="11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 spans="1:26" ht="13">
      <c r="A1061" s="24"/>
      <c r="B1061" s="9"/>
      <c r="C1061" s="19"/>
      <c r="D1061" s="19"/>
      <c r="E1061" s="19"/>
      <c r="F1061" s="19"/>
      <c r="G1061" s="19"/>
      <c r="H1061" s="19"/>
      <c r="I1061" s="19"/>
      <c r="J1061" s="19"/>
      <c r="K1061" s="4"/>
      <c r="L1061" s="10"/>
      <c r="M1061" s="19"/>
      <c r="N1061" s="19"/>
      <c r="O1061" s="19"/>
      <c r="P1061" s="11"/>
      <c r="Q1061" s="11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 spans="1:26" ht="13">
      <c r="A1062" s="24"/>
      <c r="B1062" s="9"/>
      <c r="C1062" s="19"/>
      <c r="D1062" s="19"/>
      <c r="E1062" s="19"/>
      <c r="F1062" s="19"/>
      <c r="G1062" s="19"/>
      <c r="H1062" s="19"/>
      <c r="I1062" s="19"/>
      <c r="J1062" s="19"/>
      <c r="K1062" s="4"/>
      <c r="L1062" s="10"/>
      <c r="M1062" s="19"/>
      <c r="N1062" s="19"/>
      <c r="O1062" s="19"/>
      <c r="P1062" s="11"/>
      <c r="Q1062" s="11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 spans="1:26" ht="13">
      <c r="A1063" s="24"/>
      <c r="B1063" s="9"/>
      <c r="C1063" s="19"/>
      <c r="D1063" s="19"/>
      <c r="E1063" s="19"/>
      <c r="F1063" s="19"/>
      <c r="G1063" s="19"/>
      <c r="H1063" s="19"/>
      <c r="I1063" s="19"/>
      <c r="J1063" s="19"/>
      <c r="K1063" s="4"/>
      <c r="L1063" s="10"/>
      <c r="M1063" s="19"/>
      <c r="N1063" s="19"/>
      <c r="O1063" s="19"/>
      <c r="P1063" s="11"/>
      <c r="Q1063" s="11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 spans="1:26" ht="13">
      <c r="A1064" s="24"/>
      <c r="B1064" s="9"/>
      <c r="C1064" s="19"/>
      <c r="D1064" s="19"/>
      <c r="E1064" s="19"/>
      <c r="F1064" s="19"/>
      <c r="G1064" s="19"/>
      <c r="H1064" s="19"/>
      <c r="I1064" s="19"/>
      <c r="J1064" s="19"/>
      <c r="K1064" s="4"/>
      <c r="L1064" s="10"/>
      <c r="M1064" s="19"/>
      <c r="N1064" s="19"/>
      <c r="O1064" s="19"/>
      <c r="P1064" s="11"/>
      <c r="Q1064" s="11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 spans="1:26" ht="13">
      <c r="A1065" s="24"/>
      <c r="B1065" s="9"/>
      <c r="C1065" s="19"/>
      <c r="D1065" s="19"/>
      <c r="E1065" s="19"/>
      <c r="F1065" s="19"/>
      <c r="G1065" s="19"/>
      <c r="H1065" s="19"/>
      <c r="I1065" s="19"/>
      <c r="J1065" s="19"/>
      <c r="K1065" s="4"/>
      <c r="L1065" s="10"/>
      <c r="M1065" s="19"/>
      <c r="N1065" s="19"/>
      <c r="O1065" s="19"/>
      <c r="P1065" s="11"/>
      <c r="Q1065" s="11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 spans="1:26" ht="13">
      <c r="A1066" s="24"/>
      <c r="B1066" s="9"/>
      <c r="C1066" s="19"/>
      <c r="D1066" s="19"/>
      <c r="E1066" s="19"/>
      <c r="F1066" s="19"/>
      <c r="G1066" s="19"/>
      <c r="H1066" s="19"/>
      <c r="I1066" s="19"/>
      <c r="J1066" s="19"/>
      <c r="K1066" s="4"/>
      <c r="L1066" s="10"/>
      <c r="M1066" s="19"/>
      <c r="N1066" s="19"/>
      <c r="O1066" s="19"/>
      <c r="P1066" s="11"/>
      <c r="Q1066" s="11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 spans="1:26" ht="13">
      <c r="A1067" s="24"/>
      <c r="B1067" s="9"/>
      <c r="C1067" s="19"/>
      <c r="D1067" s="19"/>
      <c r="E1067" s="19"/>
      <c r="F1067" s="19"/>
      <c r="G1067" s="19"/>
      <c r="H1067" s="19"/>
      <c r="I1067" s="19"/>
      <c r="J1067" s="19"/>
      <c r="K1067" s="4"/>
      <c r="L1067" s="10"/>
      <c r="M1067" s="19"/>
      <c r="N1067" s="19"/>
      <c r="O1067" s="19"/>
      <c r="P1067" s="11"/>
      <c r="Q1067" s="11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 spans="1:26" ht="13">
      <c r="A1068" s="24"/>
      <c r="B1068" s="9"/>
      <c r="C1068" s="19"/>
      <c r="D1068" s="19"/>
      <c r="E1068" s="19"/>
      <c r="F1068" s="19"/>
      <c r="G1068" s="19"/>
      <c r="H1068" s="19"/>
      <c r="I1068" s="19"/>
      <c r="J1068" s="19"/>
      <c r="K1068" s="4"/>
      <c r="L1068" s="10"/>
      <c r="M1068" s="19"/>
      <c r="N1068" s="19"/>
      <c r="O1068" s="19"/>
      <c r="P1068" s="11"/>
      <c r="Q1068" s="11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 spans="1:26" ht="13">
      <c r="A1069" s="24"/>
      <c r="B1069" s="9"/>
      <c r="C1069" s="19"/>
      <c r="D1069" s="19"/>
      <c r="E1069" s="19"/>
      <c r="F1069" s="19"/>
      <c r="G1069" s="19"/>
      <c r="H1069" s="19"/>
      <c r="I1069" s="19"/>
      <c r="J1069" s="19"/>
      <c r="K1069" s="4"/>
      <c r="L1069" s="10"/>
      <c r="M1069" s="19"/>
      <c r="N1069" s="19"/>
      <c r="O1069" s="19"/>
      <c r="P1069" s="11"/>
      <c r="Q1069" s="11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 spans="1:26" ht="13">
      <c r="A1070" s="24"/>
      <c r="B1070" s="9"/>
      <c r="C1070" s="19"/>
      <c r="D1070" s="19"/>
      <c r="E1070" s="19"/>
      <c r="F1070" s="19"/>
      <c r="G1070" s="19"/>
      <c r="H1070" s="19"/>
      <c r="I1070" s="19"/>
      <c r="J1070" s="19"/>
      <c r="K1070" s="4"/>
      <c r="L1070" s="10"/>
      <c r="M1070" s="19"/>
      <c r="N1070" s="19"/>
      <c r="O1070" s="19"/>
      <c r="P1070" s="11"/>
      <c r="Q1070" s="11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 spans="1:26" ht="13">
      <c r="A1071" s="24"/>
      <c r="B1071" s="9"/>
      <c r="C1071" s="19"/>
      <c r="D1071" s="19"/>
      <c r="E1071" s="19"/>
      <c r="F1071" s="19"/>
      <c r="G1071" s="19"/>
      <c r="H1071" s="19"/>
      <c r="I1071" s="19"/>
      <c r="J1071" s="19"/>
      <c r="K1071" s="4"/>
      <c r="L1071" s="10"/>
      <c r="M1071" s="19"/>
      <c r="N1071" s="19"/>
      <c r="O1071" s="19"/>
      <c r="P1071" s="11"/>
      <c r="Q1071" s="11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 spans="1:26" ht="13">
      <c r="A1072" s="24"/>
      <c r="B1072" s="9"/>
      <c r="C1072" s="19"/>
      <c r="D1072" s="19"/>
      <c r="E1072" s="19"/>
      <c r="F1072" s="19"/>
      <c r="G1072" s="19"/>
      <c r="H1072" s="19"/>
      <c r="I1072" s="19"/>
      <c r="J1072" s="19"/>
      <c r="K1072" s="4"/>
      <c r="L1072" s="10"/>
      <c r="M1072" s="19"/>
      <c r="N1072" s="19"/>
      <c r="O1072" s="19"/>
      <c r="P1072" s="11"/>
      <c r="Q1072" s="11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 spans="1:26" ht="13">
      <c r="A1073" s="24"/>
      <c r="B1073" s="9"/>
      <c r="C1073" s="19"/>
      <c r="D1073" s="19"/>
      <c r="E1073" s="19"/>
      <c r="F1073" s="19"/>
      <c r="G1073" s="19"/>
      <c r="H1073" s="19"/>
      <c r="I1073" s="19"/>
      <c r="J1073" s="19"/>
      <c r="K1073" s="4"/>
      <c r="L1073" s="10"/>
      <c r="M1073" s="19"/>
      <c r="N1073" s="19"/>
      <c r="O1073" s="19"/>
      <c r="P1073" s="11"/>
      <c r="Q1073" s="11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 spans="1:26" ht="13">
      <c r="A1074" s="24"/>
      <c r="B1074" s="9"/>
      <c r="C1074" s="19"/>
      <c r="D1074" s="19"/>
      <c r="E1074" s="19"/>
      <c r="F1074" s="19"/>
      <c r="G1074" s="19"/>
      <c r="H1074" s="19"/>
      <c r="I1074" s="19"/>
      <c r="J1074" s="19"/>
      <c r="K1074" s="4"/>
      <c r="L1074" s="10"/>
      <c r="M1074" s="19"/>
      <c r="N1074" s="19"/>
      <c r="O1074" s="19"/>
      <c r="P1074" s="11"/>
      <c r="Q1074" s="11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 spans="1:26" ht="13">
      <c r="A1075" s="24"/>
      <c r="B1075" s="9"/>
      <c r="C1075" s="19"/>
      <c r="D1075" s="19"/>
      <c r="E1075" s="19"/>
      <c r="F1075" s="19"/>
      <c r="G1075" s="19"/>
      <c r="H1075" s="19"/>
      <c r="I1075" s="19"/>
      <c r="J1075" s="19"/>
      <c r="K1075" s="4"/>
      <c r="L1075" s="10"/>
      <c r="M1075" s="19"/>
      <c r="N1075" s="19"/>
      <c r="O1075" s="19"/>
      <c r="P1075" s="11"/>
      <c r="Q1075" s="11"/>
      <c r="R1075" s="12"/>
      <c r="S1075" s="12"/>
      <c r="T1075" s="12"/>
      <c r="U1075" s="12"/>
      <c r="V1075" s="12"/>
      <c r="W1075" s="12"/>
      <c r="X1075" s="12"/>
      <c r="Y1075" s="12"/>
      <c r="Z1075" s="12"/>
    </row>
    <row r="1076" spans="1:26" ht="13">
      <c r="A1076" s="24"/>
      <c r="B1076" s="9"/>
      <c r="C1076" s="19"/>
      <c r="D1076" s="19"/>
      <c r="E1076" s="19"/>
      <c r="F1076" s="19"/>
      <c r="G1076" s="19"/>
      <c r="H1076" s="19"/>
      <c r="I1076" s="19"/>
      <c r="J1076" s="19"/>
      <c r="K1076" s="4"/>
      <c r="L1076" s="10"/>
      <c r="M1076" s="19"/>
      <c r="N1076" s="19"/>
      <c r="O1076" s="19"/>
      <c r="P1076" s="11"/>
      <c r="Q1076" s="11"/>
      <c r="R1076" s="12"/>
      <c r="S1076" s="12"/>
      <c r="T1076" s="12"/>
      <c r="U1076" s="12"/>
      <c r="V1076" s="12"/>
      <c r="W1076" s="12"/>
      <c r="X1076" s="12"/>
      <c r="Y1076" s="12"/>
      <c r="Z1076" s="12"/>
    </row>
    <row r="1077" spans="1:26" ht="13">
      <c r="A1077" s="24"/>
      <c r="B1077" s="9"/>
      <c r="C1077" s="19"/>
      <c r="D1077" s="19"/>
      <c r="E1077" s="19"/>
      <c r="F1077" s="19"/>
      <c r="G1077" s="19"/>
      <c r="H1077" s="19"/>
      <c r="I1077" s="19"/>
      <c r="J1077" s="19"/>
      <c r="K1077" s="4"/>
      <c r="L1077" s="10"/>
      <c r="M1077" s="19"/>
      <c r="N1077" s="19"/>
      <c r="O1077" s="19"/>
      <c r="P1077" s="11"/>
      <c r="Q1077" s="11"/>
      <c r="R1077" s="12"/>
      <c r="S1077" s="12"/>
      <c r="T1077" s="12"/>
      <c r="U1077" s="12"/>
      <c r="V1077" s="12"/>
      <c r="W1077" s="12"/>
      <c r="X1077" s="12"/>
      <c r="Y1077" s="12"/>
      <c r="Z1077" s="12"/>
    </row>
    <row r="1078" spans="1:26" ht="13">
      <c r="A1078" s="24"/>
      <c r="B1078" s="9"/>
      <c r="C1078" s="19"/>
      <c r="D1078" s="19"/>
      <c r="E1078" s="19"/>
      <c r="F1078" s="19"/>
      <c r="G1078" s="19"/>
      <c r="H1078" s="19"/>
      <c r="I1078" s="19"/>
      <c r="J1078" s="19"/>
      <c r="K1078" s="4"/>
      <c r="L1078" s="10"/>
      <c r="M1078" s="19"/>
      <c r="N1078" s="19"/>
      <c r="O1078" s="19"/>
      <c r="P1078" s="11"/>
      <c r="Q1078" s="11"/>
      <c r="R1078" s="12"/>
      <c r="S1078" s="12"/>
      <c r="T1078" s="12"/>
      <c r="U1078" s="12"/>
      <c r="V1078" s="12"/>
      <c r="W1078" s="12"/>
      <c r="X1078" s="12"/>
      <c r="Y1078" s="12"/>
      <c r="Z1078" s="12"/>
    </row>
    <row r="1079" spans="1:26" ht="13">
      <c r="A1079" s="24"/>
      <c r="B1079" s="9"/>
      <c r="C1079" s="19"/>
      <c r="D1079" s="19"/>
      <c r="E1079" s="19"/>
      <c r="F1079" s="19"/>
      <c r="G1079" s="19"/>
      <c r="H1079" s="19"/>
      <c r="I1079" s="19"/>
      <c r="J1079" s="19"/>
      <c r="K1079" s="4"/>
      <c r="L1079" s="10"/>
      <c r="M1079" s="19"/>
      <c r="N1079" s="19"/>
      <c r="O1079" s="19"/>
      <c r="P1079" s="11"/>
      <c r="Q1079" s="11"/>
      <c r="R1079" s="12"/>
      <c r="S1079" s="12"/>
      <c r="T1079" s="12"/>
      <c r="U1079" s="12"/>
      <c r="V1079" s="12"/>
      <c r="W1079" s="12"/>
      <c r="X1079" s="12"/>
      <c r="Y1079" s="12"/>
      <c r="Z1079" s="12"/>
    </row>
    <row r="1080" spans="1:26" ht="13">
      <c r="A1080" s="24"/>
      <c r="B1080" s="9"/>
      <c r="C1080" s="19"/>
      <c r="D1080" s="19"/>
      <c r="E1080" s="19"/>
      <c r="F1080" s="19"/>
      <c r="G1080" s="19"/>
      <c r="H1080" s="19"/>
      <c r="I1080" s="19"/>
      <c r="J1080" s="19"/>
      <c r="K1080" s="4"/>
      <c r="L1080" s="10"/>
      <c r="M1080" s="19"/>
      <c r="N1080" s="19"/>
      <c r="O1080" s="19"/>
      <c r="P1080" s="11"/>
      <c r="Q1080" s="11"/>
      <c r="R1080" s="12"/>
      <c r="S1080" s="12"/>
      <c r="T1080" s="12"/>
      <c r="U1080" s="12"/>
      <c r="V1080" s="12"/>
      <c r="W1080" s="12"/>
      <c r="X1080" s="12"/>
      <c r="Y1080" s="12"/>
      <c r="Z1080" s="12"/>
    </row>
    <row r="1081" spans="1:26" ht="13">
      <c r="A1081" s="24"/>
      <c r="B1081" s="9"/>
      <c r="C1081" s="19"/>
      <c r="D1081" s="19"/>
      <c r="E1081" s="19"/>
      <c r="F1081" s="19"/>
      <c r="G1081" s="19"/>
      <c r="H1081" s="19"/>
      <c r="I1081" s="19"/>
      <c r="J1081" s="19"/>
      <c r="K1081" s="4"/>
      <c r="L1081" s="10"/>
      <c r="M1081" s="19"/>
      <c r="N1081" s="19"/>
      <c r="O1081" s="19"/>
      <c r="P1081" s="11"/>
      <c r="Q1081" s="11"/>
      <c r="R1081" s="12"/>
      <c r="S1081" s="12"/>
      <c r="T1081" s="12"/>
      <c r="U1081" s="12"/>
      <c r="V1081" s="12"/>
      <c r="W1081" s="12"/>
      <c r="X1081" s="12"/>
      <c r="Y1081" s="12"/>
      <c r="Z1081" s="12"/>
    </row>
    <row r="1082" spans="1:26" ht="13">
      <c r="A1082" s="24"/>
      <c r="B1082" s="9"/>
      <c r="C1082" s="19"/>
      <c r="D1082" s="19"/>
      <c r="E1082" s="19"/>
      <c r="F1082" s="19"/>
      <c r="G1082" s="19"/>
      <c r="H1082" s="19"/>
      <c r="I1082" s="19"/>
      <c r="J1082" s="19"/>
      <c r="K1082" s="4"/>
      <c r="L1082" s="10"/>
      <c r="M1082" s="19"/>
      <c r="N1082" s="19"/>
      <c r="O1082" s="19"/>
      <c r="P1082" s="11"/>
      <c r="Q1082" s="11"/>
      <c r="R1082" s="12"/>
      <c r="S1082" s="12"/>
      <c r="T1082" s="12"/>
      <c r="U1082" s="12"/>
      <c r="V1082" s="12"/>
      <c r="W1082" s="12"/>
      <c r="X1082" s="12"/>
      <c r="Y1082" s="12"/>
      <c r="Z1082" s="12"/>
    </row>
    <row r="1083" spans="1:26" ht="13">
      <c r="A1083" s="24"/>
      <c r="B1083" s="9"/>
      <c r="C1083" s="19"/>
      <c r="D1083" s="19"/>
      <c r="E1083" s="19"/>
      <c r="F1083" s="19"/>
      <c r="G1083" s="19"/>
      <c r="H1083" s="19"/>
      <c r="I1083" s="19"/>
      <c r="J1083" s="19"/>
      <c r="K1083" s="4"/>
      <c r="L1083" s="10"/>
      <c r="M1083" s="19"/>
      <c r="N1083" s="19"/>
      <c r="O1083" s="19"/>
      <c r="P1083" s="11"/>
      <c r="Q1083" s="11"/>
      <c r="R1083" s="12"/>
      <c r="S1083" s="12"/>
      <c r="T1083" s="12"/>
      <c r="U1083" s="12"/>
      <c r="V1083" s="12"/>
      <c r="W1083" s="12"/>
      <c r="X1083" s="12"/>
      <c r="Y1083" s="12"/>
      <c r="Z1083" s="12"/>
    </row>
    <row r="1084" spans="1:26" ht="13">
      <c r="A1084" s="24"/>
      <c r="B1084" s="9"/>
      <c r="C1084" s="19"/>
      <c r="D1084" s="19"/>
      <c r="E1084" s="19"/>
      <c r="F1084" s="19"/>
      <c r="G1084" s="19"/>
      <c r="H1084" s="19"/>
      <c r="I1084" s="19"/>
      <c r="J1084" s="19"/>
      <c r="K1084" s="4"/>
      <c r="L1084" s="10"/>
      <c r="M1084" s="19"/>
      <c r="N1084" s="19"/>
      <c r="O1084" s="19"/>
      <c r="P1084" s="11"/>
      <c r="Q1084" s="11"/>
      <c r="R1084" s="12"/>
      <c r="S1084" s="12"/>
      <c r="T1084" s="12"/>
      <c r="U1084" s="12"/>
      <c r="V1084" s="12"/>
      <c r="W1084" s="12"/>
      <c r="X1084" s="12"/>
      <c r="Y1084" s="12"/>
      <c r="Z1084" s="12"/>
    </row>
    <row r="1085" spans="1:26" ht="13">
      <c r="A1085" s="24"/>
      <c r="B1085" s="9"/>
      <c r="C1085" s="19"/>
      <c r="D1085" s="19"/>
      <c r="E1085" s="19"/>
      <c r="F1085" s="19"/>
      <c r="G1085" s="19"/>
      <c r="H1085" s="19"/>
      <c r="I1085" s="19"/>
      <c r="J1085" s="19"/>
      <c r="K1085" s="4"/>
      <c r="L1085" s="10"/>
      <c r="M1085" s="19"/>
      <c r="N1085" s="19"/>
      <c r="O1085" s="19"/>
      <c r="P1085" s="11"/>
      <c r="Q1085" s="11"/>
      <c r="R1085" s="12"/>
      <c r="S1085" s="12"/>
      <c r="T1085" s="12"/>
      <c r="U1085" s="12"/>
      <c r="V1085" s="12"/>
      <c r="W1085" s="12"/>
      <c r="X1085" s="12"/>
      <c r="Y1085" s="12"/>
      <c r="Z1085" s="12"/>
    </row>
    <row r="1086" spans="1:26" ht="13">
      <c r="A1086" s="24"/>
      <c r="B1086" s="9"/>
      <c r="C1086" s="19"/>
      <c r="D1086" s="19"/>
      <c r="E1086" s="19"/>
      <c r="F1086" s="19"/>
      <c r="G1086" s="19"/>
      <c r="H1086" s="19"/>
      <c r="I1086" s="19"/>
      <c r="J1086" s="19"/>
      <c r="K1086" s="4"/>
      <c r="L1086" s="10"/>
      <c r="M1086" s="19"/>
      <c r="N1086" s="19"/>
      <c r="O1086" s="19"/>
      <c r="P1086" s="11"/>
      <c r="Q1086" s="11"/>
      <c r="R1086" s="12"/>
      <c r="S1086" s="12"/>
      <c r="T1086" s="12"/>
      <c r="U1086" s="12"/>
      <c r="V1086" s="12"/>
      <c r="W1086" s="12"/>
      <c r="X1086" s="12"/>
      <c r="Y1086" s="12"/>
      <c r="Z1086" s="12"/>
    </row>
    <row r="1087" spans="1:26" ht="13">
      <c r="A1087" s="24"/>
      <c r="B1087" s="9"/>
      <c r="C1087" s="19"/>
      <c r="D1087" s="19"/>
      <c r="E1087" s="19"/>
      <c r="F1087" s="19"/>
      <c r="G1087" s="19"/>
      <c r="H1087" s="19"/>
      <c r="I1087" s="19"/>
      <c r="J1087" s="19"/>
      <c r="K1087" s="4"/>
      <c r="L1087" s="10"/>
      <c r="M1087" s="19"/>
      <c r="N1087" s="19"/>
      <c r="O1087" s="19"/>
      <c r="P1087" s="11"/>
      <c r="Q1087" s="11"/>
      <c r="R1087" s="12"/>
      <c r="S1087" s="12"/>
      <c r="T1087" s="12"/>
      <c r="U1087" s="12"/>
      <c r="V1087" s="12"/>
      <c r="W1087" s="12"/>
      <c r="X1087" s="12"/>
      <c r="Y1087" s="12"/>
      <c r="Z1087" s="12"/>
    </row>
    <row r="1088" spans="1:26" ht="13">
      <c r="A1088" s="24"/>
      <c r="B1088" s="9"/>
      <c r="C1088" s="19"/>
      <c r="D1088" s="19"/>
      <c r="E1088" s="19"/>
      <c r="F1088" s="19"/>
      <c r="G1088" s="19"/>
      <c r="H1088" s="19"/>
      <c r="I1088" s="19"/>
      <c r="J1088" s="19"/>
      <c r="K1088" s="4"/>
      <c r="L1088" s="10"/>
      <c r="M1088" s="19"/>
      <c r="N1088" s="19"/>
      <c r="O1088" s="19"/>
      <c r="P1088" s="11"/>
      <c r="Q1088" s="11"/>
      <c r="R1088" s="12"/>
      <c r="S1088" s="12"/>
      <c r="T1088" s="12"/>
      <c r="U1088" s="12"/>
      <c r="V1088" s="12"/>
      <c r="W1088" s="12"/>
      <c r="X1088" s="12"/>
      <c r="Y1088" s="12"/>
      <c r="Z1088" s="12"/>
    </row>
    <row r="1089" spans="1:26" ht="13">
      <c r="A1089" s="24"/>
      <c r="B1089" s="9"/>
      <c r="C1089" s="19"/>
      <c r="D1089" s="19"/>
      <c r="E1089" s="19"/>
      <c r="F1089" s="19"/>
      <c r="G1089" s="19"/>
      <c r="H1089" s="19"/>
      <c r="I1089" s="19"/>
      <c r="J1089" s="19"/>
      <c r="K1089" s="4"/>
      <c r="L1089" s="10"/>
      <c r="M1089" s="19"/>
      <c r="N1089" s="19"/>
      <c r="O1089" s="19"/>
      <c r="P1089" s="11"/>
      <c r="Q1089" s="11"/>
      <c r="R1089" s="12"/>
      <c r="S1089" s="12"/>
      <c r="T1089" s="12"/>
      <c r="U1089" s="12"/>
      <c r="V1089" s="12"/>
      <c r="W1089" s="12"/>
      <c r="X1089" s="12"/>
      <c r="Y1089" s="12"/>
      <c r="Z1089" s="12"/>
    </row>
    <row r="1090" spans="1:26" ht="13">
      <c r="A1090" s="24"/>
      <c r="B1090" s="9"/>
      <c r="C1090" s="19"/>
      <c r="D1090" s="19"/>
      <c r="E1090" s="19"/>
      <c r="F1090" s="19"/>
      <c r="G1090" s="19"/>
      <c r="H1090" s="19"/>
      <c r="I1090" s="19"/>
      <c r="J1090" s="19"/>
      <c r="K1090" s="4"/>
      <c r="L1090" s="10"/>
      <c r="M1090" s="19"/>
      <c r="N1090" s="19"/>
      <c r="O1090" s="19"/>
      <c r="P1090" s="11"/>
      <c r="Q1090" s="11"/>
      <c r="R1090" s="12"/>
      <c r="S1090" s="12"/>
      <c r="T1090" s="12"/>
      <c r="U1090" s="12"/>
      <c r="V1090" s="12"/>
      <c r="W1090" s="12"/>
      <c r="X1090" s="12"/>
      <c r="Y1090" s="12"/>
      <c r="Z1090" s="12"/>
    </row>
    <row r="1091" spans="1:26" ht="13">
      <c r="A1091" s="24"/>
      <c r="B1091" s="9"/>
      <c r="C1091" s="19"/>
      <c r="D1091" s="19"/>
      <c r="E1091" s="19"/>
      <c r="F1091" s="19"/>
      <c r="G1091" s="19"/>
      <c r="H1091" s="19"/>
      <c r="I1091" s="19"/>
      <c r="J1091" s="19"/>
      <c r="K1091" s="4"/>
      <c r="L1091" s="10"/>
      <c r="M1091" s="19"/>
      <c r="N1091" s="19"/>
      <c r="O1091" s="19"/>
      <c r="P1091" s="11"/>
      <c r="Q1091" s="11"/>
      <c r="R1091" s="12"/>
      <c r="S1091" s="12"/>
      <c r="T1091" s="12"/>
      <c r="U1091" s="12"/>
      <c r="V1091" s="12"/>
      <c r="W1091" s="12"/>
      <c r="X1091" s="12"/>
      <c r="Y1091" s="12"/>
      <c r="Z1091" s="12"/>
    </row>
    <row r="1092" spans="1:26" ht="13">
      <c r="A1092" s="24"/>
      <c r="B1092" s="9"/>
      <c r="C1092" s="19"/>
      <c r="D1092" s="19"/>
      <c r="E1092" s="19"/>
      <c r="F1092" s="19"/>
      <c r="G1092" s="19"/>
      <c r="H1092" s="19"/>
      <c r="I1092" s="19"/>
      <c r="J1092" s="19"/>
      <c r="K1092" s="4"/>
      <c r="L1092" s="10"/>
      <c r="M1092" s="19"/>
      <c r="N1092" s="19"/>
      <c r="O1092" s="19"/>
      <c r="P1092" s="11"/>
      <c r="Q1092" s="11"/>
      <c r="R1092" s="12"/>
      <c r="S1092" s="12"/>
      <c r="T1092" s="12"/>
      <c r="U1092" s="12"/>
      <c r="V1092" s="12"/>
      <c r="W1092" s="12"/>
      <c r="X1092" s="12"/>
      <c r="Y1092" s="12"/>
      <c r="Z1092" s="12"/>
    </row>
    <row r="1093" spans="1:26" ht="13">
      <c r="A1093" s="24"/>
      <c r="B1093" s="9"/>
      <c r="C1093" s="19"/>
      <c r="D1093" s="19"/>
      <c r="E1093" s="19"/>
      <c r="F1093" s="19"/>
      <c r="G1093" s="19"/>
      <c r="H1093" s="19"/>
      <c r="I1093" s="19"/>
      <c r="J1093" s="19"/>
      <c r="K1093" s="4"/>
      <c r="L1093" s="10"/>
      <c r="M1093" s="19"/>
      <c r="N1093" s="19"/>
      <c r="O1093" s="19"/>
      <c r="P1093" s="11"/>
      <c r="Q1093" s="11"/>
      <c r="R1093" s="12"/>
      <c r="S1093" s="12"/>
      <c r="T1093" s="12"/>
      <c r="U1093" s="12"/>
      <c r="V1093" s="12"/>
      <c r="W1093" s="12"/>
      <c r="X1093" s="12"/>
      <c r="Y1093" s="12"/>
      <c r="Z1093" s="12"/>
    </row>
    <row r="1094" spans="1:26" ht="13">
      <c r="A1094" s="24"/>
      <c r="B1094" s="9"/>
      <c r="C1094" s="19"/>
      <c r="D1094" s="19"/>
      <c r="E1094" s="19"/>
      <c r="F1094" s="19"/>
      <c r="G1094" s="19"/>
      <c r="H1094" s="19"/>
      <c r="I1094" s="19"/>
      <c r="J1094" s="19"/>
      <c r="K1094" s="4"/>
      <c r="L1094" s="10"/>
      <c r="M1094" s="19"/>
      <c r="N1094" s="19"/>
      <c r="O1094" s="19"/>
      <c r="P1094" s="11"/>
      <c r="Q1094" s="11"/>
      <c r="R1094" s="12"/>
      <c r="S1094" s="12"/>
      <c r="T1094" s="12"/>
      <c r="U1094" s="12"/>
      <c r="V1094" s="12"/>
      <c r="W1094" s="12"/>
      <c r="X1094" s="12"/>
      <c r="Y1094" s="12"/>
      <c r="Z1094" s="12"/>
    </row>
    <row r="1095" spans="1:26" ht="13">
      <c r="A1095" s="24"/>
      <c r="B1095" s="9"/>
      <c r="C1095" s="19"/>
      <c r="D1095" s="19"/>
      <c r="E1095" s="19"/>
      <c r="F1095" s="19"/>
      <c r="G1095" s="19"/>
      <c r="H1095" s="19"/>
      <c r="I1095" s="19"/>
      <c r="J1095" s="19"/>
      <c r="K1095" s="4"/>
      <c r="L1095" s="10"/>
      <c r="M1095" s="19"/>
      <c r="N1095" s="19"/>
      <c r="O1095" s="19"/>
      <c r="P1095" s="11"/>
      <c r="Q1095" s="11"/>
      <c r="R1095" s="12"/>
      <c r="S1095" s="12"/>
      <c r="T1095" s="12"/>
      <c r="U1095" s="12"/>
      <c r="V1095" s="12"/>
      <c r="W1095" s="12"/>
      <c r="X1095" s="12"/>
      <c r="Y1095" s="12"/>
      <c r="Z1095" s="12"/>
    </row>
    <row r="1096" spans="1:26" ht="13">
      <c r="A1096" s="24"/>
      <c r="B1096" s="9"/>
      <c r="C1096" s="19"/>
      <c r="D1096" s="19"/>
      <c r="E1096" s="19"/>
      <c r="F1096" s="19"/>
      <c r="G1096" s="19"/>
      <c r="H1096" s="19"/>
      <c r="I1096" s="19"/>
      <c r="J1096" s="19"/>
      <c r="K1096" s="4"/>
      <c r="L1096" s="10"/>
      <c r="M1096" s="19"/>
      <c r="N1096" s="19"/>
      <c r="O1096" s="19"/>
      <c r="P1096" s="11"/>
      <c r="Q1096" s="11"/>
      <c r="R1096" s="12"/>
      <c r="S1096" s="12"/>
      <c r="T1096" s="12"/>
      <c r="U1096" s="12"/>
      <c r="V1096" s="12"/>
      <c r="W1096" s="12"/>
      <c r="X1096" s="12"/>
      <c r="Y1096" s="12"/>
      <c r="Z1096" s="12"/>
    </row>
    <row r="1097" spans="1:26" ht="13">
      <c r="A1097" s="24"/>
      <c r="B1097" s="9"/>
      <c r="C1097" s="19"/>
      <c r="D1097" s="19"/>
      <c r="E1097" s="19"/>
      <c r="F1097" s="19"/>
      <c r="G1097" s="19"/>
      <c r="H1097" s="19"/>
      <c r="I1097" s="19"/>
      <c r="J1097" s="19"/>
      <c r="K1097" s="4"/>
      <c r="L1097" s="10"/>
      <c r="M1097" s="19"/>
      <c r="N1097" s="19"/>
      <c r="O1097" s="19"/>
      <c r="P1097" s="11"/>
      <c r="Q1097" s="11"/>
      <c r="R1097" s="12"/>
      <c r="S1097" s="12"/>
      <c r="T1097" s="12"/>
      <c r="U1097" s="12"/>
      <c r="V1097" s="12"/>
      <c r="W1097" s="12"/>
      <c r="X1097" s="12"/>
      <c r="Y1097" s="12"/>
      <c r="Z1097" s="12"/>
    </row>
    <row r="1098" spans="1:26" ht="13">
      <c r="A1098" s="24"/>
      <c r="B1098" s="9"/>
      <c r="C1098" s="19"/>
      <c r="D1098" s="19"/>
      <c r="E1098" s="19"/>
      <c r="F1098" s="19"/>
      <c r="G1098" s="19"/>
      <c r="H1098" s="19"/>
      <c r="I1098" s="19"/>
      <c r="J1098" s="19"/>
      <c r="K1098" s="4"/>
      <c r="L1098" s="10"/>
      <c r="M1098" s="19"/>
      <c r="N1098" s="19"/>
      <c r="O1098" s="19"/>
      <c r="P1098" s="11"/>
      <c r="Q1098" s="11"/>
      <c r="R1098" s="12"/>
      <c r="S1098" s="12"/>
      <c r="T1098" s="12"/>
      <c r="U1098" s="12"/>
      <c r="V1098" s="12"/>
      <c r="W1098" s="12"/>
      <c r="X1098" s="12"/>
      <c r="Y1098" s="12"/>
      <c r="Z1098" s="12"/>
    </row>
    <row r="1099" spans="1:26" ht="13">
      <c r="A1099" s="24"/>
      <c r="B1099" s="9"/>
      <c r="C1099" s="19"/>
      <c r="D1099" s="19"/>
      <c r="E1099" s="19"/>
      <c r="F1099" s="19"/>
      <c r="G1099" s="19"/>
      <c r="H1099" s="19"/>
      <c r="I1099" s="19"/>
      <c r="J1099" s="19"/>
      <c r="K1099" s="4"/>
      <c r="L1099" s="10"/>
      <c r="M1099" s="19"/>
      <c r="N1099" s="19"/>
      <c r="O1099" s="19"/>
      <c r="P1099" s="11"/>
      <c r="Q1099" s="11"/>
      <c r="R1099" s="12"/>
      <c r="S1099" s="12"/>
      <c r="T1099" s="12"/>
      <c r="U1099" s="12"/>
      <c r="V1099" s="12"/>
      <c r="W1099" s="12"/>
      <c r="X1099" s="12"/>
      <c r="Y1099" s="12"/>
      <c r="Z1099" s="12"/>
    </row>
    <row r="1100" spans="1:26" ht="13">
      <c r="A1100" s="24"/>
      <c r="B1100" s="9"/>
      <c r="C1100" s="19"/>
      <c r="D1100" s="19"/>
      <c r="E1100" s="19"/>
      <c r="F1100" s="19"/>
      <c r="G1100" s="19"/>
      <c r="H1100" s="19"/>
      <c r="I1100" s="19"/>
      <c r="J1100" s="19"/>
      <c r="K1100" s="4"/>
      <c r="L1100" s="10"/>
      <c r="M1100" s="19"/>
      <c r="N1100" s="19"/>
      <c r="O1100" s="19"/>
      <c r="P1100" s="11"/>
      <c r="Q1100" s="11"/>
      <c r="R1100" s="12"/>
      <c r="S1100" s="12"/>
      <c r="T1100" s="12"/>
      <c r="U1100" s="12"/>
      <c r="V1100" s="12"/>
      <c r="W1100" s="12"/>
      <c r="X1100" s="12"/>
      <c r="Y1100" s="12"/>
      <c r="Z1100" s="12"/>
    </row>
    <row r="1101" spans="1:26" ht="13">
      <c r="A1101" s="24"/>
      <c r="B1101" s="9"/>
      <c r="C1101" s="19"/>
      <c r="D1101" s="19"/>
      <c r="E1101" s="19"/>
      <c r="F1101" s="19"/>
      <c r="G1101" s="19"/>
      <c r="H1101" s="19"/>
      <c r="I1101" s="19"/>
      <c r="J1101" s="19"/>
      <c r="K1101" s="4"/>
      <c r="L1101" s="10"/>
      <c r="M1101" s="19"/>
      <c r="N1101" s="19"/>
      <c r="O1101" s="19"/>
      <c r="P1101" s="11"/>
      <c r="Q1101" s="11"/>
      <c r="R1101" s="12"/>
      <c r="S1101" s="12"/>
      <c r="T1101" s="12"/>
      <c r="U1101" s="12"/>
      <c r="V1101" s="12"/>
      <c r="W1101" s="12"/>
      <c r="X1101" s="12"/>
      <c r="Y1101" s="12"/>
      <c r="Z1101" s="12"/>
    </row>
    <row r="1102" spans="1:26" ht="13">
      <c r="A1102" s="24"/>
      <c r="B1102" s="9"/>
      <c r="C1102" s="19"/>
      <c r="D1102" s="19"/>
      <c r="E1102" s="19"/>
      <c r="F1102" s="19"/>
      <c r="G1102" s="19"/>
      <c r="H1102" s="19"/>
      <c r="I1102" s="19"/>
      <c r="J1102" s="19"/>
      <c r="K1102" s="4"/>
      <c r="L1102" s="10"/>
      <c r="M1102" s="19"/>
      <c r="N1102" s="19"/>
      <c r="O1102" s="19"/>
      <c r="P1102" s="11"/>
      <c r="Q1102" s="11"/>
      <c r="R1102" s="12"/>
      <c r="S1102" s="12"/>
      <c r="T1102" s="12"/>
      <c r="U1102" s="12"/>
      <c r="V1102" s="12"/>
      <c r="W1102" s="12"/>
      <c r="X1102" s="12"/>
      <c r="Y1102" s="12"/>
      <c r="Z1102" s="12"/>
    </row>
    <row r="1103" spans="1:26" ht="13">
      <c r="A1103" s="24"/>
      <c r="B1103" s="9"/>
      <c r="C1103" s="19"/>
      <c r="D1103" s="19"/>
      <c r="E1103" s="19"/>
      <c r="F1103" s="19"/>
      <c r="G1103" s="19"/>
      <c r="H1103" s="19"/>
      <c r="I1103" s="19"/>
      <c r="J1103" s="19"/>
      <c r="K1103" s="4"/>
      <c r="L1103" s="10"/>
      <c r="M1103" s="19"/>
      <c r="N1103" s="19"/>
      <c r="O1103" s="19"/>
      <c r="P1103" s="11"/>
      <c r="Q1103" s="11"/>
      <c r="R1103" s="12"/>
      <c r="S1103" s="12"/>
      <c r="T1103" s="12"/>
      <c r="U1103" s="12"/>
      <c r="V1103" s="12"/>
      <c r="W1103" s="12"/>
      <c r="X1103" s="12"/>
      <c r="Y1103" s="12"/>
      <c r="Z1103" s="12"/>
    </row>
    <row r="1104" spans="1:26" ht="13">
      <c r="A1104" s="24"/>
      <c r="B1104" s="9"/>
      <c r="C1104" s="19"/>
      <c r="D1104" s="19"/>
      <c r="E1104" s="19"/>
      <c r="F1104" s="19"/>
      <c r="G1104" s="19"/>
      <c r="H1104" s="19"/>
      <c r="I1104" s="19"/>
      <c r="J1104" s="19"/>
      <c r="K1104" s="4"/>
      <c r="L1104" s="10"/>
      <c r="M1104" s="19"/>
      <c r="N1104" s="19"/>
      <c r="O1104" s="19"/>
      <c r="P1104" s="11"/>
      <c r="Q1104" s="11"/>
      <c r="R1104" s="12"/>
      <c r="S1104" s="12"/>
      <c r="T1104" s="12"/>
      <c r="U1104" s="12"/>
      <c r="V1104" s="12"/>
      <c r="W1104" s="12"/>
      <c r="X1104" s="12"/>
      <c r="Y1104" s="12"/>
      <c r="Z1104" s="12"/>
    </row>
    <row r="1105" spans="1:26" ht="13">
      <c r="A1105" s="24"/>
      <c r="B1105" s="9"/>
      <c r="C1105" s="19"/>
      <c r="D1105" s="19"/>
      <c r="E1105" s="19"/>
      <c r="F1105" s="19"/>
      <c r="G1105" s="19"/>
      <c r="H1105" s="19"/>
      <c r="I1105" s="19"/>
      <c r="J1105" s="19"/>
      <c r="K1105" s="4"/>
      <c r="L1105" s="10"/>
      <c r="M1105" s="19"/>
      <c r="N1105" s="19"/>
      <c r="O1105" s="19"/>
      <c r="P1105" s="11"/>
      <c r="Q1105" s="11"/>
      <c r="R1105" s="12"/>
      <c r="S1105" s="12"/>
      <c r="T1105" s="12"/>
      <c r="U1105" s="12"/>
      <c r="V1105" s="12"/>
      <c r="W1105" s="12"/>
      <c r="X1105" s="12"/>
      <c r="Y1105" s="12"/>
      <c r="Z1105" s="12"/>
    </row>
    <row r="1106" spans="1:26" ht="13">
      <c r="A1106" s="24"/>
      <c r="B1106" s="9"/>
      <c r="C1106" s="19"/>
      <c r="D1106" s="19"/>
      <c r="E1106" s="19"/>
      <c r="F1106" s="19"/>
      <c r="G1106" s="19"/>
      <c r="H1106" s="19"/>
      <c r="I1106" s="19"/>
      <c r="J1106" s="19"/>
      <c r="K1106" s="4"/>
      <c r="L1106" s="10"/>
      <c r="M1106" s="19"/>
      <c r="N1106" s="19"/>
      <c r="O1106" s="19"/>
      <c r="P1106" s="11"/>
      <c r="Q1106" s="11"/>
      <c r="R1106" s="12"/>
      <c r="S1106" s="12"/>
      <c r="T1106" s="12"/>
      <c r="U1106" s="12"/>
      <c r="V1106" s="12"/>
      <c r="W1106" s="12"/>
      <c r="X1106" s="12"/>
      <c r="Y1106" s="12"/>
      <c r="Z1106" s="12"/>
    </row>
    <row r="1107" spans="1:26" ht="13">
      <c r="A1107" s="24"/>
      <c r="B1107" s="9"/>
      <c r="C1107" s="19"/>
      <c r="D1107" s="19"/>
      <c r="E1107" s="19"/>
      <c r="F1107" s="19"/>
      <c r="G1107" s="19"/>
      <c r="H1107" s="19"/>
      <c r="I1107" s="19"/>
      <c r="J1107" s="19"/>
      <c r="K1107" s="4"/>
      <c r="L1107" s="10"/>
      <c r="M1107" s="19"/>
      <c r="N1107" s="19"/>
      <c r="O1107" s="19"/>
      <c r="P1107" s="11"/>
      <c r="Q1107" s="11"/>
      <c r="R1107" s="12"/>
      <c r="S1107" s="12"/>
      <c r="T1107" s="12"/>
      <c r="U1107" s="12"/>
      <c r="V1107" s="12"/>
      <c r="W1107" s="12"/>
      <c r="X1107" s="12"/>
      <c r="Y1107" s="12"/>
      <c r="Z1107" s="12"/>
    </row>
    <row r="1108" spans="1:26" ht="13">
      <c r="A1108" s="24"/>
      <c r="B1108" s="9"/>
      <c r="C1108" s="19"/>
      <c r="D1108" s="19"/>
      <c r="E1108" s="19"/>
      <c r="F1108" s="19"/>
      <c r="G1108" s="19"/>
      <c r="H1108" s="19"/>
      <c r="I1108" s="19"/>
      <c r="J1108" s="19"/>
      <c r="K1108" s="4"/>
      <c r="L1108" s="10"/>
      <c r="M1108" s="19"/>
      <c r="N1108" s="19"/>
      <c r="O1108" s="19"/>
      <c r="P1108" s="11"/>
      <c r="Q1108" s="11"/>
      <c r="R1108" s="12"/>
      <c r="S1108" s="12"/>
      <c r="T1108" s="12"/>
      <c r="U1108" s="12"/>
      <c r="V1108" s="12"/>
      <c r="W1108" s="12"/>
      <c r="X1108" s="12"/>
      <c r="Y1108" s="12"/>
      <c r="Z1108" s="12"/>
    </row>
    <row r="1109" spans="1:26" ht="13">
      <c r="A1109" s="24"/>
      <c r="B1109" s="9"/>
      <c r="C1109" s="19"/>
      <c r="D1109" s="19"/>
      <c r="E1109" s="19"/>
      <c r="F1109" s="19"/>
      <c r="G1109" s="19"/>
      <c r="H1109" s="19"/>
      <c r="I1109" s="19"/>
      <c r="J1109" s="19"/>
      <c r="K1109" s="4"/>
      <c r="L1109" s="10"/>
      <c r="M1109" s="19"/>
      <c r="N1109" s="19"/>
      <c r="O1109" s="19"/>
      <c r="P1109" s="11"/>
      <c r="Q1109" s="11"/>
      <c r="R1109" s="12"/>
      <c r="S1109" s="12"/>
      <c r="T1109" s="12"/>
      <c r="U1109" s="12"/>
      <c r="V1109" s="12"/>
      <c r="W1109" s="12"/>
      <c r="X1109" s="12"/>
      <c r="Y1109" s="12"/>
      <c r="Z1109" s="12"/>
    </row>
    <row r="1110" spans="1:26" ht="13">
      <c r="A1110" s="24"/>
      <c r="B1110" s="9"/>
      <c r="C1110" s="19"/>
      <c r="D1110" s="19"/>
      <c r="E1110" s="19"/>
      <c r="F1110" s="19"/>
      <c r="G1110" s="19"/>
      <c r="H1110" s="19"/>
      <c r="I1110" s="19"/>
      <c r="J1110" s="19"/>
      <c r="K1110" s="4"/>
      <c r="L1110" s="10"/>
      <c r="M1110" s="19"/>
      <c r="N1110" s="19"/>
      <c r="O1110" s="19"/>
      <c r="P1110" s="11"/>
      <c r="Q1110" s="11"/>
      <c r="R1110" s="12"/>
      <c r="S1110" s="12"/>
      <c r="T1110" s="12"/>
      <c r="U1110" s="12"/>
      <c r="V1110" s="12"/>
      <c r="W1110" s="12"/>
      <c r="X1110" s="12"/>
      <c r="Y1110" s="12"/>
      <c r="Z1110" s="12"/>
    </row>
    <row r="1111" spans="1:26" ht="13">
      <c r="A1111" s="24"/>
      <c r="B1111" s="9"/>
      <c r="C1111" s="19"/>
      <c r="D1111" s="19"/>
      <c r="E1111" s="19"/>
      <c r="F1111" s="19"/>
      <c r="G1111" s="19"/>
      <c r="H1111" s="19"/>
      <c r="I1111" s="19"/>
      <c r="J1111" s="19"/>
      <c r="K1111" s="4"/>
      <c r="L1111" s="10"/>
      <c r="M1111" s="19"/>
      <c r="N1111" s="19"/>
      <c r="O1111" s="19"/>
      <c r="P1111" s="11"/>
      <c r="Q1111" s="11"/>
      <c r="R1111" s="12"/>
      <c r="S1111" s="12"/>
      <c r="T1111" s="12"/>
      <c r="U1111" s="12"/>
      <c r="V1111" s="12"/>
      <c r="W1111" s="12"/>
      <c r="X1111" s="12"/>
      <c r="Y1111" s="12"/>
      <c r="Z1111" s="12"/>
    </row>
    <row r="1112" spans="1:26" ht="13">
      <c r="A1112" s="24"/>
      <c r="B1112" s="9"/>
      <c r="C1112" s="19"/>
      <c r="D1112" s="19"/>
      <c r="E1112" s="19"/>
      <c r="F1112" s="19"/>
      <c r="G1112" s="19"/>
      <c r="H1112" s="19"/>
      <c r="I1112" s="19"/>
      <c r="J1112" s="19"/>
      <c r="K1112" s="4"/>
      <c r="L1112" s="10"/>
      <c r="M1112" s="19"/>
      <c r="N1112" s="19"/>
      <c r="O1112" s="19"/>
      <c r="P1112" s="11"/>
      <c r="Q1112" s="11"/>
      <c r="R1112" s="12"/>
      <c r="S1112" s="12"/>
      <c r="T1112" s="12"/>
      <c r="U1112" s="12"/>
      <c r="V1112" s="12"/>
      <c r="W1112" s="12"/>
      <c r="X1112" s="12"/>
      <c r="Y1112" s="12"/>
      <c r="Z1112" s="12"/>
    </row>
    <row r="1113" spans="1:26" ht="13">
      <c r="A1113" s="24"/>
      <c r="B1113" s="9"/>
      <c r="C1113" s="19"/>
      <c r="D1113" s="19"/>
      <c r="E1113" s="19"/>
      <c r="F1113" s="19"/>
      <c r="G1113" s="19"/>
      <c r="H1113" s="19"/>
      <c r="I1113" s="19"/>
      <c r="J1113" s="19"/>
      <c r="K1113" s="4"/>
      <c r="L1113" s="10"/>
      <c r="M1113" s="19"/>
      <c r="N1113" s="19"/>
      <c r="O1113" s="19"/>
      <c r="P1113" s="11"/>
      <c r="Q1113" s="11"/>
      <c r="R1113" s="12"/>
      <c r="S1113" s="12"/>
      <c r="T1113" s="12"/>
      <c r="U1113" s="12"/>
      <c r="V1113" s="12"/>
      <c r="W1113" s="12"/>
      <c r="X1113" s="12"/>
      <c r="Y1113" s="12"/>
      <c r="Z1113" s="12"/>
    </row>
    <row r="1114" spans="1:26" ht="13">
      <c r="A1114" s="24"/>
      <c r="B1114" s="9"/>
      <c r="C1114" s="19"/>
      <c r="D1114" s="19"/>
      <c r="E1114" s="19"/>
      <c r="F1114" s="19"/>
      <c r="G1114" s="19"/>
      <c r="H1114" s="19"/>
      <c r="I1114" s="19"/>
      <c r="J1114" s="19"/>
      <c r="K1114" s="4"/>
      <c r="L1114" s="10"/>
      <c r="M1114" s="19"/>
      <c r="N1114" s="19"/>
      <c r="O1114" s="19"/>
      <c r="P1114" s="11"/>
      <c r="Q1114" s="11"/>
      <c r="R1114" s="12"/>
      <c r="S1114" s="12"/>
      <c r="T1114" s="12"/>
      <c r="U1114" s="12"/>
      <c r="V1114" s="12"/>
      <c r="W1114" s="12"/>
      <c r="X1114" s="12"/>
      <c r="Y1114" s="12"/>
      <c r="Z1114" s="12"/>
    </row>
    <row r="1115" spans="1:26" ht="13">
      <c r="A1115" s="24"/>
      <c r="B1115" s="9"/>
      <c r="C1115" s="19"/>
      <c r="D1115" s="19"/>
      <c r="E1115" s="19"/>
      <c r="F1115" s="19"/>
      <c r="G1115" s="19"/>
      <c r="H1115" s="19"/>
      <c r="I1115" s="19"/>
      <c r="J1115" s="19"/>
      <c r="K1115" s="4"/>
      <c r="L1115" s="10"/>
      <c r="M1115" s="19"/>
      <c r="N1115" s="19"/>
      <c r="O1115" s="19"/>
      <c r="P1115" s="11"/>
      <c r="Q1115" s="11"/>
      <c r="R1115" s="12"/>
      <c r="S1115" s="12"/>
      <c r="T1115" s="12"/>
      <c r="U1115" s="12"/>
      <c r="V1115" s="12"/>
      <c r="W1115" s="12"/>
      <c r="X1115" s="12"/>
      <c r="Y1115" s="12"/>
      <c r="Z1115" s="12"/>
    </row>
    <row r="1116" spans="1:26" ht="13">
      <c r="A1116" s="24"/>
      <c r="B1116" s="9"/>
      <c r="C1116" s="19"/>
      <c r="D1116" s="19"/>
      <c r="E1116" s="19"/>
      <c r="F1116" s="19"/>
      <c r="G1116" s="19"/>
      <c r="H1116" s="19"/>
      <c r="I1116" s="19"/>
      <c r="J1116" s="19"/>
      <c r="K1116" s="4"/>
      <c r="L1116" s="10"/>
      <c r="M1116" s="19"/>
      <c r="N1116" s="19"/>
      <c r="O1116" s="19"/>
      <c r="P1116" s="11"/>
      <c r="Q1116" s="11"/>
      <c r="R1116" s="12"/>
      <c r="S1116" s="12"/>
      <c r="T1116" s="12"/>
      <c r="U1116" s="12"/>
      <c r="V1116" s="12"/>
      <c r="W1116" s="12"/>
      <c r="X1116" s="12"/>
      <c r="Y1116" s="12"/>
      <c r="Z1116" s="12"/>
    </row>
    <row r="1117" spans="1:26" ht="13">
      <c r="A1117" s="24"/>
      <c r="B1117" s="9"/>
      <c r="C1117" s="19"/>
      <c r="D1117" s="19"/>
      <c r="E1117" s="19"/>
      <c r="F1117" s="19"/>
      <c r="G1117" s="19"/>
      <c r="H1117" s="19"/>
      <c r="I1117" s="19"/>
      <c r="J1117" s="19"/>
      <c r="K1117" s="4"/>
      <c r="L1117" s="10"/>
      <c r="M1117" s="19"/>
      <c r="N1117" s="19"/>
      <c r="O1117" s="19"/>
      <c r="P1117" s="11"/>
      <c r="Q1117" s="11"/>
      <c r="R1117" s="12"/>
      <c r="S1117" s="12"/>
      <c r="T1117" s="12"/>
      <c r="U1117" s="12"/>
      <c r="V1117" s="12"/>
      <c r="W1117" s="12"/>
      <c r="X1117" s="12"/>
      <c r="Y1117" s="12"/>
      <c r="Z1117" s="12"/>
    </row>
    <row r="1118" spans="1:26" ht="13">
      <c r="A1118" s="24"/>
      <c r="B1118" s="9"/>
      <c r="C1118" s="19"/>
      <c r="D1118" s="19"/>
      <c r="E1118" s="19"/>
      <c r="F1118" s="19"/>
      <c r="G1118" s="19"/>
      <c r="H1118" s="19"/>
      <c r="I1118" s="19"/>
      <c r="J1118" s="19"/>
      <c r="K1118" s="4"/>
      <c r="L1118" s="10"/>
      <c r="M1118" s="19"/>
      <c r="N1118" s="19"/>
      <c r="O1118" s="19"/>
      <c r="P1118" s="11"/>
      <c r="Q1118" s="11"/>
      <c r="R1118" s="12"/>
      <c r="S1118" s="12"/>
      <c r="T1118" s="12"/>
      <c r="U1118" s="12"/>
      <c r="V1118" s="12"/>
      <c r="W1118" s="12"/>
      <c r="X1118" s="12"/>
      <c r="Y1118" s="12"/>
      <c r="Z1118" s="12"/>
    </row>
    <row r="1119" spans="1:26" ht="13">
      <c r="A1119" s="24"/>
      <c r="B1119" s="9"/>
      <c r="C1119" s="19"/>
      <c r="D1119" s="19"/>
      <c r="E1119" s="19"/>
      <c r="F1119" s="19"/>
      <c r="G1119" s="19"/>
      <c r="H1119" s="19"/>
      <c r="I1119" s="19"/>
      <c r="J1119" s="19"/>
      <c r="K1119" s="4"/>
      <c r="L1119" s="10"/>
      <c r="M1119" s="19"/>
      <c r="N1119" s="19"/>
      <c r="O1119" s="19"/>
      <c r="P1119" s="11"/>
      <c r="Q1119" s="11"/>
      <c r="R1119" s="12"/>
      <c r="S1119" s="12"/>
      <c r="T1119" s="12"/>
      <c r="U1119" s="12"/>
      <c r="V1119" s="12"/>
      <c r="W1119" s="12"/>
      <c r="X1119" s="12"/>
      <c r="Y1119" s="12"/>
      <c r="Z1119" s="12"/>
    </row>
    <row r="1120" spans="1:26" ht="13">
      <c r="A1120" s="24"/>
      <c r="B1120" s="9"/>
      <c r="C1120" s="19"/>
      <c r="D1120" s="19"/>
      <c r="E1120" s="19"/>
      <c r="F1120" s="19"/>
      <c r="G1120" s="19"/>
      <c r="H1120" s="19"/>
      <c r="I1120" s="19"/>
      <c r="J1120" s="19"/>
      <c r="K1120" s="4"/>
      <c r="L1120" s="10"/>
      <c r="M1120" s="19"/>
      <c r="N1120" s="19"/>
      <c r="O1120" s="19"/>
      <c r="P1120" s="11"/>
      <c r="Q1120" s="11"/>
      <c r="R1120" s="12"/>
      <c r="S1120" s="12"/>
      <c r="T1120" s="12"/>
      <c r="U1120" s="12"/>
      <c r="V1120" s="12"/>
      <c r="W1120" s="12"/>
      <c r="X1120" s="12"/>
      <c r="Y1120" s="12"/>
      <c r="Z1120" s="12"/>
    </row>
    <row r="1121" spans="1:26" ht="13">
      <c r="A1121" s="24"/>
      <c r="B1121" s="9"/>
      <c r="C1121" s="19"/>
      <c r="D1121" s="19"/>
      <c r="E1121" s="19"/>
      <c r="F1121" s="19"/>
      <c r="G1121" s="19"/>
      <c r="H1121" s="19"/>
      <c r="I1121" s="19"/>
      <c r="J1121" s="19"/>
      <c r="K1121" s="4"/>
      <c r="L1121" s="10"/>
      <c r="M1121" s="19"/>
      <c r="N1121" s="19"/>
      <c r="O1121" s="19"/>
      <c r="P1121" s="11"/>
      <c r="Q1121" s="11"/>
      <c r="R1121" s="12"/>
      <c r="S1121" s="12"/>
      <c r="T1121" s="12"/>
      <c r="U1121" s="12"/>
      <c r="V1121" s="12"/>
      <c r="W1121" s="12"/>
      <c r="X1121" s="12"/>
      <c r="Y1121" s="12"/>
      <c r="Z1121" s="12"/>
    </row>
    <row r="1122" spans="1:26" ht="13">
      <c r="A1122" s="24"/>
      <c r="B1122" s="9"/>
      <c r="C1122" s="19"/>
      <c r="D1122" s="19"/>
      <c r="E1122" s="19"/>
      <c r="F1122" s="19"/>
      <c r="G1122" s="19"/>
      <c r="H1122" s="19"/>
      <c r="I1122" s="19"/>
      <c r="J1122" s="19"/>
      <c r="K1122" s="4"/>
      <c r="L1122" s="10"/>
      <c r="M1122" s="19"/>
      <c r="N1122" s="19"/>
      <c r="O1122" s="19"/>
      <c r="P1122" s="11"/>
      <c r="Q1122" s="11"/>
      <c r="R1122" s="12"/>
      <c r="S1122" s="12"/>
      <c r="T1122" s="12"/>
      <c r="U1122" s="12"/>
      <c r="V1122" s="12"/>
      <c r="W1122" s="12"/>
      <c r="X1122" s="12"/>
      <c r="Y1122" s="12"/>
      <c r="Z1122" s="12"/>
    </row>
    <row r="1123" spans="1:26" ht="13">
      <c r="A1123" s="24"/>
      <c r="B1123" s="9"/>
      <c r="C1123" s="19"/>
      <c r="D1123" s="19"/>
      <c r="E1123" s="19"/>
      <c r="F1123" s="19"/>
      <c r="G1123" s="19"/>
      <c r="H1123" s="19"/>
      <c r="I1123" s="19"/>
      <c r="J1123" s="19"/>
      <c r="K1123" s="4"/>
      <c r="L1123" s="10"/>
      <c r="M1123" s="19"/>
      <c r="N1123" s="19"/>
      <c r="O1123" s="19"/>
      <c r="P1123" s="11"/>
      <c r="Q1123" s="11"/>
      <c r="R1123" s="12"/>
      <c r="S1123" s="12"/>
      <c r="T1123" s="12"/>
      <c r="U1123" s="12"/>
      <c r="V1123" s="12"/>
      <c r="W1123" s="12"/>
      <c r="X1123" s="12"/>
      <c r="Y1123" s="12"/>
      <c r="Z1123" s="12"/>
    </row>
    <row r="1124" spans="1:26" ht="13">
      <c r="A1124" s="24"/>
      <c r="B1124" s="9"/>
      <c r="C1124" s="19"/>
      <c r="D1124" s="19"/>
      <c r="E1124" s="19"/>
      <c r="F1124" s="19"/>
      <c r="G1124" s="19"/>
      <c r="H1124" s="19"/>
      <c r="I1124" s="19"/>
      <c r="J1124" s="19"/>
      <c r="K1124" s="4"/>
      <c r="L1124" s="10"/>
      <c r="M1124" s="19"/>
      <c r="N1124" s="19"/>
      <c r="O1124" s="19"/>
      <c r="P1124" s="11"/>
      <c r="Q1124" s="11"/>
      <c r="R1124" s="12"/>
      <c r="S1124" s="12"/>
      <c r="T1124" s="12"/>
      <c r="U1124" s="12"/>
      <c r="V1124" s="12"/>
      <c r="W1124" s="12"/>
      <c r="X1124" s="12"/>
      <c r="Y1124" s="12"/>
      <c r="Z1124" s="12"/>
    </row>
    <row r="1125" spans="1:26" ht="13">
      <c r="A1125" s="24"/>
      <c r="B1125" s="9"/>
      <c r="C1125" s="19"/>
      <c r="D1125" s="19"/>
      <c r="E1125" s="19"/>
      <c r="F1125" s="19"/>
      <c r="G1125" s="19"/>
      <c r="H1125" s="19"/>
      <c r="I1125" s="19"/>
      <c r="J1125" s="19"/>
      <c r="K1125" s="4"/>
      <c r="L1125" s="10"/>
      <c r="M1125" s="19"/>
      <c r="N1125" s="19"/>
      <c r="O1125" s="19"/>
      <c r="P1125" s="11"/>
      <c r="Q1125" s="11"/>
      <c r="R1125" s="12"/>
      <c r="S1125" s="12"/>
      <c r="T1125" s="12"/>
      <c r="U1125" s="12"/>
      <c r="V1125" s="12"/>
      <c r="W1125" s="12"/>
      <c r="X1125" s="12"/>
      <c r="Y1125" s="12"/>
      <c r="Z1125" s="12"/>
    </row>
    <row r="1126" spans="1:26" ht="13">
      <c r="A1126" s="24"/>
      <c r="B1126" s="9"/>
      <c r="C1126" s="19"/>
      <c r="D1126" s="19"/>
      <c r="E1126" s="19"/>
      <c r="F1126" s="19"/>
      <c r="G1126" s="19"/>
      <c r="H1126" s="19"/>
      <c r="I1126" s="19"/>
      <c r="J1126" s="19"/>
      <c r="K1126" s="4"/>
      <c r="L1126" s="10"/>
      <c r="M1126" s="19"/>
      <c r="N1126" s="19"/>
      <c r="O1126" s="19"/>
      <c r="P1126" s="11"/>
      <c r="Q1126" s="11"/>
      <c r="R1126" s="12"/>
      <c r="S1126" s="12"/>
      <c r="T1126" s="12"/>
      <c r="U1126" s="12"/>
      <c r="V1126" s="12"/>
      <c r="W1126" s="12"/>
      <c r="X1126" s="12"/>
      <c r="Y1126" s="12"/>
      <c r="Z1126" s="12"/>
    </row>
    <row r="1127" spans="1:26" ht="13">
      <c r="A1127" s="24"/>
      <c r="B1127" s="9"/>
      <c r="C1127" s="19"/>
      <c r="D1127" s="19"/>
      <c r="E1127" s="19"/>
      <c r="F1127" s="19"/>
      <c r="G1127" s="19"/>
      <c r="H1127" s="19"/>
      <c r="I1127" s="19"/>
      <c r="J1127" s="19"/>
      <c r="K1127" s="4"/>
      <c r="L1127" s="10"/>
      <c r="M1127" s="19"/>
      <c r="N1127" s="19"/>
      <c r="O1127" s="19"/>
      <c r="P1127" s="11"/>
      <c r="Q1127" s="11"/>
      <c r="R1127" s="12"/>
      <c r="S1127" s="12"/>
      <c r="T1127" s="12"/>
      <c r="U1127" s="12"/>
      <c r="V1127" s="12"/>
      <c r="W1127" s="12"/>
      <c r="X1127" s="12"/>
      <c r="Y1127" s="12"/>
      <c r="Z1127" s="12"/>
    </row>
    <row r="1128" spans="1:26" ht="13">
      <c r="A1128" s="24"/>
      <c r="B1128" s="9"/>
      <c r="C1128" s="19"/>
      <c r="D1128" s="19"/>
      <c r="E1128" s="19"/>
      <c r="F1128" s="19"/>
      <c r="G1128" s="19"/>
      <c r="H1128" s="19"/>
      <c r="I1128" s="19"/>
      <c r="J1128" s="19"/>
      <c r="K1128" s="4"/>
      <c r="L1128" s="10"/>
      <c r="M1128" s="19"/>
      <c r="N1128" s="19"/>
      <c r="O1128" s="19"/>
      <c r="P1128" s="11"/>
      <c r="Q1128" s="11"/>
      <c r="R1128" s="12"/>
      <c r="S1128" s="12"/>
      <c r="T1128" s="12"/>
      <c r="U1128" s="12"/>
      <c r="V1128" s="12"/>
      <c r="W1128" s="12"/>
      <c r="X1128" s="12"/>
      <c r="Y1128" s="12"/>
      <c r="Z1128" s="12"/>
    </row>
    <row r="1129" spans="1:26" ht="13">
      <c r="A1129" s="24"/>
      <c r="B1129" s="9"/>
      <c r="C1129" s="19"/>
      <c r="D1129" s="19"/>
      <c r="E1129" s="19"/>
      <c r="F1129" s="19"/>
      <c r="G1129" s="19"/>
      <c r="H1129" s="19"/>
      <c r="I1129" s="19"/>
      <c r="J1129" s="19"/>
      <c r="K1129" s="4"/>
      <c r="L1129" s="10"/>
      <c r="M1129" s="19"/>
      <c r="N1129" s="19"/>
      <c r="O1129" s="19"/>
      <c r="P1129" s="11"/>
      <c r="Q1129" s="11"/>
      <c r="R1129" s="12"/>
      <c r="S1129" s="12"/>
      <c r="T1129" s="12"/>
      <c r="U1129" s="12"/>
      <c r="V1129" s="12"/>
      <c r="W1129" s="12"/>
      <c r="X1129" s="12"/>
      <c r="Y1129" s="12"/>
      <c r="Z1129" s="12"/>
    </row>
    <row r="1130" spans="1:26" ht="13">
      <c r="A1130" s="24"/>
      <c r="B1130" s="9"/>
      <c r="C1130" s="19"/>
      <c r="D1130" s="19"/>
      <c r="E1130" s="19"/>
      <c r="F1130" s="19"/>
      <c r="G1130" s="19"/>
      <c r="H1130" s="19"/>
      <c r="I1130" s="19"/>
      <c r="J1130" s="19"/>
      <c r="K1130" s="4"/>
      <c r="L1130" s="10"/>
      <c r="M1130" s="19"/>
      <c r="N1130" s="19"/>
      <c r="O1130" s="19"/>
      <c r="P1130" s="11"/>
      <c r="Q1130" s="11"/>
      <c r="R1130" s="12"/>
      <c r="S1130" s="12"/>
      <c r="T1130" s="12"/>
      <c r="U1130" s="12"/>
      <c r="V1130" s="12"/>
      <c r="W1130" s="12"/>
      <c r="X1130" s="12"/>
      <c r="Y1130" s="12"/>
      <c r="Z1130" s="12"/>
    </row>
    <row r="1131" spans="1:26" ht="13">
      <c r="A1131" s="24"/>
      <c r="B1131" s="9"/>
      <c r="C1131" s="19"/>
      <c r="D1131" s="19"/>
      <c r="E1131" s="19"/>
      <c r="F1131" s="19"/>
      <c r="G1131" s="19"/>
      <c r="H1131" s="19"/>
      <c r="I1131" s="19"/>
      <c r="J1131" s="19"/>
      <c r="K1131" s="4"/>
      <c r="L1131" s="10"/>
      <c r="M1131" s="19"/>
      <c r="N1131" s="19"/>
      <c r="O1131" s="19"/>
      <c r="P1131" s="11"/>
      <c r="Q1131" s="11"/>
      <c r="R1131" s="12"/>
      <c r="S1131" s="12"/>
      <c r="T1131" s="12"/>
      <c r="U1131" s="12"/>
      <c r="V1131" s="12"/>
      <c r="W1131" s="12"/>
      <c r="X1131" s="12"/>
      <c r="Y1131" s="12"/>
      <c r="Z1131" s="12"/>
    </row>
    <row r="1132" spans="1:26" ht="13">
      <c r="A1132" s="24"/>
      <c r="B1132" s="9"/>
      <c r="C1132" s="19"/>
      <c r="D1132" s="19"/>
      <c r="E1132" s="19"/>
      <c r="F1132" s="19"/>
      <c r="G1132" s="19"/>
      <c r="H1132" s="19"/>
      <c r="I1132" s="19"/>
      <c r="J1132" s="19"/>
      <c r="K1132" s="4"/>
      <c r="L1132" s="10"/>
      <c r="M1132" s="19"/>
      <c r="N1132" s="19"/>
      <c r="O1132" s="19"/>
      <c r="P1132" s="11"/>
      <c r="Q1132" s="11"/>
      <c r="R1132" s="12"/>
      <c r="S1132" s="12"/>
      <c r="T1132" s="12"/>
      <c r="U1132" s="12"/>
      <c r="V1132" s="12"/>
      <c r="W1132" s="12"/>
      <c r="X1132" s="12"/>
      <c r="Y1132" s="12"/>
      <c r="Z1132" s="12"/>
    </row>
    <row r="1133" spans="1:26" ht="13">
      <c r="A1133" s="24"/>
      <c r="B1133" s="9"/>
      <c r="C1133" s="19"/>
      <c r="D1133" s="19"/>
      <c r="E1133" s="19"/>
      <c r="F1133" s="19"/>
      <c r="G1133" s="19"/>
      <c r="H1133" s="19"/>
      <c r="I1133" s="19"/>
      <c r="J1133" s="19"/>
      <c r="K1133" s="4"/>
      <c r="L1133" s="10"/>
      <c r="M1133" s="19"/>
      <c r="N1133" s="19"/>
      <c r="O1133" s="19"/>
      <c r="P1133" s="11"/>
      <c r="Q1133" s="11"/>
      <c r="R1133" s="12"/>
      <c r="S1133" s="12"/>
      <c r="T1133" s="12"/>
      <c r="U1133" s="12"/>
      <c r="V1133" s="12"/>
      <c r="W1133" s="12"/>
      <c r="X1133" s="12"/>
      <c r="Y1133" s="12"/>
      <c r="Z1133" s="12"/>
    </row>
    <row r="1134" spans="1:26" ht="13">
      <c r="A1134" s="24"/>
      <c r="B1134" s="9"/>
      <c r="C1134" s="19"/>
      <c r="D1134" s="19"/>
      <c r="E1134" s="19"/>
      <c r="F1134" s="19"/>
      <c r="G1134" s="19"/>
      <c r="H1134" s="19"/>
      <c r="I1134" s="19"/>
      <c r="J1134" s="19"/>
      <c r="K1134" s="4"/>
      <c r="L1134" s="10"/>
      <c r="M1134" s="19"/>
      <c r="N1134" s="19"/>
      <c r="O1134" s="19"/>
      <c r="P1134" s="11"/>
      <c r="Q1134" s="11"/>
      <c r="R1134" s="12"/>
      <c r="S1134" s="12"/>
      <c r="T1134" s="12"/>
      <c r="U1134" s="12"/>
      <c r="V1134" s="12"/>
      <c r="W1134" s="12"/>
      <c r="X1134" s="12"/>
      <c r="Y1134" s="12"/>
      <c r="Z1134" s="12"/>
    </row>
    <row r="1135" spans="1:26" ht="13">
      <c r="A1135" s="24"/>
      <c r="B1135" s="9"/>
      <c r="C1135" s="19"/>
      <c r="D1135" s="19"/>
      <c r="E1135" s="19"/>
      <c r="F1135" s="19"/>
      <c r="G1135" s="19"/>
      <c r="H1135" s="19"/>
      <c r="I1135" s="19"/>
      <c r="J1135" s="19"/>
      <c r="K1135" s="4"/>
      <c r="L1135" s="10"/>
      <c r="M1135" s="19"/>
      <c r="N1135" s="19"/>
      <c r="O1135" s="19"/>
      <c r="P1135" s="11"/>
      <c r="Q1135" s="11"/>
      <c r="R1135" s="12"/>
      <c r="S1135" s="12"/>
      <c r="T1135" s="12"/>
      <c r="U1135" s="12"/>
      <c r="V1135" s="12"/>
      <c r="W1135" s="12"/>
      <c r="X1135" s="12"/>
      <c r="Y1135" s="12"/>
      <c r="Z1135" s="12"/>
    </row>
    <row r="1136" spans="1:26" ht="13">
      <c r="A1136" s="24"/>
      <c r="B1136" s="9"/>
      <c r="C1136" s="19"/>
      <c r="D1136" s="19"/>
      <c r="E1136" s="19"/>
      <c r="F1136" s="19"/>
      <c r="G1136" s="19"/>
      <c r="H1136" s="19"/>
      <c r="I1136" s="19"/>
      <c r="J1136" s="19"/>
      <c r="K1136" s="4"/>
      <c r="L1136" s="10"/>
      <c r="M1136" s="19"/>
      <c r="N1136" s="19"/>
      <c r="O1136" s="19"/>
      <c r="P1136" s="11"/>
      <c r="Q1136" s="11"/>
      <c r="R1136" s="12"/>
      <c r="S1136" s="12"/>
      <c r="T1136" s="12"/>
      <c r="U1136" s="12"/>
      <c r="V1136" s="12"/>
      <c r="W1136" s="12"/>
      <c r="X1136" s="12"/>
      <c r="Y1136" s="12"/>
      <c r="Z1136" s="12"/>
    </row>
    <row r="1137" spans="1:26" ht="13">
      <c r="A1137" s="24"/>
      <c r="B1137" s="9"/>
      <c r="C1137" s="19"/>
      <c r="D1137" s="19"/>
      <c r="E1137" s="19"/>
      <c r="F1137" s="19"/>
      <c r="G1137" s="19"/>
      <c r="H1137" s="19"/>
      <c r="I1137" s="19"/>
      <c r="J1137" s="19"/>
      <c r="K1137" s="4"/>
      <c r="L1137" s="10"/>
      <c r="M1137" s="19"/>
      <c r="N1137" s="19"/>
      <c r="O1137" s="19"/>
      <c r="P1137" s="11"/>
      <c r="Q1137" s="11"/>
      <c r="R1137" s="12"/>
      <c r="S1137" s="12"/>
      <c r="T1137" s="12"/>
      <c r="U1137" s="12"/>
      <c r="V1137" s="12"/>
      <c r="W1137" s="12"/>
      <c r="X1137" s="12"/>
      <c r="Y1137" s="12"/>
      <c r="Z1137" s="12"/>
    </row>
    <row r="1138" spans="1:26" ht="13">
      <c r="A1138" s="24"/>
      <c r="B1138" s="9"/>
      <c r="C1138" s="19"/>
      <c r="D1138" s="19"/>
      <c r="E1138" s="19"/>
      <c r="F1138" s="19"/>
      <c r="G1138" s="19"/>
      <c r="H1138" s="19"/>
      <c r="I1138" s="19"/>
      <c r="J1138" s="19"/>
      <c r="K1138" s="4"/>
      <c r="L1138" s="10"/>
      <c r="M1138" s="19"/>
      <c r="N1138" s="19"/>
      <c r="O1138" s="19"/>
      <c r="P1138" s="11"/>
      <c r="Q1138" s="11"/>
      <c r="R1138" s="12"/>
      <c r="S1138" s="12"/>
      <c r="T1138" s="12"/>
      <c r="U1138" s="12"/>
      <c r="V1138" s="12"/>
      <c r="W1138" s="12"/>
      <c r="X1138" s="12"/>
      <c r="Y1138" s="12"/>
      <c r="Z1138" s="12"/>
    </row>
    <row r="1139" spans="1:26" ht="13">
      <c r="A1139" s="24"/>
      <c r="B1139" s="9"/>
      <c r="C1139" s="19"/>
      <c r="D1139" s="19"/>
      <c r="E1139" s="19"/>
      <c r="F1139" s="19"/>
      <c r="G1139" s="19"/>
      <c r="H1139" s="19"/>
      <c r="I1139" s="19"/>
      <c r="J1139" s="19"/>
      <c r="K1139" s="4"/>
      <c r="L1139" s="10"/>
      <c r="M1139" s="19"/>
      <c r="N1139" s="19"/>
      <c r="O1139" s="19"/>
      <c r="P1139" s="11"/>
      <c r="Q1139" s="11"/>
      <c r="R1139" s="12"/>
      <c r="S1139" s="12"/>
      <c r="T1139" s="12"/>
      <c r="U1139" s="12"/>
      <c r="V1139" s="12"/>
      <c r="W1139" s="12"/>
      <c r="X1139" s="12"/>
      <c r="Y1139" s="12"/>
      <c r="Z1139" s="12"/>
    </row>
    <row r="1140" spans="1:26" ht="13">
      <c r="A1140" s="24"/>
      <c r="B1140" s="9"/>
      <c r="C1140" s="19"/>
      <c r="D1140" s="19"/>
      <c r="E1140" s="19"/>
      <c r="F1140" s="19"/>
      <c r="G1140" s="19"/>
      <c r="H1140" s="19"/>
      <c r="I1140" s="19"/>
      <c r="J1140" s="19"/>
      <c r="K1140" s="4"/>
      <c r="L1140" s="10"/>
      <c r="M1140" s="19"/>
      <c r="N1140" s="19"/>
      <c r="O1140" s="19"/>
      <c r="P1140" s="11"/>
      <c r="Q1140" s="11"/>
      <c r="R1140" s="12"/>
      <c r="S1140" s="12"/>
      <c r="T1140" s="12"/>
      <c r="U1140" s="12"/>
      <c r="V1140" s="12"/>
      <c r="W1140" s="12"/>
      <c r="X1140" s="12"/>
      <c r="Y1140" s="12"/>
      <c r="Z1140" s="12"/>
    </row>
    <row r="1141" spans="1:26" ht="13">
      <c r="A1141" s="24"/>
      <c r="B1141" s="9"/>
      <c r="C1141" s="19"/>
      <c r="D1141" s="19"/>
      <c r="E1141" s="19"/>
      <c r="F1141" s="19"/>
      <c r="G1141" s="19"/>
      <c r="H1141" s="19"/>
      <c r="I1141" s="19"/>
      <c r="J1141" s="19"/>
      <c r="K1141" s="4"/>
      <c r="L1141" s="10"/>
      <c r="M1141" s="19"/>
      <c r="N1141" s="19"/>
      <c r="O1141" s="19"/>
      <c r="P1141" s="11"/>
      <c r="Q1141" s="11"/>
      <c r="R1141" s="12"/>
      <c r="S1141" s="12"/>
      <c r="T1141" s="12"/>
      <c r="U1141" s="12"/>
      <c r="V1141" s="12"/>
      <c r="W1141" s="12"/>
      <c r="X1141" s="12"/>
      <c r="Y1141" s="12"/>
      <c r="Z1141" s="12"/>
    </row>
    <row r="1142" spans="1:26" ht="13">
      <c r="A1142" s="24"/>
      <c r="B1142" s="9"/>
      <c r="C1142" s="19"/>
      <c r="D1142" s="19"/>
      <c r="E1142" s="19"/>
      <c r="F1142" s="19"/>
      <c r="G1142" s="19"/>
      <c r="H1142" s="19"/>
      <c r="I1142" s="19"/>
      <c r="J1142" s="19"/>
      <c r="K1142" s="4"/>
      <c r="L1142" s="10"/>
      <c r="M1142" s="19"/>
      <c r="N1142" s="19"/>
      <c r="O1142" s="19"/>
      <c r="P1142" s="11"/>
      <c r="Q1142" s="11"/>
      <c r="R1142" s="12"/>
      <c r="S1142" s="12"/>
      <c r="T1142" s="12"/>
      <c r="U1142" s="12"/>
      <c r="V1142" s="12"/>
      <c r="W1142" s="12"/>
      <c r="X1142" s="12"/>
      <c r="Y1142" s="12"/>
      <c r="Z1142" s="12"/>
    </row>
    <row r="1143" spans="1:26" ht="13">
      <c r="A1143" s="24"/>
      <c r="B1143" s="9"/>
      <c r="C1143" s="19"/>
      <c r="D1143" s="19"/>
      <c r="E1143" s="19"/>
      <c r="F1143" s="19"/>
      <c r="G1143" s="19"/>
      <c r="H1143" s="19"/>
      <c r="I1143" s="19"/>
      <c r="J1143" s="19"/>
      <c r="K1143" s="4"/>
      <c r="L1143" s="10"/>
      <c r="M1143" s="19"/>
      <c r="N1143" s="19"/>
      <c r="O1143" s="19"/>
      <c r="P1143" s="11"/>
      <c r="Q1143" s="11"/>
      <c r="R1143" s="12"/>
      <c r="S1143" s="12"/>
      <c r="T1143" s="12"/>
      <c r="U1143" s="12"/>
      <c r="V1143" s="12"/>
      <c r="W1143" s="12"/>
      <c r="X1143" s="12"/>
      <c r="Y1143" s="12"/>
      <c r="Z1143" s="12"/>
    </row>
    <row r="1144" spans="1:26" ht="13">
      <c r="A1144" s="24"/>
      <c r="B1144" s="9"/>
      <c r="C1144" s="19"/>
      <c r="D1144" s="19"/>
      <c r="E1144" s="19"/>
      <c r="F1144" s="19"/>
      <c r="G1144" s="19"/>
      <c r="H1144" s="19"/>
      <c r="I1144" s="19"/>
      <c r="J1144" s="19"/>
      <c r="K1144" s="4"/>
      <c r="L1144" s="10"/>
      <c r="M1144" s="19"/>
      <c r="N1144" s="19"/>
      <c r="O1144" s="19"/>
      <c r="P1144" s="11"/>
      <c r="Q1144" s="11"/>
      <c r="R1144" s="12"/>
      <c r="S1144" s="12"/>
      <c r="T1144" s="12"/>
      <c r="U1144" s="12"/>
      <c r="V1144" s="12"/>
      <c r="W1144" s="12"/>
      <c r="X1144" s="12"/>
      <c r="Y1144" s="12"/>
      <c r="Z1144" s="12"/>
    </row>
    <row r="1145" spans="1:26" ht="13">
      <c r="A1145" s="24"/>
      <c r="B1145" s="9"/>
      <c r="C1145" s="19"/>
      <c r="D1145" s="19"/>
      <c r="E1145" s="19"/>
      <c r="F1145" s="19"/>
      <c r="G1145" s="19"/>
      <c r="H1145" s="19"/>
      <c r="I1145" s="19"/>
      <c r="J1145" s="19"/>
      <c r="K1145" s="4"/>
      <c r="L1145" s="10"/>
      <c r="M1145" s="19"/>
      <c r="N1145" s="19"/>
      <c r="O1145" s="19"/>
      <c r="P1145" s="11"/>
      <c r="Q1145" s="11"/>
      <c r="R1145" s="12"/>
      <c r="S1145" s="12"/>
      <c r="T1145" s="12"/>
      <c r="U1145" s="12"/>
      <c r="V1145" s="12"/>
      <c r="W1145" s="12"/>
      <c r="X1145" s="12"/>
      <c r="Y1145" s="12"/>
      <c r="Z1145" s="12"/>
    </row>
    <row r="1146" spans="1:26" ht="13">
      <c r="A1146" s="24"/>
      <c r="B1146" s="9"/>
      <c r="C1146" s="19"/>
      <c r="D1146" s="19"/>
      <c r="E1146" s="19"/>
      <c r="F1146" s="19"/>
      <c r="G1146" s="19"/>
      <c r="H1146" s="19"/>
      <c r="I1146" s="19"/>
      <c r="J1146" s="19"/>
      <c r="K1146" s="4"/>
      <c r="L1146" s="10"/>
      <c r="M1146" s="19"/>
      <c r="N1146" s="19"/>
      <c r="O1146" s="19"/>
      <c r="P1146" s="11"/>
      <c r="Q1146" s="11"/>
      <c r="R1146" s="12"/>
      <c r="S1146" s="12"/>
      <c r="T1146" s="12"/>
      <c r="U1146" s="12"/>
      <c r="V1146" s="12"/>
      <c r="W1146" s="12"/>
      <c r="X1146" s="12"/>
      <c r="Y1146" s="12"/>
      <c r="Z1146" s="12"/>
    </row>
    <row r="1147" spans="1:26" ht="13">
      <c r="A1147" s="24"/>
      <c r="B1147" s="9"/>
      <c r="C1147" s="19"/>
      <c r="D1147" s="19"/>
      <c r="E1147" s="19"/>
      <c r="F1147" s="19"/>
      <c r="G1147" s="19"/>
      <c r="H1147" s="19"/>
      <c r="I1147" s="19"/>
      <c r="J1147" s="19"/>
      <c r="K1147" s="4"/>
      <c r="L1147" s="10"/>
      <c r="M1147" s="19"/>
      <c r="N1147" s="19"/>
      <c r="O1147" s="19"/>
      <c r="P1147" s="11"/>
      <c r="Q1147" s="11"/>
      <c r="R1147" s="12"/>
      <c r="S1147" s="12"/>
      <c r="T1147" s="12"/>
      <c r="U1147" s="12"/>
      <c r="V1147" s="12"/>
      <c r="W1147" s="12"/>
      <c r="X1147" s="12"/>
      <c r="Y1147" s="12"/>
      <c r="Z1147" s="12"/>
    </row>
    <row r="1148" spans="1:26" ht="13">
      <c r="A1148" s="24"/>
      <c r="B1148" s="9"/>
      <c r="C1148" s="19"/>
      <c r="D1148" s="19"/>
      <c r="E1148" s="19"/>
      <c r="F1148" s="19"/>
      <c r="G1148" s="19"/>
      <c r="H1148" s="19"/>
      <c r="I1148" s="19"/>
      <c r="J1148" s="19"/>
      <c r="K1148" s="4"/>
      <c r="L1148" s="10"/>
      <c r="M1148" s="19"/>
      <c r="N1148" s="19"/>
      <c r="O1148" s="19"/>
      <c r="P1148" s="11"/>
      <c r="Q1148" s="11"/>
      <c r="R1148" s="12"/>
      <c r="S1148" s="12"/>
      <c r="T1148" s="12"/>
      <c r="U1148" s="12"/>
      <c r="V1148" s="12"/>
      <c r="W1148" s="12"/>
      <c r="X1148" s="12"/>
      <c r="Y1148" s="12"/>
      <c r="Z1148" s="12"/>
    </row>
    <row r="1149" spans="1:26" ht="13">
      <c r="A1149" s="24"/>
      <c r="B1149" s="9"/>
      <c r="C1149" s="19"/>
      <c r="D1149" s="19"/>
      <c r="E1149" s="19"/>
      <c r="F1149" s="19"/>
      <c r="G1149" s="19"/>
      <c r="H1149" s="19"/>
      <c r="I1149" s="19"/>
      <c r="J1149" s="19"/>
      <c r="K1149" s="4"/>
      <c r="L1149" s="10"/>
      <c r="M1149" s="19"/>
      <c r="N1149" s="19"/>
      <c r="O1149" s="19"/>
      <c r="P1149" s="11"/>
      <c r="Q1149" s="11"/>
      <c r="R1149" s="12"/>
      <c r="S1149" s="12"/>
      <c r="T1149" s="12"/>
      <c r="U1149" s="12"/>
      <c r="V1149" s="12"/>
      <c r="W1149" s="12"/>
      <c r="X1149" s="12"/>
      <c r="Y1149" s="12"/>
      <c r="Z1149" s="12"/>
    </row>
    <row r="1150" spans="1:26" ht="13">
      <c r="A1150" s="24"/>
      <c r="B1150" s="9"/>
      <c r="C1150" s="19"/>
      <c r="D1150" s="19"/>
      <c r="E1150" s="19"/>
      <c r="F1150" s="19"/>
      <c r="G1150" s="19"/>
      <c r="H1150" s="19"/>
      <c r="I1150" s="19"/>
      <c r="J1150" s="19"/>
      <c r="K1150" s="4"/>
      <c r="L1150" s="10"/>
      <c r="M1150" s="19"/>
      <c r="N1150" s="19"/>
      <c r="O1150" s="19"/>
      <c r="P1150" s="11"/>
      <c r="Q1150" s="11"/>
      <c r="R1150" s="12"/>
      <c r="S1150" s="12"/>
      <c r="T1150" s="12"/>
      <c r="U1150" s="12"/>
      <c r="V1150" s="12"/>
      <c r="W1150" s="12"/>
      <c r="X1150" s="12"/>
      <c r="Y1150" s="12"/>
      <c r="Z1150" s="12"/>
    </row>
    <row r="1151" spans="1:26" ht="13">
      <c r="A1151" s="24"/>
      <c r="B1151" s="9"/>
      <c r="C1151" s="19"/>
      <c r="D1151" s="19"/>
      <c r="E1151" s="19"/>
      <c r="F1151" s="19"/>
      <c r="G1151" s="19"/>
      <c r="H1151" s="19"/>
      <c r="I1151" s="19"/>
      <c r="J1151" s="19"/>
      <c r="K1151" s="4"/>
      <c r="L1151" s="10"/>
      <c r="M1151" s="19"/>
      <c r="N1151" s="19"/>
      <c r="O1151" s="19"/>
      <c r="P1151" s="11"/>
      <c r="Q1151" s="11"/>
      <c r="R1151" s="12"/>
      <c r="S1151" s="12"/>
      <c r="T1151" s="12"/>
      <c r="U1151" s="12"/>
      <c r="V1151" s="12"/>
      <c r="W1151" s="12"/>
      <c r="X1151" s="12"/>
      <c r="Y1151" s="12"/>
      <c r="Z1151" s="12"/>
    </row>
    <row r="1152" spans="1:26" ht="13">
      <c r="A1152" s="24"/>
      <c r="B1152" s="9"/>
      <c r="C1152" s="19"/>
      <c r="D1152" s="19"/>
      <c r="E1152" s="19"/>
      <c r="F1152" s="19"/>
      <c r="G1152" s="19"/>
      <c r="H1152" s="19"/>
      <c r="I1152" s="19"/>
      <c r="J1152" s="19"/>
      <c r="K1152" s="4"/>
      <c r="L1152" s="10"/>
      <c r="M1152" s="19"/>
      <c r="N1152" s="19"/>
      <c r="O1152" s="19"/>
      <c r="P1152" s="11"/>
      <c r="Q1152" s="11"/>
      <c r="R1152" s="12"/>
      <c r="S1152" s="12"/>
      <c r="T1152" s="12"/>
      <c r="U1152" s="12"/>
      <c r="V1152" s="12"/>
      <c r="W1152" s="12"/>
      <c r="X1152" s="12"/>
      <c r="Y1152" s="12"/>
      <c r="Z1152" s="12"/>
    </row>
    <row r="1153" spans="1:26" ht="13">
      <c r="A1153" s="24"/>
      <c r="B1153" s="9"/>
      <c r="C1153" s="19"/>
      <c r="D1153" s="19"/>
      <c r="E1153" s="19"/>
      <c r="F1153" s="19"/>
      <c r="G1153" s="19"/>
      <c r="H1153" s="19"/>
      <c r="I1153" s="19"/>
      <c r="J1153" s="19"/>
      <c r="K1153" s="4"/>
      <c r="L1153" s="10"/>
      <c r="M1153" s="19"/>
      <c r="N1153" s="19"/>
      <c r="O1153" s="19"/>
      <c r="P1153" s="11"/>
      <c r="Q1153" s="11"/>
      <c r="R1153" s="12"/>
      <c r="S1153" s="12"/>
      <c r="T1153" s="12"/>
      <c r="U1153" s="12"/>
      <c r="V1153" s="12"/>
      <c r="W1153" s="12"/>
      <c r="X1153" s="12"/>
      <c r="Y1153" s="12"/>
      <c r="Z1153" s="12"/>
    </row>
    <row r="1154" spans="1:26" ht="13">
      <c r="A1154" s="24"/>
      <c r="B1154" s="9"/>
      <c r="C1154" s="19"/>
      <c r="D1154" s="19"/>
      <c r="E1154" s="19"/>
      <c r="F1154" s="19"/>
      <c r="G1154" s="19"/>
      <c r="H1154" s="19"/>
      <c r="I1154" s="19"/>
      <c r="J1154" s="19"/>
      <c r="K1154" s="4"/>
      <c r="L1154" s="10"/>
      <c r="M1154" s="19"/>
      <c r="N1154" s="19"/>
      <c r="O1154" s="19"/>
      <c r="P1154" s="11"/>
      <c r="Q1154" s="11"/>
      <c r="R1154" s="12"/>
      <c r="S1154" s="12"/>
      <c r="T1154" s="12"/>
      <c r="U1154" s="12"/>
      <c r="V1154" s="12"/>
      <c r="W1154" s="12"/>
      <c r="X1154" s="12"/>
      <c r="Y1154" s="12"/>
      <c r="Z1154" s="12"/>
    </row>
    <row r="1155" spans="1:26" ht="13">
      <c r="A1155" s="24"/>
      <c r="B1155" s="9"/>
      <c r="C1155" s="19"/>
      <c r="D1155" s="19"/>
      <c r="E1155" s="19"/>
      <c r="F1155" s="19"/>
      <c r="G1155" s="19"/>
      <c r="H1155" s="19"/>
      <c r="I1155" s="19"/>
      <c r="J1155" s="19"/>
      <c r="K1155" s="4"/>
      <c r="L1155" s="10"/>
      <c r="M1155" s="19"/>
      <c r="N1155" s="19"/>
      <c r="O1155" s="19"/>
      <c r="P1155" s="11"/>
      <c r="Q1155" s="11"/>
      <c r="R1155" s="12"/>
      <c r="S1155" s="12"/>
      <c r="T1155" s="12"/>
      <c r="U1155" s="12"/>
      <c r="V1155" s="12"/>
      <c r="W1155" s="12"/>
      <c r="X1155" s="12"/>
      <c r="Y1155" s="12"/>
      <c r="Z1155" s="12"/>
    </row>
    <row r="1156" spans="1:26" ht="13">
      <c r="A1156" s="24"/>
      <c r="B1156" s="9"/>
      <c r="C1156" s="19"/>
      <c r="D1156" s="19"/>
      <c r="E1156" s="19"/>
      <c r="F1156" s="19"/>
      <c r="G1156" s="19"/>
      <c r="H1156" s="19"/>
      <c r="I1156" s="19"/>
      <c r="J1156" s="19"/>
      <c r="K1156" s="4"/>
      <c r="L1156" s="10"/>
      <c r="M1156" s="19"/>
      <c r="N1156" s="19"/>
      <c r="O1156" s="19"/>
      <c r="P1156" s="11"/>
      <c r="Q1156" s="11"/>
      <c r="R1156" s="12"/>
      <c r="S1156" s="12"/>
      <c r="T1156" s="12"/>
      <c r="U1156" s="12"/>
      <c r="V1156" s="12"/>
      <c r="W1156" s="12"/>
      <c r="X1156" s="12"/>
      <c r="Y1156" s="12"/>
      <c r="Z1156" s="12"/>
    </row>
    <row r="1157" spans="1:26" ht="13">
      <c r="A1157" s="24"/>
      <c r="B1157" s="9"/>
      <c r="C1157" s="19"/>
      <c r="D1157" s="19"/>
      <c r="E1157" s="19"/>
      <c r="F1157" s="19"/>
      <c r="G1157" s="19"/>
      <c r="H1157" s="19"/>
      <c r="I1157" s="19"/>
      <c r="J1157" s="19"/>
      <c r="K1157" s="4"/>
      <c r="L1157" s="10"/>
      <c r="M1157" s="19"/>
      <c r="N1157" s="19"/>
      <c r="O1157" s="19"/>
      <c r="P1157" s="11"/>
      <c r="Q1157" s="11"/>
      <c r="R1157" s="12"/>
      <c r="S1157" s="12"/>
      <c r="T1157" s="12"/>
      <c r="U1157" s="12"/>
      <c r="V1157" s="12"/>
      <c r="W1157" s="12"/>
      <c r="X1157" s="12"/>
      <c r="Y1157" s="12"/>
      <c r="Z1157" s="12"/>
    </row>
    <row r="1158" spans="1:26" ht="13">
      <c r="A1158" s="24"/>
      <c r="B1158" s="9"/>
      <c r="C1158" s="19"/>
      <c r="D1158" s="19"/>
      <c r="E1158" s="19"/>
      <c r="F1158" s="19"/>
      <c r="G1158" s="19"/>
      <c r="H1158" s="19"/>
      <c r="I1158" s="19"/>
      <c r="J1158" s="19"/>
      <c r="K1158" s="4"/>
      <c r="L1158" s="10"/>
      <c r="M1158" s="19"/>
      <c r="N1158" s="19"/>
      <c r="O1158" s="19"/>
      <c r="P1158" s="11"/>
      <c r="Q1158" s="11"/>
      <c r="R1158" s="12"/>
      <c r="S1158" s="12"/>
      <c r="T1158" s="12"/>
      <c r="U1158" s="12"/>
      <c r="V1158" s="12"/>
      <c r="W1158" s="12"/>
      <c r="X1158" s="12"/>
      <c r="Y1158" s="12"/>
      <c r="Z1158" s="12"/>
    </row>
    <row r="1159" spans="1:26" ht="13">
      <c r="A1159" s="24"/>
      <c r="B1159" s="9"/>
      <c r="C1159" s="19"/>
      <c r="D1159" s="19"/>
      <c r="E1159" s="19"/>
      <c r="F1159" s="19"/>
      <c r="G1159" s="19"/>
      <c r="H1159" s="19"/>
      <c r="I1159" s="19"/>
      <c r="J1159" s="19"/>
      <c r="K1159" s="4"/>
      <c r="L1159" s="10"/>
      <c r="M1159" s="19"/>
      <c r="N1159" s="19"/>
      <c r="O1159" s="19"/>
      <c r="P1159" s="11"/>
      <c r="Q1159" s="11"/>
      <c r="R1159" s="12"/>
      <c r="S1159" s="12"/>
      <c r="T1159" s="12"/>
      <c r="U1159" s="12"/>
      <c r="V1159" s="12"/>
      <c r="W1159" s="12"/>
      <c r="X1159" s="12"/>
      <c r="Y1159" s="12"/>
      <c r="Z1159" s="12"/>
    </row>
    <row r="1160" spans="1:26" ht="13">
      <c r="A1160" s="24"/>
      <c r="B1160" s="9"/>
      <c r="C1160" s="19"/>
      <c r="D1160" s="19"/>
      <c r="E1160" s="19"/>
      <c r="F1160" s="19"/>
      <c r="G1160" s="19"/>
      <c r="H1160" s="19"/>
      <c r="I1160" s="19"/>
      <c r="J1160" s="19"/>
      <c r="K1160" s="4"/>
      <c r="L1160" s="10"/>
      <c r="M1160" s="19"/>
      <c r="N1160" s="19"/>
      <c r="O1160" s="19"/>
      <c r="P1160" s="11"/>
      <c r="Q1160" s="11"/>
      <c r="R1160" s="12"/>
      <c r="S1160" s="12"/>
      <c r="T1160" s="12"/>
      <c r="U1160" s="12"/>
      <c r="V1160" s="12"/>
      <c r="W1160" s="12"/>
      <c r="X1160" s="12"/>
      <c r="Y1160" s="12"/>
      <c r="Z1160" s="12"/>
    </row>
    <row r="1161" spans="1:26" ht="13">
      <c r="A1161" s="24"/>
      <c r="B1161" s="9"/>
      <c r="C1161" s="19"/>
      <c r="D1161" s="19"/>
      <c r="E1161" s="19"/>
      <c r="F1161" s="19"/>
      <c r="G1161" s="19"/>
      <c r="H1161" s="19"/>
      <c r="I1161" s="19"/>
      <c r="J1161" s="19"/>
      <c r="K1161" s="4"/>
      <c r="L1161" s="10"/>
      <c r="M1161" s="19"/>
      <c r="N1161" s="19"/>
      <c r="O1161" s="19"/>
      <c r="P1161" s="11"/>
      <c r="Q1161" s="11"/>
      <c r="R1161" s="12"/>
      <c r="S1161" s="12"/>
      <c r="T1161" s="12"/>
      <c r="U1161" s="12"/>
      <c r="V1161" s="12"/>
      <c r="W1161" s="12"/>
      <c r="X1161" s="12"/>
      <c r="Y1161" s="12"/>
      <c r="Z1161" s="12"/>
    </row>
    <row r="1162" spans="1:26" ht="13">
      <c r="A1162" s="24"/>
      <c r="B1162" s="9"/>
      <c r="C1162" s="19"/>
      <c r="D1162" s="19"/>
      <c r="E1162" s="19"/>
      <c r="F1162" s="19"/>
      <c r="G1162" s="19"/>
      <c r="H1162" s="19"/>
      <c r="I1162" s="19"/>
      <c r="J1162" s="19"/>
      <c r="K1162" s="4"/>
      <c r="L1162" s="10"/>
      <c r="M1162" s="19"/>
      <c r="N1162" s="19"/>
      <c r="O1162" s="19"/>
      <c r="P1162" s="11"/>
      <c r="Q1162" s="11"/>
      <c r="R1162" s="12"/>
      <c r="S1162" s="12"/>
      <c r="T1162" s="12"/>
      <c r="U1162" s="12"/>
      <c r="V1162" s="12"/>
      <c r="W1162" s="12"/>
      <c r="X1162" s="12"/>
      <c r="Y1162" s="12"/>
      <c r="Z1162" s="12"/>
    </row>
    <row r="1163" spans="1:26" ht="13">
      <c r="A1163" s="24"/>
      <c r="B1163" s="9"/>
      <c r="C1163" s="19"/>
      <c r="D1163" s="19"/>
      <c r="E1163" s="19"/>
      <c r="F1163" s="19"/>
      <c r="G1163" s="19"/>
      <c r="H1163" s="19"/>
      <c r="I1163" s="19"/>
      <c r="J1163" s="19"/>
      <c r="K1163" s="4"/>
      <c r="L1163" s="10"/>
      <c r="M1163" s="19"/>
      <c r="N1163" s="19"/>
      <c r="O1163" s="19"/>
      <c r="P1163" s="11"/>
      <c r="Q1163" s="11"/>
      <c r="R1163" s="12"/>
      <c r="S1163" s="12"/>
      <c r="T1163" s="12"/>
      <c r="U1163" s="12"/>
      <c r="V1163" s="12"/>
      <c r="W1163" s="12"/>
      <c r="X1163" s="12"/>
      <c r="Y1163" s="12"/>
      <c r="Z1163" s="12"/>
    </row>
    <row r="1164" spans="1:26" ht="13">
      <c r="A1164" s="24"/>
      <c r="B1164" s="9"/>
      <c r="C1164" s="19"/>
      <c r="D1164" s="19"/>
      <c r="E1164" s="19"/>
      <c r="F1164" s="19"/>
      <c r="G1164" s="19"/>
      <c r="H1164" s="19"/>
      <c r="I1164" s="19"/>
      <c r="J1164" s="19"/>
      <c r="K1164" s="4"/>
      <c r="L1164" s="10"/>
      <c r="M1164" s="19"/>
      <c r="N1164" s="19"/>
      <c r="O1164" s="19"/>
      <c r="P1164" s="11"/>
      <c r="Q1164" s="11"/>
      <c r="R1164" s="12"/>
      <c r="S1164" s="12"/>
      <c r="T1164" s="12"/>
      <c r="U1164" s="12"/>
      <c r="V1164" s="12"/>
      <c r="W1164" s="12"/>
      <c r="X1164" s="12"/>
      <c r="Y1164" s="12"/>
      <c r="Z1164" s="12"/>
    </row>
    <row r="1165" spans="1:26" ht="13">
      <c r="A1165" s="24"/>
      <c r="B1165" s="9"/>
      <c r="C1165" s="19"/>
      <c r="D1165" s="19"/>
      <c r="E1165" s="19"/>
      <c r="F1165" s="19"/>
      <c r="G1165" s="19"/>
      <c r="H1165" s="19"/>
      <c r="I1165" s="19"/>
      <c r="J1165" s="19"/>
      <c r="K1165" s="4"/>
      <c r="L1165" s="10"/>
      <c r="M1165" s="19"/>
      <c r="N1165" s="19"/>
      <c r="O1165" s="19"/>
      <c r="P1165" s="11"/>
      <c r="Q1165" s="11"/>
      <c r="R1165" s="12"/>
      <c r="S1165" s="12"/>
      <c r="T1165" s="12"/>
      <c r="U1165" s="12"/>
      <c r="V1165" s="12"/>
      <c r="W1165" s="12"/>
      <c r="X1165" s="12"/>
      <c r="Y1165" s="12"/>
      <c r="Z1165" s="12"/>
    </row>
    <row r="1166" spans="1:26" ht="13">
      <c r="A1166" s="24"/>
      <c r="B1166" s="9"/>
      <c r="C1166" s="19"/>
      <c r="D1166" s="19"/>
      <c r="E1166" s="19"/>
      <c r="F1166" s="19"/>
      <c r="G1166" s="19"/>
      <c r="H1166" s="19"/>
      <c r="I1166" s="19"/>
      <c r="J1166" s="19"/>
      <c r="K1166" s="4"/>
      <c r="L1166" s="10"/>
      <c r="M1166" s="19"/>
      <c r="N1166" s="19"/>
      <c r="O1166" s="19"/>
      <c r="P1166" s="11"/>
      <c r="Q1166" s="11"/>
      <c r="R1166" s="12"/>
      <c r="S1166" s="12"/>
      <c r="T1166" s="12"/>
      <c r="U1166" s="12"/>
      <c r="V1166" s="12"/>
      <c r="W1166" s="12"/>
      <c r="X1166" s="12"/>
      <c r="Y1166" s="12"/>
      <c r="Z1166" s="12"/>
    </row>
    <row r="1167" spans="1:26" ht="13">
      <c r="A1167" s="24"/>
      <c r="B1167" s="9"/>
      <c r="C1167" s="19"/>
      <c r="D1167" s="19"/>
      <c r="E1167" s="19"/>
      <c r="F1167" s="19"/>
      <c r="G1167" s="19"/>
      <c r="H1167" s="19"/>
      <c r="I1167" s="19"/>
      <c r="J1167" s="19"/>
      <c r="K1167" s="4"/>
      <c r="L1167" s="10"/>
      <c r="M1167" s="19"/>
      <c r="N1167" s="19"/>
      <c r="O1167" s="19"/>
      <c r="P1167" s="11"/>
      <c r="Q1167" s="11"/>
      <c r="R1167" s="12"/>
      <c r="S1167" s="12"/>
      <c r="T1167" s="12"/>
      <c r="U1167" s="12"/>
      <c r="V1167" s="12"/>
      <c r="W1167" s="12"/>
      <c r="X1167" s="12"/>
      <c r="Y1167" s="12"/>
      <c r="Z1167" s="12"/>
    </row>
    <row r="1168" spans="1:26" ht="13">
      <c r="A1168" s="24"/>
      <c r="B1168" s="9"/>
      <c r="C1168" s="19"/>
      <c r="D1168" s="19"/>
      <c r="E1168" s="19"/>
      <c r="F1168" s="19"/>
      <c r="G1168" s="19"/>
      <c r="H1168" s="19"/>
      <c r="I1168" s="19"/>
      <c r="J1168" s="19"/>
      <c r="K1168" s="4"/>
      <c r="L1168" s="10"/>
      <c r="M1168" s="19"/>
      <c r="N1168" s="19"/>
      <c r="O1168" s="19"/>
      <c r="P1168" s="11"/>
      <c r="Q1168" s="11"/>
      <c r="R1168" s="12"/>
      <c r="S1168" s="12"/>
      <c r="T1168" s="12"/>
      <c r="U1168" s="12"/>
      <c r="V1168" s="12"/>
      <c r="W1168" s="12"/>
      <c r="X1168" s="12"/>
      <c r="Y1168" s="12"/>
      <c r="Z1168" s="12"/>
    </row>
    <row r="1169" spans="1:26" ht="13">
      <c r="A1169" s="24"/>
      <c r="B1169" s="9"/>
      <c r="C1169" s="19"/>
      <c r="D1169" s="19"/>
      <c r="E1169" s="19"/>
      <c r="F1169" s="19"/>
      <c r="G1169" s="19"/>
      <c r="H1169" s="19"/>
      <c r="I1169" s="19"/>
      <c r="J1169" s="19"/>
      <c r="K1169" s="4"/>
      <c r="L1169" s="10"/>
      <c r="M1169" s="19"/>
      <c r="N1169" s="19"/>
      <c r="O1169" s="19"/>
      <c r="P1169" s="11"/>
      <c r="Q1169" s="11"/>
      <c r="R1169" s="12"/>
      <c r="S1169" s="12"/>
      <c r="T1169" s="12"/>
      <c r="U1169" s="12"/>
      <c r="V1169" s="12"/>
      <c r="W1169" s="12"/>
      <c r="X1169" s="12"/>
      <c r="Y1169" s="12"/>
      <c r="Z1169" s="12"/>
    </row>
    <row r="1170" spans="1:26" ht="13">
      <c r="A1170" s="24"/>
      <c r="B1170" s="9"/>
      <c r="C1170" s="19"/>
      <c r="D1170" s="19"/>
      <c r="E1170" s="19"/>
      <c r="F1170" s="19"/>
      <c r="G1170" s="19"/>
      <c r="H1170" s="19"/>
      <c r="I1170" s="19"/>
      <c r="J1170" s="19"/>
      <c r="K1170" s="4"/>
      <c r="L1170" s="10"/>
      <c r="M1170" s="19"/>
      <c r="N1170" s="19"/>
      <c r="O1170" s="19"/>
      <c r="P1170" s="11"/>
      <c r="Q1170" s="11"/>
      <c r="R1170" s="12"/>
      <c r="S1170" s="12"/>
      <c r="T1170" s="12"/>
      <c r="U1170" s="12"/>
      <c r="V1170" s="12"/>
      <c r="W1170" s="12"/>
      <c r="X1170" s="12"/>
      <c r="Y1170" s="12"/>
      <c r="Z1170" s="12"/>
    </row>
    <row r="1171" spans="1:26" ht="13">
      <c r="A1171" s="24"/>
      <c r="B1171" s="9"/>
      <c r="C1171" s="19"/>
      <c r="D1171" s="19"/>
      <c r="E1171" s="19"/>
      <c r="F1171" s="19"/>
      <c r="G1171" s="19"/>
      <c r="H1171" s="19"/>
      <c r="I1171" s="19"/>
      <c r="J1171" s="19"/>
      <c r="K1171" s="4"/>
      <c r="L1171" s="10"/>
      <c r="M1171" s="19"/>
      <c r="N1171" s="19"/>
      <c r="O1171" s="19"/>
      <c r="P1171" s="11"/>
      <c r="Q1171" s="11"/>
      <c r="R1171" s="12"/>
      <c r="S1171" s="12"/>
      <c r="T1171" s="12"/>
      <c r="U1171" s="12"/>
      <c r="V1171" s="12"/>
      <c r="W1171" s="12"/>
      <c r="X1171" s="12"/>
      <c r="Y1171" s="12"/>
      <c r="Z1171" s="12"/>
    </row>
    <row r="1172" spans="1:26" ht="13">
      <c r="A1172" s="24"/>
      <c r="B1172" s="9"/>
      <c r="C1172" s="19"/>
      <c r="D1172" s="19"/>
      <c r="E1172" s="19"/>
      <c r="F1172" s="19"/>
      <c r="G1172" s="19"/>
      <c r="H1172" s="19"/>
      <c r="I1172" s="19"/>
      <c r="J1172" s="19"/>
      <c r="K1172" s="4"/>
      <c r="L1172" s="10"/>
      <c r="M1172" s="19"/>
      <c r="N1172" s="19"/>
      <c r="O1172" s="19"/>
      <c r="P1172" s="11"/>
      <c r="Q1172" s="11"/>
      <c r="R1172" s="12"/>
      <c r="S1172" s="12"/>
      <c r="T1172" s="12"/>
      <c r="U1172" s="12"/>
      <c r="V1172" s="12"/>
      <c r="W1172" s="12"/>
      <c r="X1172" s="12"/>
      <c r="Y1172" s="12"/>
      <c r="Z1172" s="12"/>
    </row>
    <row r="1173" spans="1:26" ht="13">
      <c r="A1173" s="24"/>
      <c r="B1173" s="9"/>
      <c r="C1173" s="19"/>
      <c r="D1173" s="19"/>
      <c r="E1173" s="19"/>
      <c r="F1173" s="19"/>
      <c r="G1173" s="19"/>
      <c r="H1173" s="19"/>
      <c r="I1173" s="19"/>
      <c r="J1173" s="19"/>
      <c r="K1173" s="4"/>
      <c r="L1173" s="10"/>
      <c r="M1173" s="19"/>
      <c r="N1173" s="19"/>
      <c r="O1173" s="19"/>
      <c r="P1173" s="11"/>
      <c r="Q1173" s="11"/>
      <c r="R1173" s="12"/>
      <c r="S1173" s="12"/>
      <c r="T1173" s="12"/>
      <c r="U1173" s="12"/>
      <c r="V1173" s="12"/>
      <c r="W1173" s="12"/>
      <c r="X1173" s="12"/>
      <c r="Y1173" s="12"/>
      <c r="Z1173" s="12"/>
    </row>
    <row r="1174" spans="1:26" ht="13">
      <c r="A1174" s="24"/>
      <c r="B1174" s="9"/>
      <c r="C1174" s="19"/>
      <c r="D1174" s="19"/>
      <c r="E1174" s="19"/>
      <c r="F1174" s="19"/>
      <c r="G1174" s="19"/>
      <c r="H1174" s="19"/>
      <c r="I1174" s="19"/>
      <c r="J1174" s="19"/>
      <c r="K1174" s="4"/>
      <c r="L1174" s="10"/>
      <c r="M1174" s="19"/>
      <c r="N1174" s="19"/>
      <c r="O1174" s="19"/>
      <c r="P1174" s="11"/>
      <c r="Q1174" s="11"/>
      <c r="R1174" s="12"/>
      <c r="S1174" s="12"/>
      <c r="T1174" s="12"/>
      <c r="U1174" s="12"/>
      <c r="V1174" s="12"/>
      <c r="W1174" s="12"/>
      <c r="X1174" s="12"/>
      <c r="Y1174" s="12"/>
      <c r="Z1174" s="12"/>
    </row>
    <row r="1175" spans="1:26" ht="13">
      <c r="A1175" s="24"/>
      <c r="B1175" s="9"/>
      <c r="C1175" s="19"/>
      <c r="D1175" s="19"/>
      <c r="E1175" s="19"/>
      <c r="F1175" s="19"/>
      <c r="G1175" s="19"/>
      <c r="H1175" s="19"/>
      <c r="I1175" s="19"/>
      <c r="J1175" s="19"/>
      <c r="K1175" s="4"/>
      <c r="L1175" s="10"/>
      <c r="M1175" s="19"/>
      <c r="N1175" s="19"/>
      <c r="O1175" s="19"/>
      <c r="P1175" s="11"/>
      <c r="Q1175" s="11"/>
      <c r="R1175" s="12"/>
      <c r="S1175" s="12"/>
      <c r="T1175" s="12"/>
      <c r="U1175" s="12"/>
      <c r="V1175" s="12"/>
      <c r="W1175" s="12"/>
      <c r="X1175" s="12"/>
      <c r="Y1175" s="12"/>
      <c r="Z1175" s="12"/>
    </row>
    <row r="1176" spans="1:26" ht="13">
      <c r="A1176" s="24"/>
      <c r="B1176" s="9"/>
      <c r="C1176" s="19"/>
      <c r="D1176" s="19"/>
      <c r="E1176" s="19"/>
      <c r="F1176" s="19"/>
      <c r="G1176" s="19"/>
      <c r="H1176" s="19"/>
      <c r="I1176" s="19"/>
      <c r="J1176" s="19"/>
      <c r="K1176" s="4"/>
      <c r="L1176" s="10"/>
      <c r="M1176" s="19"/>
      <c r="N1176" s="19"/>
      <c r="O1176" s="19"/>
      <c r="P1176" s="11"/>
      <c r="Q1176" s="11"/>
      <c r="R1176" s="12"/>
      <c r="S1176" s="12"/>
      <c r="T1176" s="12"/>
      <c r="U1176" s="12"/>
      <c r="V1176" s="12"/>
      <c r="W1176" s="12"/>
      <c r="X1176" s="12"/>
      <c r="Y1176" s="12"/>
      <c r="Z1176" s="12"/>
    </row>
    <row r="1177" spans="1:26" ht="13">
      <c r="A1177" s="24"/>
      <c r="B1177" s="9"/>
      <c r="C1177" s="19"/>
      <c r="D1177" s="19"/>
      <c r="E1177" s="19"/>
      <c r="F1177" s="19"/>
      <c r="G1177" s="19"/>
      <c r="H1177" s="19"/>
      <c r="I1177" s="19"/>
      <c r="J1177" s="19"/>
      <c r="K1177" s="4"/>
      <c r="L1177" s="10"/>
      <c r="M1177" s="19"/>
      <c r="N1177" s="19"/>
      <c r="O1177" s="19"/>
      <c r="P1177" s="11"/>
      <c r="Q1177" s="11"/>
      <c r="R1177" s="12"/>
      <c r="S1177" s="12"/>
      <c r="T1177" s="12"/>
      <c r="U1177" s="12"/>
      <c r="V1177" s="12"/>
      <c r="W1177" s="12"/>
      <c r="X1177" s="12"/>
      <c r="Y1177" s="12"/>
      <c r="Z1177" s="12"/>
    </row>
    <row r="1178" spans="1:26" ht="13">
      <c r="A1178" s="24"/>
      <c r="B1178" s="9"/>
      <c r="C1178" s="19"/>
      <c r="D1178" s="19"/>
      <c r="E1178" s="19"/>
      <c r="F1178" s="19"/>
      <c r="G1178" s="19"/>
      <c r="H1178" s="19"/>
      <c r="I1178" s="19"/>
      <c r="J1178" s="19"/>
      <c r="K1178" s="4"/>
      <c r="L1178" s="10"/>
      <c r="M1178" s="19"/>
      <c r="N1178" s="19"/>
      <c r="O1178" s="19"/>
      <c r="P1178" s="11"/>
      <c r="Q1178" s="11"/>
      <c r="R1178" s="12"/>
      <c r="S1178" s="12"/>
      <c r="T1178" s="12"/>
      <c r="U1178" s="12"/>
      <c r="V1178" s="12"/>
      <c r="W1178" s="12"/>
      <c r="X1178" s="12"/>
      <c r="Y1178" s="12"/>
      <c r="Z1178" s="12"/>
    </row>
    <row r="1179" spans="1:26" ht="13">
      <c r="A1179" s="24"/>
      <c r="B1179" s="9"/>
      <c r="C1179" s="19"/>
      <c r="D1179" s="19"/>
      <c r="E1179" s="19"/>
      <c r="F1179" s="19"/>
      <c r="G1179" s="19"/>
      <c r="H1179" s="19"/>
      <c r="I1179" s="19"/>
      <c r="J1179" s="19"/>
      <c r="K1179" s="4"/>
      <c r="L1179" s="10"/>
      <c r="M1179" s="19"/>
      <c r="N1179" s="19"/>
      <c r="O1179" s="19"/>
      <c r="P1179" s="11"/>
      <c r="Q1179" s="11"/>
      <c r="R1179" s="12"/>
      <c r="S1179" s="12"/>
      <c r="T1179" s="12"/>
      <c r="U1179" s="12"/>
      <c r="V1179" s="12"/>
      <c r="W1179" s="12"/>
      <c r="X1179" s="12"/>
      <c r="Y1179" s="12"/>
      <c r="Z1179" s="12"/>
    </row>
    <row r="1180" spans="1:26" ht="13">
      <c r="A1180" s="24"/>
      <c r="B1180" s="9"/>
      <c r="C1180" s="19"/>
      <c r="D1180" s="19"/>
      <c r="E1180" s="19"/>
      <c r="F1180" s="19"/>
      <c r="G1180" s="19"/>
      <c r="H1180" s="19"/>
      <c r="I1180" s="19"/>
      <c r="J1180" s="19"/>
      <c r="K1180" s="4"/>
      <c r="L1180" s="10"/>
      <c r="M1180" s="19"/>
      <c r="N1180" s="19"/>
      <c r="O1180" s="19"/>
      <c r="P1180" s="11"/>
      <c r="Q1180" s="11"/>
      <c r="R1180" s="12"/>
      <c r="S1180" s="12"/>
      <c r="T1180" s="12"/>
      <c r="U1180" s="12"/>
      <c r="V1180" s="12"/>
      <c r="W1180" s="12"/>
      <c r="X1180" s="12"/>
      <c r="Y1180" s="12"/>
      <c r="Z1180" s="12"/>
    </row>
    <row r="1181" spans="1:26" ht="13">
      <c r="A1181" s="24"/>
      <c r="B1181" s="9"/>
      <c r="C1181" s="19"/>
      <c r="D1181" s="19"/>
      <c r="E1181" s="19"/>
      <c r="F1181" s="19"/>
      <c r="G1181" s="19"/>
      <c r="H1181" s="19"/>
      <c r="I1181" s="19"/>
      <c r="J1181" s="19"/>
      <c r="K1181" s="4"/>
      <c r="L1181" s="10"/>
      <c r="M1181" s="19"/>
      <c r="N1181" s="19"/>
      <c r="O1181" s="19"/>
      <c r="P1181" s="11"/>
      <c r="Q1181" s="11"/>
      <c r="R1181" s="12"/>
      <c r="S1181" s="12"/>
      <c r="T1181" s="12"/>
      <c r="U1181" s="12"/>
      <c r="V1181" s="12"/>
      <c r="W1181" s="12"/>
      <c r="X1181" s="12"/>
      <c r="Y1181" s="12"/>
      <c r="Z1181" s="12"/>
    </row>
    <row r="1182" spans="1:26" ht="13">
      <c r="A1182" s="24"/>
      <c r="B1182" s="9"/>
      <c r="C1182" s="19"/>
      <c r="D1182" s="19"/>
      <c r="E1182" s="19"/>
      <c r="F1182" s="19"/>
      <c r="G1182" s="19"/>
      <c r="H1182" s="19"/>
      <c r="I1182" s="19"/>
      <c r="J1182" s="19"/>
      <c r="K1182" s="4"/>
      <c r="L1182" s="10"/>
      <c r="M1182" s="19"/>
      <c r="N1182" s="19"/>
      <c r="O1182" s="19"/>
      <c r="P1182" s="11"/>
      <c r="Q1182" s="11"/>
      <c r="R1182" s="12"/>
      <c r="S1182" s="12"/>
      <c r="T1182" s="12"/>
      <c r="U1182" s="12"/>
      <c r="V1182" s="12"/>
      <c r="W1182" s="12"/>
      <c r="X1182" s="12"/>
      <c r="Y1182" s="12"/>
      <c r="Z1182" s="12"/>
    </row>
    <row r="1183" spans="1:26" ht="13">
      <c r="A1183" s="24"/>
      <c r="B1183" s="9"/>
      <c r="C1183" s="19"/>
      <c r="D1183" s="19"/>
      <c r="E1183" s="19"/>
      <c r="F1183" s="19"/>
      <c r="G1183" s="19"/>
      <c r="H1183" s="19"/>
      <c r="I1183" s="19"/>
      <c r="J1183" s="19"/>
      <c r="K1183" s="4"/>
      <c r="L1183" s="10"/>
      <c r="M1183" s="19"/>
      <c r="N1183" s="19"/>
      <c r="O1183" s="19"/>
      <c r="P1183" s="11"/>
      <c r="Q1183" s="11"/>
      <c r="R1183" s="12"/>
      <c r="S1183" s="12"/>
      <c r="T1183" s="12"/>
      <c r="U1183" s="12"/>
      <c r="V1183" s="12"/>
      <c r="W1183" s="12"/>
      <c r="X1183" s="12"/>
      <c r="Y1183" s="12"/>
      <c r="Z1183" s="12"/>
    </row>
    <row r="1184" spans="1:26" ht="13">
      <c r="A1184" s="24"/>
      <c r="B1184" s="9"/>
      <c r="C1184" s="19"/>
      <c r="D1184" s="19"/>
      <c r="E1184" s="19"/>
      <c r="F1184" s="19"/>
      <c r="G1184" s="19"/>
      <c r="H1184" s="19"/>
      <c r="I1184" s="19"/>
      <c r="J1184" s="19"/>
      <c r="K1184" s="4"/>
      <c r="L1184" s="10"/>
      <c r="M1184" s="19"/>
      <c r="N1184" s="19"/>
      <c r="O1184" s="19"/>
      <c r="P1184" s="11"/>
      <c r="Q1184" s="11"/>
      <c r="R1184" s="12"/>
      <c r="S1184" s="12"/>
      <c r="T1184" s="12"/>
      <c r="U1184" s="12"/>
      <c r="V1184" s="12"/>
      <c r="W1184" s="12"/>
      <c r="X1184" s="12"/>
      <c r="Y1184" s="12"/>
      <c r="Z1184" s="12"/>
    </row>
    <row r="1185" spans="1:26" ht="13">
      <c r="A1185" s="24"/>
      <c r="B1185" s="9"/>
      <c r="C1185" s="19"/>
      <c r="D1185" s="19"/>
      <c r="E1185" s="19"/>
      <c r="F1185" s="19"/>
      <c r="G1185" s="19"/>
      <c r="H1185" s="19"/>
      <c r="I1185" s="19"/>
      <c r="J1185" s="19"/>
      <c r="K1185" s="4"/>
      <c r="L1185" s="10"/>
      <c r="M1185" s="19"/>
      <c r="N1185" s="19"/>
      <c r="O1185" s="19"/>
      <c r="P1185" s="11"/>
      <c r="Q1185" s="11"/>
      <c r="R1185" s="12"/>
      <c r="S1185" s="12"/>
      <c r="T1185" s="12"/>
      <c r="U1185" s="12"/>
      <c r="V1185" s="12"/>
      <c r="W1185" s="12"/>
      <c r="X1185" s="12"/>
      <c r="Y1185" s="12"/>
      <c r="Z1185" s="12"/>
    </row>
    <row r="1186" spans="1:26" ht="13">
      <c r="A1186" s="24"/>
      <c r="B1186" s="9"/>
      <c r="C1186" s="19"/>
      <c r="D1186" s="19"/>
      <c r="E1186" s="19"/>
      <c r="F1186" s="19"/>
      <c r="G1186" s="19"/>
      <c r="H1186" s="19"/>
      <c r="I1186" s="19"/>
      <c r="J1186" s="19"/>
      <c r="K1186" s="4"/>
      <c r="L1186" s="10"/>
      <c r="M1186" s="19"/>
      <c r="N1186" s="19"/>
      <c r="O1186" s="19"/>
      <c r="P1186" s="11"/>
      <c r="Q1186" s="11"/>
      <c r="R1186" s="12"/>
      <c r="S1186" s="12"/>
      <c r="T1186" s="12"/>
      <c r="U1186" s="12"/>
      <c r="V1186" s="12"/>
      <c r="W1186" s="12"/>
      <c r="X1186" s="12"/>
      <c r="Y1186" s="12"/>
      <c r="Z1186" s="12"/>
    </row>
    <row r="1187" spans="1:26" ht="13">
      <c r="A1187" s="24"/>
      <c r="B1187" s="9"/>
      <c r="C1187" s="19"/>
      <c r="D1187" s="19"/>
      <c r="E1187" s="19"/>
      <c r="F1187" s="19"/>
      <c r="G1187" s="19"/>
      <c r="H1187" s="19"/>
      <c r="I1187" s="19"/>
      <c r="J1187" s="19"/>
      <c r="K1187" s="4"/>
      <c r="L1187" s="10"/>
      <c r="M1187" s="19"/>
      <c r="N1187" s="19"/>
      <c r="O1187" s="19"/>
      <c r="P1187" s="11"/>
      <c r="Q1187" s="11"/>
      <c r="R1187" s="12"/>
      <c r="S1187" s="12"/>
      <c r="T1187" s="12"/>
      <c r="U1187" s="12"/>
      <c r="V1187" s="12"/>
      <c r="W1187" s="12"/>
      <c r="X1187" s="12"/>
      <c r="Y1187" s="12"/>
      <c r="Z1187" s="12"/>
    </row>
    <row r="1188" spans="1:26" ht="13">
      <c r="A1188" s="24"/>
      <c r="B1188" s="9"/>
      <c r="C1188" s="19"/>
      <c r="D1188" s="19"/>
      <c r="E1188" s="19"/>
      <c r="F1188" s="19"/>
      <c r="G1188" s="19"/>
      <c r="H1188" s="19"/>
      <c r="I1188" s="19"/>
      <c r="J1188" s="19"/>
      <c r="K1188" s="4"/>
      <c r="L1188" s="10"/>
      <c r="M1188" s="19"/>
      <c r="N1188" s="19"/>
      <c r="O1188" s="19"/>
      <c r="P1188" s="11"/>
      <c r="Q1188" s="11"/>
      <c r="R1188" s="12"/>
      <c r="S1188" s="12"/>
      <c r="T1188" s="12"/>
      <c r="U1188" s="12"/>
      <c r="V1188" s="12"/>
      <c r="W1188" s="12"/>
      <c r="X1188" s="12"/>
      <c r="Y1188" s="12"/>
      <c r="Z1188" s="12"/>
    </row>
    <row r="1189" spans="1:26" ht="13">
      <c r="A1189" s="24"/>
      <c r="B1189" s="9"/>
      <c r="C1189" s="19"/>
      <c r="D1189" s="19"/>
      <c r="E1189" s="19"/>
      <c r="F1189" s="19"/>
      <c r="G1189" s="19"/>
      <c r="H1189" s="19"/>
      <c r="I1189" s="19"/>
      <c r="J1189" s="19"/>
      <c r="K1189" s="4"/>
      <c r="L1189" s="10"/>
      <c r="M1189" s="19"/>
      <c r="N1189" s="19"/>
      <c r="O1189" s="19"/>
      <c r="P1189" s="11"/>
      <c r="Q1189" s="11"/>
      <c r="R1189" s="12"/>
      <c r="S1189" s="12"/>
      <c r="T1189" s="12"/>
      <c r="U1189" s="12"/>
      <c r="V1189" s="12"/>
      <c r="W1189" s="12"/>
      <c r="X1189" s="12"/>
      <c r="Y1189" s="12"/>
      <c r="Z1189" s="12"/>
    </row>
    <row r="1190" spans="1:26" ht="13">
      <c r="A1190" s="24"/>
      <c r="B1190" s="9"/>
      <c r="C1190" s="19"/>
      <c r="D1190" s="19"/>
      <c r="E1190" s="19"/>
      <c r="F1190" s="19"/>
      <c r="G1190" s="19"/>
      <c r="H1190" s="19"/>
      <c r="I1190" s="19"/>
      <c r="J1190" s="19"/>
      <c r="K1190" s="4"/>
      <c r="L1190" s="10"/>
      <c r="M1190" s="19"/>
      <c r="N1190" s="19"/>
      <c r="O1190" s="19"/>
      <c r="P1190" s="11"/>
      <c r="Q1190" s="11"/>
      <c r="R1190" s="12"/>
      <c r="S1190" s="12"/>
      <c r="T1190" s="12"/>
      <c r="U1190" s="12"/>
      <c r="V1190" s="12"/>
      <c r="W1190" s="12"/>
      <c r="X1190" s="12"/>
      <c r="Y1190" s="12"/>
      <c r="Z1190" s="12"/>
    </row>
    <row r="1191" spans="1:26" ht="13">
      <c r="A1191" s="24"/>
      <c r="B1191" s="9"/>
      <c r="C1191" s="19"/>
      <c r="D1191" s="19"/>
      <c r="E1191" s="19"/>
      <c r="F1191" s="19"/>
      <c r="G1191" s="19"/>
      <c r="H1191" s="19"/>
      <c r="I1191" s="19"/>
      <c r="J1191" s="19"/>
      <c r="K1191" s="4"/>
      <c r="L1191" s="10"/>
      <c r="M1191" s="19"/>
      <c r="N1191" s="19"/>
      <c r="O1191" s="19"/>
      <c r="P1191" s="11"/>
      <c r="Q1191" s="11"/>
      <c r="R1191" s="12"/>
      <c r="S1191" s="12"/>
      <c r="T1191" s="12"/>
      <c r="U1191" s="12"/>
      <c r="V1191" s="12"/>
      <c r="W1191" s="12"/>
      <c r="X1191" s="12"/>
      <c r="Y1191" s="12"/>
      <c r="Z1191" s="12"/>
    </row>
    <row r="1192" spans="1:26" ht="13">
      <c r="A1192" s="24"/>
      <c r="B1192" s="9"/>
      <c r="C1192" s="19"/>
      <c r="D1192" s="19"/>
      <c r="E1192" s="19"/>
      <c r="F1192" s="19"/>
      <c r="G1192" s="19"/>
      <c r="H1192" s="19"/>
      <c r="I1192" s="19"/>
      <c r="J1192" s="19"/>
      <c r="K1192" s="4"/>
      <c r="L1192" s="10"/>
      <c r="M1192" s="19"/>
      <c r="N1192" s="19"/>
      <c r="O1192" s="19"/>
      <c r="P1192" s="11"/>
      <c r="Q1192" s="11"/>
      <c r="R1192" s="12"/>
      <c r="S1192" s="12"/>
      <c r="T1192" s="12"/>
      <c r="U1192" s="12"/>
      <c r="V1192" s="12"/>
      <c r="W1192" s="12"/>
      <c r="X1192" s="12"/>
      <c r="Y1192" s="12"/>
      <c r="Z1192" s="12"/>
    </row>
    <row r="1193" spans="1:26" ht="13">
      <c r="A1193" s="24"/>
      <c r="B1193" s="9"/>
      <c r="C1193" s="19"/>
      <c r="D1193" s="19"/>
      <c r="E1193" s="19"/>
      <c r="F1193" s="19"/>
      <c r="G1193" s="19"/>
      <c r="H1193" s="19"/>
      <c r="I1193" s="19"/>
      <c r="J1193" s="19"/>
      <c r="K1193" s="4"/>
      <c r="L1193" s="10"/>
      <c r="M1193" s="19"/>
      <c r="N1193" s="19"/>
      <c r="O1193" s="19"/>
      <c r="P1193" s="11"/>
      <c r="Q1193" s="11"/>
      <c r="R1193" s="12"/>
      <c r="S1193" s="12"/>
      <c r="T1193" s="12"/>
      <c r="U1193" s="12"/>
      <c r="V1193" s="12"/>
      <c r="W1193" s="12"/>
      <c r="X1193" s="12"/>
      <c r="Y1193" s="12"/>
      <c r="Z1193" s="12"/>
    </row>
    <row r="1194" spans="1:26" ht="13">
      <c r="A1194" s="24"/>
      <c r="B1194" s="9"/>
      <c r="C1194" s="19"/>
      <c r="D1194" s="19"/>
      <c r="E1194" s="19"/>
      <c r="F1194" s="19"/>
      <c r="G1194" s="19"/>
      <c r="H1194" s="19"/>
      <c r="I1194" s="19"/>
      <c r="J1194" s="19"/>
      <c r="K1194" s="4"/>
      <c r="L1194" s="10"/>
      <c r="M1194" s="19"/>
      <c r="N1194" s="19"/>
      <c r="O1194" s="19"/>
      <c r="P1194" s="11"/>
      <c r="Q1194" s="11"/>
      <c r="R1194" s="12"/>
      <c r="S1194" s="12"/>
      <c r="T1194" s="12"/>
      <c r="U1194" s="12"/>
      <c r="V1194" s="12"/>
      <c r="W1194" s="12"/>
      <c r="X1194" s="12"/>
      <c r="Y1194" s="12"/>
      <c r="Z1194" s="12"/>
    </row>
    <row r="1195" spans="1:26" ht="13">
      <c r="A1195" s="24"/>
      <c r="B1195" s="9"/>
      <c r="C1195" s="19"/>
      <c r="D1195" s="19"/>
      <c r="E1195" s="19"/>
      <c r="F1195" s="19"/>
      <c r="G1195" s="19"/>
      <c r="H1195" s="19"/>
      <c r="I1195" s="19"/>
      <c r="J1195" s="19"/>
      <c r="K1195" s="4"/>
      <c r="L1195" s="10"/>
      <c r="M1195" s="19"/>
      <c r="N1195" s="19"/>
      <c r="O1195" s="19"/>
      <c r="P1195" s="11"/>
      <c r="Q1195" s="11"/>
      <c r="R1195" s="12"/>
      <c r="S1195" s="12"/>
      <c r="T1195" s="12"/>
      <c r="U1195" s="12"/>
      <c r="V1195" s="12"/>
      <c r="W1195" s="12"/>
      <c r="X1195" s="12"/>
      <c r="Y1195" s="12"/>
      <c r="Z1195" s="12"/>
    </row>
    <row r="1196" spans="1:26" ht="13">
      <c r="A1196" s="24"/>
      <c r="B1196" s="9"/>
      <c r="C1196" s="19"/>
      <c r="D1196" s="19"/>
      <c r="E1196" s="19"/>
      <c r="F1196" s="19"/>
      <c r="G1196" s="19"/>
      <c r="H1196" s="19"/>
      <c r="I1196" s="19"/>
      <c r="J1196" s="19"/>
      <c r="K1196" s="4"/>
      <c r="L1196" s="10"/>
      <c r="M1196" s="19"/>
      <c r="N1196" s="19"/>
      <c r="O1196" s="19"/>
      <c r="P1196" s="11"/>
      <c r="Q1196" s="11"/>
      <c r="R1196" s="12"/>
      <c r="S1196" s="12"/>
      <c r="T1196" s="12"/>
      <c r="U1196" s="12"/>
      <c r="V1196" s="12"/>
      <c r="W1196" s="12"/>
      <c r="X1196" s="12"/>
      <c r="Y1196" s="12"/>
      <c r="Z1196" s="12"/>
    </row>
    <row r="1197" spans="1:26" ht="13">
      <c r="A1197" s="24"/>
      <c r="B1197" s="9"/>
      <c r="C1197" s="19"/>
      <c r="D1197" s="19"/>
      <c r="E1197" s="19"/>
      <c r="F1197" s="19"/>
      <c r="G1197" s="19"/>
      <c r="H1197" s="19"/>
      <c r="I1197" s="19"/>
      <c r="J1197" s="19"/>
      <c r="K1197" s="4"/>
      <c r="L1197" s="10"/>
      <c r="M1197" s="19"/>
      <c r="N1197" s="19"/>
      <c r="O1197" s="19"/>
      <c r="P1197" s="11"/>
      <c r="Q1197" s="11"/>
      <c r="R1197" s="12"/>
      <c r="S1197" s="12"/>
      <c r="T1197" s="12"/>
      <c r="U1197" s="12"/>
      <c r="V1197" s="12"/>
      <c r="W1197" s="12"/>
      <c r="X1197" s="12"/>
      <c r="Y1197" s="12"/>
      <c r="Z1197" s="12"/>
    </row>
    <row r="1198" spans="1:26" ht="13">
      <c r="A1198" s="24"/>
      <c r="B1198" s="9"/>
      <c r="C1198" s="19"/>
      <c r="D1198" s="19"/>
      <c r="E1198" s="19"/>
      <c r="F1198" s="19"/>
      <c r="G1198" s="19"/>
      <c r="H1198" s="19"/>
      <c r="I1198" s="19"/>
      <c r="J1198" s="19"/>
      <c r="K1198" s="4"/>
      <c r="L1198" s="10"/>
      <c r="M1198" s="19"/>
      <c r="N1198" s="19"/>
      <c r="O1198" s="19"/>
      <c r="P1198" s="11"/>
      <c r="Q1198" s="11"/>
      <c r="R1198" s="12"/>
      <c r="S1198" s="12"/>
      <c r="T1198" s="12"/>
      <c r="U1198" s="12"/>
      <c r="V1198" s="12"/>
      <c r="W1198" s="12"/>
      <c r="X1198" s="12"/>
      <c r="Y1198" s="12"/>
      <c r="Z1198" s="12"/>
    </row>
    <row r="1199" spans="1:26" ht="13">
      <c r="A1199" s="24"/>
      <c r="B1199" s="9"/>
      <c r="C1199" s="19"/>
      <c r="D1199" s="19"/>
      <c r="E1199" s="19"/>
      <c r="F1199" s="19"/>
      <c r="G1199" s="19"/>
      <c r="H1199" s="19"/>
      <c r="I1199" s="19"/>
      <c r="J1199" s="19"/>
      <c r="K1199" s="4"/>
      <c r="L1199" s="10"/>
      <c r="M1199" s="19"/>
      <c r="N1199" s="19"/>
      <c r="O1199" s="19"/>
      <c r="P1199" s="11"/>
      <c r="Q1199" s="11"/>
      <c r="R1199" s="12"/>
      <c r="S1199" s="12"/>
      <c r="T1199" s="12"/>
      <c r="U1199" s="12"/>
      <c r="V1199" s="12"/>
      <c r="W1199" s="12"/>
      <c r="X1199" s="12"/>
      <c r="Y1199" s="12"/>
      <c r="Z1199" s="12"/>
    </row>
    <row r="1200" spans="1:26" ht="13">
      <c r="A1200" s="24"/>
      <c r="B1200" s="9"/>
      <c r="C1200" s="19"/>
      <c r="D1200" s="19"/>
      <c r="E1200" s="19"/>
      <c r="F1200" s="19"/>
      <c r="G1200" s="19"/>
      <c r="H1200" s="19"/>
      <c r="I1200" s="19"/>
      <c r="J1200" s="19"/>
      <c r="K1200" s="4"/>
      <c r="L1200" s="10"/>
      <c r="M1200" s="19"/>
      <c r="N1200" s="19"/>
      <c r="O1200" s="19"/>
      <c r="P1200" s="11"/>
      <c r="Q1200" s="11"/>
      <c r="R1200" s="12"/>
      <c r="S1200" s="12"/>
      <c r="T1200" s="12"/>
      <c r="U1200" s="12"/>
      <c r="V1200" s="12"/>
      <c r="W1200" s="12"/>
      <c r="X1200" s="12"/>
      <c r="Y1200" s="12"/>
      <c r="Z1200" s="12"/>
    </row>
    <row r="1201" spans="1:26" ht="13">
      <c r="A1201" s="24"/>
      <c r="B1201" s="9"/>
      <c r="C1201" s="19"/>
      <c r="D1201" s="19"/>
      <c r="E1201" s="19"/>
      <c r="F1201" s="19"/>
      <c r="G1201" s="19"/>
      <c r="H1201" s="19"/>
      <c r="I1201" s="19"/>
      <c r="J1201" s="19"/>
      <c r="K1201" s="4"/>
      <c r="L1201" s="10"/>
      <c r="M1201" s="19"/>
      <c r="N1201" s="19"/>
      <c r="O1201" s="19"/>
      <c r="P1201" s="11"/>
      <c r="Q1201" s="11"/>
      <c r="R1201" s="12"/>
      <c r="S1201" s="12"/>
      <c r="T1201" s="12"/>
      <c r="U1201" s="12"/>
      <c r="V1201" s="12"/>
      <c r="W1201" s="12"/>
      <c r="X1201" s="12"/>
      <c r="Y1201" s="12"/>
      <c r="Z1201" s="12"/>
    </row>
    <row r="1202" spans="1:26" ht="13">
      <c r="A1202" s="24"/>
      <c r="B1202" s="9"/>
      <c r="C1202" s="19"/>
      <c r="D1202" s="19"/>
      <c r="E1202" s="19"/>
      <c r="F1202" s="19"/>
      <c r="G1202" s="19"/>
      <c r="H1202" s="19"/>
      <c r="I1202" s="19"/>
      <c r="J1202" s="19"/>
      <c r="K1202" s="4"/>
      <c r="L1202" s="10"/>
      <c r="M1202" s="19"/>
      <c r="N1202" s="19"/>
      <c r="O1202" s="19"/>
      <c r="P1202" s="11"/>
      <c r="Q1202" s="11"/>
      <c r="R1202" s="12"/>
      <c r="S1202" s="12"/>
      <c r="T1202" s="12"/>
      <c r="U1202" s="12"/>
      <c r="V1202" s="12"/>
      <c r="W1202" s="12"/>
      <c r="X1202" s="12"/>
      <c r="Y1202" s="12"/>
      <c r="Z1202" s="12"/>
    </row>
    <row r="1203" spans="1:26" ht="13">
      <c r="A1203" s="24"/>
      <c r="B1203" s="9"/>
      <c r="C1203" s="19"/>
      <c r="D1203" s="19"/>
      <c r="E1203" s="19"/>
      <c r="F1203" s="19"/>
      <c r="G1203" s="19"/>
      <c r="H1203" s="19"/>
      <c r="I1203" s="19"/>
      <c r="J1203" s="19"/>
      <c r="K1203" s="4"/>
      <c r="L1203" s="10"/>
      <c r="M1203" s="19"/>
      <c r="N1203" s="19"/>
      <c r="O1203" s="19"/>
      <c r="P1203" s="11"/>
      <c r="Q1203" s="11"/>
      <c r="R1203" s="12"/>
      <c r="S1203" s="12"/>
      <c r="T1203" s="12"/>
      <c r="U1203" s="12"/>
      <c r="V1203" s="12"/>
      <c r="W1203" s="12"/>
      <c r="X1203" s="12"/>
      <c r="Y1203" s="12"/>
      <c r="Z1203" s="12"/>
    </row>
    <row r="1204" spans="1:26" ht="13">
      <c r="A1204" s="24"/>
      <c r="B1204" s="9"/>
      <c r="C1204" s="19"/>
      <c r="D1204" s="19"/>
      <c r="E1204" s="19"/>
      <c r="F1204" s="19"/>
      <c r="G1204" s="19"/>
      <c r="H1204" s="19"/>
      <c r="I1204" s="19"/>
      <c r="J1204" s="19"/>
      <c r="K1204" s="4"/>
      <c r="L1204" s="10"/>
      <c r="M1204" s="19"/>
      <c r="N1204" s="19"/>
      <c r="O1204" s="19"/>
      <c r="P1204" s="11"/>
      <c r="Q1204" s="11"/>
      <c r="R1204" s="12"/>
      <c r="S1204" s="12"/>
      <c r="T1204" s="12"/>
      <c r="U1204" s="12"/>
      <c r="V1204" s="12"/>
      <c r="W1204" s="12"/>
      <c r="X1204" s="12"/>
      <c r="Y1204" s="12"/>
      <c r="Z1204" s="12"/>
    </row>
    <row r="1205" spans="1:26" ht="13">
      <c r="A1205" s="24"/>
      <c r="B1205" s="9"/>
      <c r="C1205" s="19"/>
      <c r="D1205" s="19"/>
      <c r="E1205" s="19"/>
      <c r="F1205" s="19"/>
      <c r="G1205" s="19"/>
      <c r="H1205" s="19"/>
      <c r="I1205" s="19"/>
      <c r="J1205" s="19"/>
      <c r="K1205" s="4"/>
      <c r="L1205" s="10"/>
      <c r="M1205" s="19"/>
      <c r="N1205" s="19"/>
      <c r="O1205" s="19"/>
      <c r="P1205" s="11"/>
      <c r="Q1205" s="11"/>
      <c r="R1205" s="12"/>
      <c r="S1205" s="12"/>
      <c r="T1205" s="12"/>
      <c r="U1205" s="12"/>
      <c r="V1205" s="12"/>
      <c r="W1205" s="12"/>
      <c r="X1205" s="12"/>
      <c r="Y1205" s="12"/>
      <c r="Z1205" s="12"/>
    </row>
    <row r="1206" spans="1:26" ht="13">
      <c r="A1206" s="24"/>
      <c r="B1206" s="9"/>
      <c r="C1206" s="19"/>
      <c r="D1206" s="19"/>
      <c r="E1206" s="19"/>
      <c r="F1206" s="19"/>
      <c r="G1206" s="19"/>
      <c r="H1206" s="19"/>
      <c r="I1206" s="19"/>
      <c r="J1206" s="19"/>
      <c r="K1206" s="4"/>
      <c r="L1206" s="10"/>
      <c r="M1206" s="19"/>
      <c r="N1206" s="19"/>
      <c r="O1206" s="19"/>
      <c r="P1206" s="11"/>
      <c r="Q1206" s="11"/>
      <c r="R1206" s="12"/>
      <c r="S1206" s="12"/>
      <c r="T1206" s="12"/>
      <c r="U1206" s="12"/>
      <c r="V1206" s="12"/>
      <c r="W1206" s="12"/>
      <c r="X1206" s="12"/>
      <c r="Y1206" s="12"/>
      <c r="Z1206" s="12"/>
    </row>
    <row r="1207" spans="1:26" ht="13">
      <c r="A1207" s="24"/>
      <c r="B1207" s="9"/>
      <c r="C1207" s="19"/>
      <c r="D1207" s="19"/>
      <c r="E1207" s="19"/>
      <c r="F1207" s="19"/>
      <c r="G1207" s="19"/>
      <c r="H1207" s="19"/>
      <c r="I1207" s="19"/>
      <c r="J1207" s="19"/>
      <c r="K1207" s="4"/>
      <c r="L1207" s="10"/>
      <c r="M1207" s="19"/>
      <c r="N1207" s="19"/>
      <c r="O1207" s="19"/>
      <c r="P1207" s="11"/>
      <c r="Q1207" s="11"/>
      <c r="R1207" s="12"/>
      <c r="S1207" s="12"/>
      <c r="T1207" s="12"/>
      <c r="U1207" s="12"/>
      <c r="V1207" s="12"/>
      <c r="W1207" s="12"/>
      <c r="X1207" s="12"/>
      <c r="Y1207" s="12"/>
      <c r="Z1207" s="12"/>
    </row>
    <row r="1208" spans="1:26" ht="13">
      <c r="A1208" s="24"/>
      <c r="B1208" s="9"/>
      <c r="C1208" s="19"/>
      <c r="D1208" s="19"/>
      <c r="E1208" s="19"/>
      <c r="F1208" s="19"/>
      <c r="G1208" s="19"/>
      <c r="H1208" s="19"/>
      <c r="I1208" s="19"/>
      <c r="J1208" s="19"/>
      <c r="K1208" s="4"/>
      <c r="L1208" s="10"/>
      <c r="M1208" s="19"/>
      <c r="N1208" s="19"/>
      <c r="O1208" s="19"/>
      <c r="P1208" s="11"/>
      <c r="Q1208" s="11"/>
      <c r="R1208" s="12"/>
      <c r="S1208" s="12"/>
      <c r="T1208" s="12"/>
      <c r="U1208" s="12"/>
      <c r="V1208" s="12"/>
      <c r="W1208" s="12"/>
      <c r="X1208" s="12"/>
      <c r="Y1208" s="12"/>
      <c r="Z1208" s="12"/>
    </row>
    <row r="1209" spans="1:26" ht="13">
      <c r="A1209" s="24"/>
      <c r="B1209" s="9"/>
      <c r="C1209" s="19"/>
      <c r="D1209" s="19"/>
      <c r="E1209" s="19"/>
      <c r="F1209" s="19"/>
      <c r="G1209" s="19"/>
      <c r="H1209" s="19"/>
      <c r="I1209" s="19"/>
      <c r="J1209" s="19"/>
      <c r="K1209" s="4"/>
      <c r="L1209" s="10"/>
      <c r="M1209" s="19"/>
      <c r="N1209" s="19"/>
      <c r="O1209" s="19"/>
      <c r="P1209" s="11"/>
      <c r="Q1209" s="11"/>
      <c r="R1209" s="12"/>
      <c r="S1209" s="12"/>
      <c r="T1209" s="12"/>
      <c r="U1209" s="12"/>
      <c r="V1209" s="12"/>
      <c r="W1209" s="12"/>
      <c r="X1209" s="12"/>
      <c r="Y1209" s="12"/>
      <c r="Z1209" s="12"/>
    </row>
    <row r="1210" spans="1:26" ht="13">
      <c r="A1210" s="24"/>
      <c r="B1210" s="9"/>
      <c r="C1210" s="19"/>
      <c r="D1210" s="19"/>
      <c r="E1210" s="19"/>
      <c r="F1210" s="19"/>
      <c r="G1210" s="19"/>
      <c r="H1210" s="19"/>
      <c r="I1210" s="19"/>
      <c r="J1210" s="19"/>
      <c r="K1210" s="4"/>
      <c r="L1210" s="10"/>
      <c r="M1210" s="19"/>
      <c r="N1210" s="19"/>
      <c r="O1210" s="19"/>
      <c r="P1210" s="11"/>
      <c r="Q1210" s="11"/>
      <c r="R1210" s="12"/>
      <c r="S1210" s="12"/>
      <c r="T1210" s="12"/>
      <c r="U1210" s="12"/>
      <c r="V1210" s="12"/>
      <c r="W1210" s="12"/>
      <c r="X1210" s="12"/>
      <c r="Y1210" s="12"/>
      <c r="Z1210" s="12"/>
    </row>
    <row r="1211" spans="1:26" ht="13">
      <c r="A1211" s="24"/>
      <c r="B1211" s="9"/>
      <c r="C1211" s="19"/>
      <c r="D1211" s="19"/>
      <c r="E1211" s="19"/>
      <c r="F1211" s="19"/>
      <c r="G1211" s="19"/>
      <c r="H1211" s="19"/>
      <c r="I1211" s="19"/>
      <c r="J1211" s="19"/>
      <c r="K1211" s="4"/>
      <c r="L1211" s="10"/>
      <c r="M1211" s="19"/>
      <c r="N1211" s="19"/>
      <c r="O1211" s="19"/>
      <c r="P1211" s="11"/>
      <c r="Q1211" s="11"/>
      <c r="R1211" s="12"/>
      <c r="S1211" s="12"/>
      <c r="T1211" s="12"/>
      <c r="U1211" s="12"/>
      <c r="V1211" s="12"/>
      <c r="W1211" s="12"/>
      <c r="X1211" s="12"/>
      <c r="Y1211" s="12"/>
      <c r="Z1211" s="12"/>
    </row>
    <row r="1212" spans="1:26" ht="13">
      <c r="A1212" s="24"/>
      <c r="B1212" s="9"/>
      <c r="C1212" s="19"/>
      <c r="D1212" s="19"/>
      <c r="E1212" s="19"/>
      <c r="F1212" s="19"/>
      <c r="G1212" s="19"/>
      <c r="H1212" s="19"/>
      <c r="I1212" s="19"/>
      <c r="J1212" s="19"/>
      <c r="K1212" s="4"/>
      <c r="L1212" s="10"/>
      <c r="M1212" s="19"/>
      <c r="N1212" s="19"/>
      <c r="O1212" s="19"/>
      <c r="P1212" s="11"/>
      <c r="Q1212" s="11"/>
      <c r="R1212" s="12"/>
      <c r="S1212" s="12"/>
      <c r="T1212" s="12"/>
      <c r="U1212" s="12"/>
      <c r="V1212" s="12"/>
      <c r="W1212" s="12"/>
      <c r="X1212" s="12"/>
      <c r="Y1212" s="12"/>
      <c r="Z1212" s="12"/>
    </row>
    <row r="1213" spans="1:26" ht="13">
      <c r="A1213" s="24"/>
      <c r="B1213" s="9"/>
      <c r="C1213" s="19"/>
      <c r="D1213" s="19"/>
      <c r="E1213" s="19"/>
      <c r="F1213" s="19"/>
      <c r="G1213" s="19"/>
      <c r="H1213" s="19"/>
      <c r="I1213" s="19"/>
      <c r="J1213" s="19"/>
      <c r="K1213" s="4"/>
      <c r="L1213" s="10"/>
      <c r="M1213" s="19"/>
      <c r="N1213" s="19"/>
      <c r="O1213" s="19"/>
      <c r="P1213" s="11"/>
      <c r="Q1213" s="11"/>
      <c r="R1213" s="12"/>
      <c r="S1213" s="12"/>
      <c r="T1213" s="12"/>
      <c r="U1213" s="12"/>
      <c r="V1213" s="12"/>
      <c r="W1213" s="12"/>
      <c r="X1213" s="12"/>
      <c r="Y1213" s="12"/>
      <c r="Z1213" s="12"/>
    </row>
    <row r="1214" spans="1:26" ht="13">
      <c r="A1214" s="24"/>
      <c r="B1214" s="9"/>
      <c r="C1214" s="19"/>
      <c r="D1214" s="19"/>
      <c r="E1214" s="19"/>
      <c r="F1214" s="19"/>
      <c r="G1214" s="19"/>
      <c r="H1214" s="19"/>
      <c r="I1214" s="19"/>
      <c r="J1214" s="19"/>
      <c r="K1214" s="4"/>
      <c r="L1214" s="10"/>
      <c r="M1214" s="19"/>
      <c r="N1214" s="19"/>
      <c r="O1214" s="19"/>
      <c r="P1214" s="11"/>
      <c r="Q1214" s="11"/>
      <c r="R1214" s="12"/>
      <c r="S1214" s="12"/>
      <c r="T1214" s="12"/>
      <c r="U1214" s="12"/>
      <c r="V1214" s="12"/>
      <c r="W1214" s="12"/>
      <c r="X1214" s="12"/>
      <c r="Y1214" s="12"/>
      <c r="Z1214" s="12"/>
    </row>
    <row r="1215" spans="1:26" ht="13">
      <c r="A1215" s="24"/>
      <c r="B1215" s="9"/>
      <c r="C1215" s="19"/>
      <c r="D1215" s="19"/>
      <c r="E1215" s="19"/>
      <c r="F1215" s="19"/>
      <c r="G1215" s="19"/>
      <c r="H1215" s="19"/>
      <c r="I1215" s="19"/>
      <c r="J1215" s="19"/>
      <c r="K1215" s="4"/>
      <c r="L1215" s="10"/>
      <c r="M1215" s="19"/>
      <c r="N1215" s="19"/>
      <c r="O1215" s="19"/>
      <c r="P1215" s="11"/>
      <c r="Q1215" s="11"/>
      <c r="R1215" s="12"/>
      <c r="S1215" s="12"/>
      <c r="T1215" s="12"/>
      <c r="U1215" s="12"/>
      <c r="V1215" s="12"/>
      <c r="W1215" s="12"/>
      <c r="X1215" s="12"/>
      <c r="Y1215" s="12"/>
      <c r="Z1215" s="12"/>
    </row>
    <row r="1216" spans="1:26" ht="13">
      <c r="A1216" s="24"/>
      <c r="B1216" s="9"/>
      <c r="C1216" s="19"/>
      <c r="D1216" s="19"/>
      <c r="E1216" s="19"/>
      <c r="F1216" s="19"/>
      <c r="G1216" s="19"/>
      <c r="H1216" s="19"/>
      <c r="I1216" s="19"/>
      <c r="J1216" s="19"/>
      <c r="K1216" s="4"/>
      <c r="L1216" s="10"/>
      <c r="M1216" s="19"/>
      <c r="N1216" s="19"/>
      <c r="O1216" s="19"/>
      <c r="P1216" s="11"/>
      <c r="Q1216" s="11"/>
      <c r="R1216" s="12"/>
      <c r="S1216" s="12"/>
      <c r="T1216" s="12"/>
      <c r="U1216" s="12"/>
      <c r="V1216" s="12"/>
      <c r="W1216" s="12"/>
      <c r="X1216" s="12"/>
      <c r="Y1216" s="12"/>
      <c r="Z1216" s="12"/>
    </row>
    <row r="1217" spans="1:26" ht="13">
      <c r="A1217" s="24"/>
      <c r="B1217" s="9"/>
      <c r="C1217" s="19"/>
      <c r="D1217" s="19"/>
      <c r="E1217" s="19"/>
      <c r="F1217" s="19"/>
      <c r="G1217" s="19"/>
      <c r="H1217" s="19"/>
      <c r="I1217" s="19"/>
      <c r="J1217" s="19"/>
      <c r="K1217" s="4"/>
      <c r="L1217" s="10"/>
      <c r="M1217" s="19"/>
      <c r="N1217" s="19"/>
      <c r="O1217" s="19"/>
      <c r="P1217" s="11"/>
      <c r="Q1217" s="11"/>
      <c r="R1217" s="12"/>
      <c r="S1217" s="12"/>
      <c r="T1217" s="12"/>
      <c r="U1217" s="12"/>
      <c r="V1217" s="12"/>
      <c r="W1217" s="12"/>
      <c r="X1217" s="12"/>
      <c r="Y1217" s="12"/>
      <c r="Z1217" s="12"/>
    </row>
    <row r="1218" spans="1:26" ht="13">
      <c r="A1218" s="24"/>
      <c r="B1218" s="9"/>
      <c r="C1218" s="19"/>
      <c r="D1218" s="19"/>
      <c r="E1218" s="19"/>
      <c r="F1218" s="19"/>
      <c r="G1218" s="19"/>
      <c r="H1218" s="19"/>
      <c r="I1218" s="19"/>
      <c r="J1218" s="19"/>
      <c r="K1218" s="4"/>
      <c r="L1218" s="10"/>
      <c r="M1218" s="19"/>
      <c r="N1218" s="19"/>
      <c r="O1218" s="19"/>
      <c r="P1218" s="11"/>
      <c r="Q1218" s="11"/>
      <c r="R1218" s="12"/>
      <c r="S1218" s="12"/>
      <c r="T1218" s="12"/>
      <c r="U1218" s="12"/>
      <c r="V1218" s="12"/>
      <c r="W1218" s="12"/>
      <c r="X1218" s="12"/>
      <c r="Y1218" s="12"/>
      <c r="Z1218" s="12"/>
    </row>
    <row r="1219" spans="1:26" ht="13">
      <c r="A1219" s="24"/>
      <c r="B1219" s="9"/>
      <c r="C1219" s="19"/>
      <c r="D1219" s="19"/>
      <c r="E1219" s="19"/>
      <c r="F1219" s="19"/>
      <c r="G1219" s="19"/>
      <c r="H1219" s="19"/>
      <c r="I1219" s="19"/>
      <c r="J1219" s="19"/>
      <c r="K1219" s="4"/>
      <c r="L1219" s="10"/>
      <c r="M1219" s="19"/>
      <c r="N1219" s="19"/>
      <c r="O1219" s="19"/>
      <c r="P1219" s="11"/>
      <c r="Q1219" s="11"/>
      <c r="R1219" s="12"/>
      <c r="S1219" s="12"/>
      <c r="T1219" s="12"/>
      <c r="U1219" s="12"/>
      <c r="V1219" s="12"/>
      <c r="W1219" s="12"/>
      <c r="X1219" s="12"/>
      <c r="Y1219" s="12"/>
      <c r="Z1219" s="12"/>
    </row>
    <row r="1220" spans="1:26" ht="13">
      <c r="A1220" s="24"/>
      <c r="B1220" s="9"/>
      <c r="C1220" s="19"/>
      <c r="D1220" s="19"/>
      <c r="E1220" s="19"/>
      <c r="F1220" s="19"/>
      <c r="G1220" s="19"/>
      <c r="H1220" s="19"/>
      <c r="I1220" s="19"/>
      <c r="J1220" s="19"/>
      <c r="K1220" s="4"/>
      <c r="L1220" s="10"/>
      <c r="M1220" s="19"/>
      <c r="N1220" s="19"/>
      <c r="O1220" s="19"/>
      <c r="P1220" s="11"/>
      <c r="Q1220" s="11"/>
      <c r="R1220" s="12"/>
      <c r="S1220" s="12"/>
      <c r="T1220" s="12"/>
      <c r="U1220" s="12"/>
      <c r="V1220" s="12"/>
      <c r="W1220" s="12"/>
      <c r="X1220" s="12"/>
      <c r="Y1220" s="12"/>
      <c r="Z1220" s="12"/>
    </row>
    <row r="1221" spans="1:26" ht="13">
      <c r="A1221" s="24"/>
      <c r="B1221" s="9"/>
      <c r="C1221" s="19"/>
      <c r="D1221" s="19"/>
      <c r="E1221" s="19"/>
      <c r="F1221" s="19"/>
      <c r="G1221" s="19"/>
      <c r="H1221" s="19"/>
      <c r="I1221" s="19"/>
      <c r="J1221" s="19"/>
      <c r="K1221" s="4"/>
      <c r="L1221" s="10"/>
      <c r="M1221" s="19"/>
      <c r="N1221" s="19"/>
      <c r="O1221" s="19"/>
      <c r="P1221" s="11"/>
      <c r="Q1221" s="11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 spans="1:26" ht="13">
      <c r="A1222" s="24"/>
      <c r="B1222" s="9"/>
      <c r="C1222" s="19"/>
      <c r="D1222" s="19"/>
      <c r="E1222" s="19"/>
      <c r="F1222" s="19"/>
      <c r="G1222" s="19"/>
      <c r="H1222" s="19"/>
      <c r="I1222" s="19"/>
      <c r="J1222" s="19"/>
      <c r="K1222" s="4"/>
      <c r="L1222" s="10"/>
      <c r="M1222" s="19"/>
      <c r="N1222" s="19"/>
      <c r="O1222" s="19"/>
      <c r="P1222" s="11"/>
      <c r="Q1222" s="11"/>
      <c r="R1222" s="12"/>
      <c r="S1222" s="12"/>
      <c r="T1222" s="12"/>
      <c r="U1222" s="12"/>
      <c r="V1222" s="12"/>
      <c r="W1222" s="12"/>
      <c r="X1222" s="12"/>
      <c r="Y1222" s="12"/>
      <c r="Z1222" s="12"/>
    </row>
    <row r="1223" spans="1:26" ht="13">
      <c r="A1223" s="24"/>
      <c r="B1223" s="9"/>
      <c r="C1223" s="19"/>
      <c r="D1223" s="19"/>
      <c r="E1223" s="19"/>
      <c r="F1223" s="19"/>
      <c r="G1223" s="19"/>
      <c r="H1223" s="19"/>
      <c r="I1223" s="19"/>
      <c r="J1223" s="19"/>
      <c r="K1223" s="4"/>
      <c r="L1223" s="10"/>
      <c r="M1223" s="19"/>
      <c r="N1223" s="19"/>
      <c r="O1223" s="19"/>
      <c r="P1223" s="11"/>
      <c r="Q1223" s="11"/>
      <c r="R1223" s="12"/>
      <c r="S1223" s="12"/>
      <c r="T1223" s="12"/>
      <c r="U1223" s="12"/>
      <c r="V1223" s="12"/>
      <c r="W1223" s="12"/>
      <c r="X1223" s="12"/>
      <c r="Y1223" s="12"/>
      <c r="Z1223" s="12"/>
    </row>
    <row r="1224" spans="1:26" ht="13">
      <c r="A1224" s="24"/>
      <c r="B1224" s="9"/>
      <c r="C1224" s="19"/>
      <c r="D1224" s="19"/>
      <c r="E1224" s="19"/>
      <c r="F1224" s="19"/>
      <c r="G1224" s="19"/>
      <c r="H1224" s="19"/>
      <c r="I1224" s="19"/>
      <c r="J1224" s="19"/>
      <c r="K1224" s="4"/>
      <c r="L1224" s="10"/>
      <c r="M1224" s="19"/>
      <c r="N1224" s="19"/>
      <c r="O1224" s="19"/>
      <c r="P1224" s="11"/>
      <c r="Q1224" s="11"/>
      <c r="R1224" s="12"/>
      <c r="S1224" s="12"/>
      <c r="T1224" s="12"/>
      <c r="U1224" s="12"/>
      <c r="V1224" s="12"/>
      <c r="W1224" s="12"/>
      <c r="X1224" s="12"/>
      <c r="Y1224" s="12"/>
      <c r="Z1224" s="12"/>
    </row>
    <row r="1225" spans="1:26" ht="13">
      <c r="A1225" s="24"/>
      <c r="B1225" s="9"/>
      <c r="C1225" s="19"/>
      <c r="D1225" s="19"/>
      <c r="E1225" s="19"/>
      <c r="F1225" s="19"/>
      <c r="G1225" s="19"/>
      <c r="H1225" s="19"/>
      <c r="I1225" s="19"/>
      <c r="J1225" s="19"/>
      <c r="K1225" s="4"/>
      <c r="L1225" s="10"/>
      <c r="M1225" s="19"/>
      <c r="N1225" s="19"/>
      <c r="O1225" s="19"/>
      <c r="P1225" s="11"/>
      <c r="Q1225" s="11"/>
      <c r="R1225" s="12"/>
      <c r="S1225" s="12"/>
      <c r="T1225" s="12"/>
      <c r="U1225" s="12"/>
      <c r="V1225" s="12"/>
      <c r="W1225" s="12"/>
      <c r="X1225" s="12"/>
      <c r="Y1225" s="12"/>
      <c r="Z1225" s="12"/>
    </row>
    <row r="1226" spans="1:26" ht="13">
      <c r="A1226" s="24"/>
      <c r="B1226" s="9"/>
      <c r="C1226" s="19"/>
      <c r="D1226" s="19"/>
      <c r="E1226" s="19"/>
      <c r="F1226" s="19"/>
      <c r="G1226" s="19"/>
      <c r="H1226" s="19"/>
      <c r="I1226" s="19"/>
      <c r="J1226" s="19"/>
      <c r="K1226" s="4"/>
      <c r="L1226" s="10"/>
      <c r="M1226" s="19"/>
      <c r="N1226" s="19"/>
      <c r="O1226" s="19"/>
      <c r="P1226" s="11"/>
      <c r="Q1226" s="11"/>
      <c r="R1226" s="12"/>
      <c r="S1226" s="12"/>
      <c r="T1226" s="12"/>
      <c r="U1226" s="12"/>
      <c r="V1226" s="12"/>
      <c r="W1226" s="12"/>
      <c r="X1226" s="12"/>
      <c r="Y1226" s="12"/>
      <c r="Z1226" s="12"/>
    </row>
    <row r="1227" spans="1:26" ht="13">
      <c r="A1227" s="24"/>
      <c r="B1227" s="9"/>
      <c r="C1227" s="19"/>
      <c r="D1227" s="19"/>
      <c r="E1227" s="19"/>
      <c r="F1227" s="19"/>
      <c r="G1227" s="19"/>
      <c r="H1227" s="19"/>
      <c r="I1227" s="19"/>
      <c r="J1227" s="19"/>
      <c r="K1227" s="4"/>
      <c r="L1227" s="10"/>
      <c r="M1227" s="19"/>
      <c r="N1227" s="19"/>
      <c r="O1227" s="19"/>
      <c r="P1227" s="11"/>
      <c r="Q1227" s="11"/>
      <c r="R1227" s="12"/>
      <c r="S1227" s="12"/>
      <c r="T1227" s="12"/>
      <c r="U1227" s="12"/>
      <c r="V1227" s="12"/>
      <c r="W1227" s="12"/>
      <c r="X1227" s="12"/>
      <c r="Y1227" s="12"/>
      <c r="Z1227" s="12"/>
    </row>
    <row r="1228" spans="1:26" ht="13">
      <c r="A1228" s="24"/>
      <c r="B1228" s="9"/>
      <c r="C1228" s="19"/>
      <c r="D1228" s="19"/>
      <c r="E1228" s="19"/>
      <c r="F1228" s="19"/>
      <c r="G1228" s="19"/>
      <c r="H1228" s="19"/>
      <c r="I1228" s="19"/>
      <c r="J1228" s="19"/>
      <c r="K1228" s="4"/>
      <c r="L1228" s="10"/>
      <c r="M1228" s="19"/>
      <c r="N1228" s="19"/>
      <c r="O1228" s="19"/>
      <c r="P1228" s="11"/>
      <c r="Q1228" s="11"/>
      <c r="R1228" s="12"/>
      <c r="S1228" s="12"/>
      <c r="T1228" s="12"/>
      <c r="U1228" s="12"/>
      <c r="V1228" s="12"/>
      <c r="W1228" s="12"/>
      <c r="X1228" s="12"/>
      <c r="Y1228" s="12"/>
      <c r="Z1228" s="12"/>
    </row>
    <row r="1229" spans="1:26" ht="13">
      <c r="A1229" s="24"/>
      <c r="B1229" s="9"/>
      <c r="C1229" s="19"/>
      <c r="D1229" s="19"/>
      <c r="E1229" s="19"/>
      <c r="F1229" s="19"/>
      <c r="G1229" s="19"/>
      <c r="H1229" s="19"/>
      <c r="I1229" s="19"/>
      <c r="J1229" s="19"/>
      <c r="K1229" s="4"/>
      <c r="L1229" s="10"/>
      <c r="M1229" s="19"/>
      <c r="N1229" s="19"/>
      <c r="O1229" s="19"/>
      <c r="P1229" s="11"/>
      <c r="Q1229" s="11"/>
      <c r="R1229" s="12"/>
      <c r="S1229" s="12"/>
      <c r="T1229" s="12"/>
      <c r="U1229" s="12"/>
      <c r="V1229" s="12"/>
      <c r="W1229" s="12"/>
      <c r="X1229" s="12"/>
      <c r="Y1229" s="12"/>
      <c r="Z1229" s="12"/>
    </row>
    <row r="1230" spans="1:26" ht="13">
      <c r="A1230" s="24"/>
      <c r="B1230" s="9"/>
      <c r="C1230" s="19"/>
      <c r="D1230" s="19"/>
      <c r="E1230" s="19"/>
      <c r="F1230" s="19"/>
      <c r="G1230" s="19"/>
      <c r="H1230" s="19"/>
      <c r="I1230" s="19"/>
      <c r="J1230" s="19"/>
      <c r="K1230" s="4"/>
      <c r="L1230" s="10"/>
      <c r="M1230" s="19"/>
      <c r="N1230" s="19"/>
      <c r="O1230" s="19"/>
      <c r="P1230" s="11"/>
      <c r="Q1230" s="11"/>
      <c r="R1230" s="12"/>
      <c r="S1230" s="12"/>
      <c r="T1230" s="12"/>
      <c r="U1230" s="12"/>
      <c r="V1230" s="12"/>
      <c r="W1230" s="12"/>
      <c r="X1230" s="12"/>
      <c r="Y1230" s="12"/>
      <c r="Z1230" s="12"/>
    </row>
    <row r="1231" spans="1:26" ht="13">
      <c r="A1231" s="24"/>
      <c r="B1231" s="9"/>
      <c r="C1231" s="19"/>
      <c r="D1231" s="19"/>
      <c r="E1231" s="19"/>
      <c r="F1231" s="19"/>
      <c r="G1231" s="19"/>
      <c r="H1231" s="19"/>
      <c r="I1231" s="19"/>
      <c r="J1231" s="19"/>
      <c r="K1231" s="4"/>
      <c r="L1231" s="10"/>
      <c r="M1231" s="19"/>
      <c r="N1231" s="19"/>
      <c r="O1231" s="19"/>
      <c r="P1231" s="11"/>
      <c r="Q1231" s="11"/>
      <c r="R1231" s="12"/>
      <c r="S1231" s="12"/>
      <c r="T1231" s="12"/>
      <c r="U1231" s="12"/>
      <c r="V1231" s="12"/>
      <c r="W1231" s="12"/>
      <c r="X1231" s="12"/>
      <c r="Y1231" s="12"/>
      <c r="Z1231" s="12"/>
    </row>
    <row r="1232" spans="1:26" ht="13">
      <c r="A1232" s="24"/>
      <c r="B1232" s="9"/>
      <c r="C1232" s="19"/>
      <c r="D1232" s="19"/>
      <c r="E1232" s="19"/>
      <c r="F1232" s="19"/>
      <c r="G1232" s="19"/>
      <c r="H1232" s="19"/>
      <c r="I1232" s="19"/>
      <c r="J1232" s="19"/>
      <c r="K1232" s="4"/>
      <c r="L1232" s="10"/>
      <c r="M1232" s="19"/>
      <c r="N1232" s="19"/>
      <c r="O1232" s="19"/>
      <c r="P1232" s="11"/>
      <c r="Q1232" s="11"/>
      <c r="R1232" s="12"/>
      <c r="S1232" s="12"/>
      <c r="T1232" s="12"/>
      <c r="U1232" s="12"/>
      <c r="V1232" s="12"/>
      <c r="W1232" s="12"/>
      <c r="X1232" s="12"/>
      <c r="Y1232" s="12"/>
      <c r="Z1232" s="12"/>
    </row>
    <row r="1233" spans="1:26" ht="13">
      <c r="A1233" s="24"/>
      <c r="B1233" s="9"/>
      <c r="C1233" s="19"/>
      <c r="D1233" s="19"/>
      <c r="E1233" s="19"/>
      <c r="F1233" s="19"/>
      <c r="G1233" s="19"/>
      <c r="H1233" s="19"/>
      <c r="I1233" s="19"/>
      <c r="J1233" s="19"/>
      <c r="K1233" s="4"/>
      <c r="L1233" s="10"/>
      <c r="M1233" s="19"/>
      <c r="N1233" s="19"/>
      <c r="O1233" s="19"/>
      <c r="P1233" s="11"/>
      <c r="Q1233" s="11"/>
      <c r="R1233" s="12"/>
      <c r="S1233" s="12"/>
      <c r="T1233" s="12"/>
      <c r="U1233" s="12"/>
      <c r="V1233" s="12"/>
      <c r="W1233" s="12"/>
      <c r="X1233" s="12"/>
      <c r="Y1233" s="12"/>
      <c r="Z1233" s="12"/>
    </row>
    <row r="1234" spans="1:26" ht="13">
      <c r="A1234" s="24"/>
      <c r="B1234" s="9"/>
      <c r="C1234" s="19"/>
      <c r="D1234" s="19"/>
      <c r="E1234" s="19"/>
      <c r="F1234" s="19"/>
      <c r="G1234" s="19"/>
      <c r="H1234" s="19"/>
      <c r="I1234" s="19"/>
      <c r="J1234" s="19"/>
      <c r="K1234" s="4"/>
      <c r="L1234" s="10"/>
      <c r="M1234" s="19"/>
      <c r="N1234" s="19"/>
      <c r="O1234" s="19"/>
      <c r="P1234" s="11"/>
      <c r="Q1234" s="11"/>
      <c r="R1234" s="12"/>
      <c r="S1234" s="12"/>
      <c r="T1234" s="12"/>
      <c r="U1234" s="12"/>
      <c r="V1234" s="12"/>
      <c r="W1234" s="12"/>
      <c r="X1234" s="12"/>
      <c r="Y1234" s="12"/>
      <c r="Z1234" s="12"/>
    </row>
    <row r="1235" spans="1:26" ht="13">
      <c r="A1235" s="24"/>
      <c r="B1235" s="9"/>
      <c r="C1235" s="19"/>
      <c r="D1235" s="19"/>
      <c r="E1235" s="19"/>
      <c r="F1235" s="19"/>
      <c r="G1235" s="19"/>
      <c r="H1235" s="19"/>
      <c r="I1235" s="19"/>
      <c r="J1235" s="19"/>
      <c r="K1235" s="4"/>
      <c r="L1235" s="10"/>
      <c r="M1235" s="19"/>
      <c r="N1235" s="19"/>
      <c r="O1235" s="19"/>
      <c r="P1235" s="11"/>
      <c r="Q1235" s="11"/>
      <c r="R1235" s="12"/>
      <c r="S1235" s="12"/>
      <c r="T1235" s="12"/>
      <c r="U1235" s="12"/>
      <c r="V1235" s="12"/>
      <c r="W1235" s="12"/>
      <c r="X1235" s="12"/>
      <c r="Y1235" s="12"/>
      <c r="Z1235" s="12"/>
    </row>
    <row r="1236" spans="1:26" ht="13">
      <c r="A1236" s="24"/>
      <c r="B1236" s="9"/>
      <c r="C1236" s="19"/>
      <c r="D1236" s="19"/>
      <c r="E1236" s="19"/>
      <c r="F1236" s="19"/>
      <c r="G1236" s="19"/>
      <c r="H1236" s="19"/>
      <c r="I1236" s="19"/>
      <c r="J1236" s="19"/>
      <c r="K1236" s="4"/>
      <c r="L1236" s="10"/>
      <c r="M1236" s="19"/>
      <c r="N1236" s="19"/>
      <c r="O1236" s="19"/>
      <c r="P1236" s="11"/>
      <c r="Q1236" s="11"/>
      <c r="R1236" s="12"/>
      <c r="S1236" s="12"/>
      <c r="T1236" s="12"/>
      <c r="U1236" s="12"/>
      <c r="V1236" s="12"/>
      <c r="W1236" s="12"/>
      <c r="X1236" s="12"/>
      <c r="Y1236" s="12"/>
      <c r="Z1236" s="12"/>
    </row>
    <row r="1237" spans="1:26" ht="13">
      <c r="A1237" s="24"/>
      <c r="B1237" s="9"/>
      <c r="C1237" s="19"/>
      <c r="D1237" s="19"/>
      <c r="E1237" s="19"/>
      <c r="F1237" s="19"/>
      <c r="G1237" s="19"/>
      <c r="H1237" s="19"/>
      <c r="I1237" s="19"/>
      <c r="J1237" s="19"/>
      <c r="K1237" s="4"/>
      <c r="L1237" s="10"/>
      <c r="M1237" s="19"/>
      <c r="N1237" s="19"/>
      <c r="O1237" s="19"/>
      <c r="P1237" s="11"/>
      <c r="Q1237" s="11"/>
      <c r="R1237" s="12"/>
      <c r="S1237" s="12"/>
      <c r="T1237" s="12"/>
      <c r="U1237" s="12"/>
      <c r="V1237" s="12"/>
      <c r="W1237" s="12"/>
      <c r="X1237" s="12"/>
      <c r="Y1237" s="12"/>
      <c r="Z1237" s="12"/>
    </row>
    <row r="1238" spans="1:26" ht="13">
      <c r="A1238" s="24"/>
      <c r="B1238" s="9"/>
      <c r="C1238" s="19"/>
      <c r="D1238" s="19"/>
      <c r="E1238" s="19"/>
      <c r="F1238" s="19"/>
      <c r="G1238" s="19"/>
      <c r="H1238" s="19"/>
      <c r="I1238" s="19"/>
      <c r="J1238" s="19"/>
      <c r="K1238" s="4"/>
      <c r="L1238" s="10"/>
      <c r="M1238" s="19"/>
      <c r="N1238" s="19"/>
      <c r="O1238" s="19"/>
      <c r="P1238" s="11"/>
      <c r="Q1238" s="11"/>
      <c r="R1238" s="12"/>
      <c r="S1238" s="12"/>
      <c r="T1238" s="12"/>
      <c r="U1238" s="12"/>
      <c r="V1238" s="12"/>
      <c r="W1238" s="12"/>
      <c r="X1238" s="12"/>
      <c r="Y1238" s="12"/>
      <c r="Z1238" s="12"/>
    </row>
    <row r="1239" spans="1:26" ht="13">
      <c r="A1239" s="24"/>
      <c r="B1239" s="9"/>
      <c r="C1239" s="19"/>
      <c r="D1239" s="19"/>
      <c r="E1239" s="19"/>
      <c r="F1239" s="19"/>
      <c r="G1239" s="19"/>
      <c r="H1239" s="19"/>
      <c r="I1239" s="19"/>
      <c r="J1239" s="19"/>
      <c r="K1239" s="4"/>
      <c r="L1239" s="10"/>
      <c r="M1239" s="19"/>
      <c r="N1239" s="19"/>
      <c r="O1239" s="19"/>
      <c r="P1239" s="11"/>
      <c r="Q1239" s="11"/>
      <c r="R1239" s="12"/>
      <c r="S1239" s="12"/>
      <c r="T1239" s="12"/>
      <c r="U1239" s="12"/>
      <c r="V1239" s="12"/>
      <c r="W1239" s="12"/>
      <c r="X1239" s="12"/>
      <c r="Y1239" s="12"/>
      <c r="Z1239" s="12"/>
    </row>
    <row r="1240" spans="1:26" ht="13">
      <c r="A1240" s="24"/>
      <c r="B1240" s="9"/>
      <c r="C1240" s="19"/>
      <c r="D1240" s="19"/>
      <c r="E1240" s="19"/>
      <c r="F1240" s="19"/>
      <c r="G1240" s="19"/>
      <c r="H1240" s="19"/>
      <c r="I1240" s="19"/>
      <c r="J1240" s="19"/>
      <c r="K1240" s="4"/>
      <c r="L1240" s="10"/>
      <c r="M1240" s="19"/>
      <c r="N1240" s="19"/>
      <c r="O1240" s="19"/>
      <c r="P1240" s="11"/>
      <c r="Q1240" s="11"/>
      <c r="R1240" s="12"/>
      <c r="S1240" s="12"/>
      <c r="T1240" s="12"/>
      <c r="U1240" s="12"/>
      <c r="V1240" s="12"/>
      <c r="W1240" s="12"/>
      <c r="X1240" s="12"/>
      <c r="Y1240" s="12"/>
      <c r="Z1240" s="12"/>
    </row>
    <row r="1241" spans="1:26" ht="13">
      <c r="A1241" s="24"/>
      <c r="B1241" s="9"/>
      <c r="C1241" s="19"/>
      <c r="D1241" s="19"/>
      <c r="E1241" s="19"/>
      <c r="F1241" s="19"/>
      <c r="G1241" s="19"/>
      <c r="H1241" s="19"/>
      <c r="I1241" s="19"/>
      <c r="J1241" s="19"/>
      <c r="K1241" s="4"/>
      <c r="L1241" s="10"/>
      <c r="M1241" s="19"/>
      <c r="N1241" s="19"/>
      <c r="O1241" s="19"/>
      <c r="P1241" s="11"/>
      <c r="Q1241" s="11"/>
      <c r="R1241" s="12"/>
      <c r="S1241" s="12"/>
      <c r="T1241" s="12"/>
      <c r="U1241" s="12"/>
      <c r="V1241" s="12"/>
      <c r="W1241" s="12"/>
      <c r="X1241" s="12"/>
      <c r="Y1241" s="12"/>
      <c r="Z1241" s="12"/>
    </row>
    <row r="1242" spans="1:26" ht="13">
      <c r="A1242" s="24"/>
      <c r="B1242" s="9"/>
      <c r="C1242" s="19"/>
      <c r="D1242" s="19"/>
      <c r="E1242" s="19"/>
      <c r="F1242" s="19"/>
      <c r="G1242" s="19"/>
      <c r="H1242" s="19"/>
      <c r="I1242" s="19"/>
      <c r="J1242" s="19"/>
      <c r="K1242" s="4"/>
      <c r="L1242" s="10"/>
      <c r="M1242" s="19"/>
      <c r="N1242" s="19"/>
      <c r="O1242" s="19"/>
      <c r="P1242" s="11"/>
      <c r="Q1242" s="11"/>
      <c r="R1242" s="12"/>
      <c r="S1242" s="12"/>
      <c r="T1242" s="12"/>
      <c r="U1242" s="12"/>
      <c r="V1242" s="12"/>
      <c r="W1242" s="12"/>
      <c r="X1242" s="12"/>
      <c r="Y1242" s="12"/>
      <c r="Z1242" s="12"/>
    </row>
    <row r="1243" spans="1:26" ht="13">
      <c r="A1243" s="24"/>
      <c r="B1243" s="9"/>
      <c r="C1243" s="19"/>
      <c r="D1243" s="19"/>
      <c r="E1243" s="19"/>
      <c r="F1243" s="19"/>
      <c r="G1243" s="19"/>
      <c r="H1243" s="19"/>
      <c r="I1243" s="19"/>
      <c r="J1243" s="19"/>
      <c r="K1243" s="4"/>
      <c r="L1243" s="10"/>
      <c r="M1243" s="19"/>
      <c r="N1243" s="19"/>
      <c r="O1243" s="19"/>
      <c r="P1243" s="11"/>
      <c r="Q1243" s="11"/>
      <c r="R1243" s="12"/>
      <c r="S1243" s="12"/>
      <c r="T1243" s="12"/>
      <c r="U1243" s="12"/>
      <c r="V1243" s="12"/>
      <c r="W1243" s="12"/>
      <c r="X1243" s="12"/>
      <c r="Y1243" s="12"/>
      <c r="Z1243" s="12"/>
    </row>
    <row r="1244" spans="1:26" ht="13">
      <c r="A1244" s="24"/>
      <c r="B1244" s="9"/>
      <c r="C1244" s="19"/>
      <c r="D1244" s="19"/>
      <c r="E1244" s="19"/>
      <c r="F1244" s="19"/>
      <c r="G1244" s="19"/>
      <c r="H1244" s="19"/>
      <c r="I1244" s="19"/>
      <c r="J1244" s="19"/>
      <c r="K1244" s="4"/>
      <c r="L1244" s="10"/>
      <c r="M1244" s="19"/>
      <c r="N1244" s="19"/>
      <c r="O1244" s="19"/>
      <c r="P1244" s="11"/>
      <c r="Q1244" s="11"/>
      <c r="R1244" s="12"/>
      <c r="S1244" s="12"/>
      <c r="T1244" s="12"/>
      <c r="U1244" s="12"/>
      <c r="V1244" s="12"/>
      <c r="W1244" s="12"/>
      <c r="X1244" s="12"/>
      <c r="Y1244" s="12"/>
      <c r="Z1244" s="12"/>
    </row>
    <row r="1245" spans="1:26" ht="13">
      <c r="A1245" s="24"/>
      <c r="B1245" s="9"/>
      <c r="C1245" s="19"/>
      <c r="D1245" s="19"/>
      <c r="E1245" s="19"/>
      <c r="F1245" s="19"/>
      <c r="G1245" s="19"/>
      <c r="H1245" s="19"/>
      <c r="I1245" s="19"/>
      <c r="J1245" s="19"/>
      <c r="K1245" s="4"/>
      <c r="L1245" s="10"/>
      <c r="M1245" s="19"/>
      <c r="N1245" s="19"/>
      <c r="O1245" s="19"/>
      <c r="P1245" s="11"/>
      <c r="Q1245" s="11"/>
      <c r="R1245" s="12"/>
      <c r="S1245" s="12"/>
      <c r="T1245" s="12"/>
      <c r="U1245" s="12"/>
      <c r="V1245" s="12"/>
      <c r="W1245" s="12"/>
      <c r="X1245" s="12"/>
      <c r="Y1245" s="12"/>
      <c r="Z1245" s="12"/>
    </row>
    <row r="1246" spans="1:26" ht="13">
      <c r="A1246" s="24"/>
      <c r="B1246" s="9"/>
      <c r="C1246" s="19"/>
      <c r="D1246" s="19"/>
      <c r="E1246" s="19"/>
      <c r="F1246" s="19"/>
      <c r="G1246" s="19"/>
      <c r="H1246" s="19"/>
      <c r="I1246" s="19"/>
      <c r="J1246" s="19"/>
      <c r="K1246" s="4"/>
      <c r="L1246" s="10"/>
      <c r="M1246" s="19"/>
      <c r="N1246" s="19"/>
      <c r="O1246" s="19"/>
      <c r="P1246" s="11"/>
      <c r="Q1246" s="11"/>
      <c r="R1246" s="12"/>
      <c r="S1246" s="12"/>
      <c r="T1246" s="12"/>
      <c r="U1246" s="12"/>
      <c r="V1246" s="12"/>
      <c r="W1246" s="12"/>
      <c r="X1246" s="12"/>
      <c r="Y1246" s="12"/>
      <c r="Z1246" s="12"/>
    </row>
    <row r="1247" spans="1:26" ht="13">
      <c r="A1247" s="24"/>
      <c r="B1247" s="9"/>
      <c r="C1247" s="19"/>
      <c r="D1247" s="19"/>
      <c r="E1247" s="19"/>
      <c r="F1247" s="19"/>
      <c r="G1247" s="19"/>
      <c r="H1247" s="19"/>
      <c r="I1247" s="19"/>
      <c r="J1247" s="19"/>
      <c r="K1247" s="4"/>
      <c r="L1247" s="10"/>
      <c r="M1247" s="19"/>
      <c r="N1247" s="19"/>
      <c r="O1247" s="19"/>
      <c r="P1247" s="11"/>
      <c r="Q1247" s="11"/>
      <c r="R1247" s="12"/>
      <c r="S1247" s="12"/>
      <c r="T1247" s="12"/>
      <c r="U1247" s="12"/>
      <c r="V1247" s="12"/>
      <c r="W1247" s="12"/>
      <c r="X1247" s="12"/>
      <c r="Y1247" s="12"/>
      <c r="Z1247" s="12"/>
    </row>
    <row r="1248" spans="1:26" ht="13">
      <c r="A1248" s="24"/>
      <c r="B1248" s="9"/>
      <c r="C1248" s="19"/>
      <c r="D1248" s="19"/>
      <c r="E1248" s="19"/>
      <c r="F1248" s="19"/>
      <c r="G1248" s="19"/>
      <c r="H1248" s="19"/>
      <c r="I1248" s="19"/>
      <c r="J1248" s="19"/>
      <c r="K1248" s="4"/>
      <c r="L1248" s="10"/>
      <c r="M1248" s="19"/>
      <c r="N1248" s="19"/>
      <c r="O1248" s="19"/>
      <c r="P1248" s="11"/>
      <c r="Q1248" s="11"/>
      <c r="R1248" s="12"/>
      <c r="S1248" s="12"/>
      <c r="T1248" s="12"/>
      <c r="U1248" s="12"/>
      <c r="V1248" s="12"/>
      <c r="W1248" s="12"/>
      <c r="X1248" s="12"/>
      <c r="Y1248" s="12"/>
      <c r="Z1248" s="12"/>
    </row>
    <row r="1249" spans="1:26" ht="13">
      <c r="A1249" s="24"/>
      <c r="B1249" s="9"/>
      <c r="C1249" s="19"/>
      <c r="D1249" s="19"/>
      <c r="E1249" s="19"/>
      <c r="F1249" s="19"/>
      <c r="G1249" s="19"/>
      <c r="H1249" s="19"/>
      <c r="I1249" s="19"/>
      <c r="J1249" s="19"/>
      <c r="K1249" s="4"/>
      <c r="L1249" s="10"/>
      <c r="M1249" s="19"/>
      <c r="N1249" s="19"/>
      <c r="O1249" s="19"/>
      <c r="P1249" s="11"/>
      <c r="Q1249" s="11"/>
      <c r="R1249" s="12"/>
      <c r="S1249" s="12"/>
      <c r="T1249" s="12"/>
      <c r="U1249" s="12"/>
      <c r="V1249" s="12"/>
      <c r="W1249" s="12"/>
      <c r="X1249" s="12"/>
      <c r="Y1249" s="12"/>
      <c r="Z1249" s="12"/>
    </row>
    <row r="1250" spans="1:26" ht="13">
      <c r="A1250" s="24"/>
      <c r="B1250" s="9"/>
      <c r="C1250" s="19"/>
      <c r="D1250" s="19"/>
      <c r="E1250" s="19"/>
      <c r="F1250" s="19"/>
      <c r="G1250" s="19"/>
      <c r="H1250" s="19"/>
      <c r="I1250" s="19"/>
      <c r="J1250" s="19"/>
      <c r="K1250" s="4"/>
      <c r="L1250" s="10"/>
      <c r="M1250" s="19"/>
      <c r="N1250" s="19"/>
      <c r="O1250" s="19"/>
      <c r="P1250" s="11"/>
      <c r="Q1250" s="11"/>
      <c r="R1250" s="12"/>
      <c r="S1250" s="12"/>
      <c r="T1250" s="12"/>
      <c r="U1250" s="12"/>
      <c r="V1250" s="12"/>
      <c r="W1250" s="12"/>
      <c r="X1250" s="12"/>
      <c r="Y1250" s="12"/>
      <c r="Z1250" s="12"/>
    </row>
    <row r="1251" spans="1:26" ht="13">
      <c r="A1251" s="24"/>
      <c r="B1251" s="9"/>
      <c r="C1251" s="19"/>
      <c r="D1251" s="19"/>
      <c r="E1251" s="19"/>
      <c r="F1251" s="19"/>
      <c r="G1251" s="19"/>
      <c r="H1251" s="19"/>
      <c r="I1251" s="19"/>
      <c r="J1251" s="19"/>
      <c r="K1251" s="4"/>
      <c r="L1251" s="10"/>
      <c r="M1251" s="19"/>
      <c r="N1251" s="19"/>
      <c r="O1251" s="19"/>
      <c r="P1251" s="11"/>
      <c r="Q1251" s="11"/>
      <c r="R1251" s="12"/>
      <c r="S1251" s="12"/>
      <c r="T1251" s="12"/>
      <c r="U1251" s="12"/>
      <c r="V1251" s="12"/>
      <c r="W1251" s="12"/>
      <c r="X1251" s="12"/>
      <c r="Y1251" s="12"/>
      <c r="Z1251" s="12"/>
    </row>
    <row r="1252" spans="1:26" ht="13">
      <c r="A1252" s="24"/>
      <c r="B1252" s="9"/>
      <c r="C1252" s="19"/>
      <c r="D1252" s="19"/>
      <c r="E1252" s="19"/>
      <c r="F1252" s="19"/>
      <c r="G1252" s="19"/>
      <c r="H1252" s="19"/>
      <c r="I1252" s="19"/>
      <c r="J1252" s="19"/>
      <c r="K1252" s="4"/>
      <c r="L1252" s="10"/>
      <c r="M1252" s="19"/>
      <c r="N1252" s="19"/>
      <c r="O1252" s="19"/>
      <c r="P1252" s="11"/>
      <c r="Q1252" s="11"/>
      <c r="R1252" s="12"/>
      <c r="S1252" s="12"/>
      <c r="T1252" s="12"/>
      <c r="U1252" s="12"/>
      <c r="V1252" s="12"/>
      <c r="W1252" s="12"/>
      <c r="X1252" s="12"/>
      <c r="Y1252" s="12"/>
      <c r="Z1252" s="12"/>
    </row>
    <row r="1253" spans="1:26" ht="13">
      <c r="A1253" s="24"/>
      <c r="B1253" s="9"/>
      <c r="C1253" s="19"/>
      <c r="D1253" s="19"/>
      <c r="E1253" s="19"/>
      <c r="F1253" s="19"/>
      <c r="G1253" s="19"/>
      <c r="H1253" s="19"/>
      <c r="I1253" s="19"/>
      <c r="J1253" s="19"/>
      <c r="K1253" s="4"/>
      <c r="L1253" s="10"/>
      <c r="M1253" s="19"/>
      <c r="N1253" s="19"/>
      <c r="O1253" s="19"/>
      <c r="P1253" s="11"/>
      <c r="Q1253" s="11"/>
      <c r="R1253" s="12"/>
      <c r="S1253" s="12"/>
      <c r="T1253" s="12"/>
      <c r="U1253" s="12"/>
      <c r="V1253" s="12"/>
      <c r="W1253" s="12"/>
      <c r="X1253" s="12"/>
      <c r="Y1253" s="12"/>
      <c r="Z1253" s="12"/>
    </row>
    <row r="1254" spans="1:26" ht="13">
      <c r="A1254" s="24"/>
      <c r="B1254" s="9"/>
      <c r="C1254" s="19"/>
      <c r="D1254" s="19"/>
      <c r="E1254" s="19"/>
      <c r="F1254" s="19"/>
      <c r="G1254" s="19"/>
      <c r="H1254" s="19"/>
      <c r="I1254" s="19"/>
      <c r="J1254" s="19"/>
      <c r="K1254" s="4"/>
      <c r="L1254" s="10"/>
      <c r="M1254" s="19"/>
      <c r="N1254" s="19"/>
      <c r="O1254" s="19"/>
      <c r="P1254" s="11"/>
      <c r="Q1254" s="11"/>
      <c r="R1254" s="12"/>
      <c r="S1254" s="12"/>
      <c r="T1254" s="12"/>
      <c r="U1254" s="12"/>
      <c r="V1254" s="12"/>
      <c r="W1254" s="12"/>
      <c r="X1254" s="12"/>
      <c r="Y1254" s="12"/>
      <c r="Z1254" s="12"/>
    </row>
    <row r="1255" spans="1:26" ht="13">
      <c r="A1255" s="24"/>
      <c r="B1255" s="9"/>
      <c r="C1255" s="19"/>
      <c r="D1255" s="19"/>
      <c r="E1255" s="19"/>
      <c r="F1255" s="19"/>
      <c r="G1255" s="19"/>
      <c r="H1255" s="19"/>
      <c r="I1255" s="19"/>
      <c r="J1255" s="19"/>
      <c r="K1255" s="4"/>
      <c r="L1255" s="10"/>
      <c r="M1255" s="19"/>
      <c r="N1255" s="19"/>
      <c r="O1255" s="19"/>
      <c r="P1255" s="11"/>
      <c r="Q1255" s="11"/>
      <c r="R1255" s="12"/>
      <c r="S1255" s="12"/>
      <c r="T1255" s="12"/>
      <c r="U1255" s="12"/>
      <c r="V1255" s="12"/>
      <c r="W1255" s="12"/>
      <c r="X1255" s="12"/>
      <c r="Y1255" s="12"/>
      <c r="Z1255" s="12"/>
    </row>
    <row r="1256" spans="1:26" ht="13">
      <c r="A1256" s="24"/>
      <c r="B1256" s="9"/>
      <c r="C1256" s="19"/>
      <c r="D1256" s="19"/>
      <c r="E1256" s="19"/>
      <c r="F1256" s="19"/>
      <c r="G1256" s="19"/>
      <c r="H1256" s="19"/>
      <c r="I1256" s="19"/>
      <c r="J1256" s="19"/>
      <c r="K1256" s="4"/>
      <c r="L1256" s="10"/>
      <c r="M1256" s="19"/>
      <c r="N1256" s="19"/>
      <c r="O1256" s="19"/>
      <c r="P1256" s="11"/>
      <c r="Q1256" s="11"/>
      <c r="R1256" s="12"/>
      <c r="S1256" s="12"/>
      <c r="T1256" s="12"/>
      <c r="U1256" s="12"/>
      <c r="V1256" s="12"/>
      <c r="W1256" s="12"/>
      <c r="X1256" s="12"/>
      <c r="Y1256" s="12"/>
      <c r="Z1256" s="12"/>
    </row>
    <row r="1257" spans="1:26" ht="13">
      <c r="A1257" s="24"/>
      <c r="B1257" s="9"/>
      <c r="C1257" s="19"/>
      <c r="D1257" s="19"/>
      <c r="E1257" s="19"/>
      <c r="F1257" s="19"/>
      <c r="G1257" s="19"/>
      <c r="H1257" s="19"/>
      <c r="I1257" s="19"/>
      <c r="J1257" s="19"/>
      <c r="K1257" s="4"/>
      <c r="L1257" s="10"/>
      <c r="M1257" s="19"/>
      <c r="N1257" s="19"/>
      <c r="O1257" s="19"/>
      <c r="P1257" s="11"/>
      <c r="Q1257" s="11"/>
      <c r="R1257" s="12"/>
      <c r="S1257" s="12"/>
      <c r="T1257" s="12"/>
      <c r="U1257" s="12"/>
      <c r="V1257" s="12"/>
      <c r="W1257" s="12"/>
      <c r="X1257" s="12"/>
      <c r="Y1257" s="12"/>
      <c r="Z1257" s="12"/>
    </row>
    <row r="1258" spans="1:26" ht="13">
      <c r="A1258" s="24"/>
      <c r="B1258" s="9"/>
      <c r="C1258" s="19"/>
      <c r="D1258" s="19"/>
      <c r="E1258" s="19"/>
      <c r="F1258" s="19"/>
      <c r="G1258" s="19"/>
      <c r="H1258" s="19"/>
      <c r="I1258" s="19"/>
      <c r="J1258" s="19"/>
      <c r="K1258" s="4"/>
      <c r="L1258" s="10"/>
      <c r="M1258" s="19"/>
      <c r="N1258" s="19"/>
      <c r="O1258" s="19"/>
      <c r="P1258" s="11"/>
      <c r="Q1258" s="11"/>
      <c r="R1258" s="12"/>
      <c r="S1258" s="12"/>
      <c r="T1258" s="12"/>
      <c r="U1258" s="12"/>
      <c r="V1258" s="12"/>
      <c r="W1258" s="12"/>
      <c r="X1258" s="12"/>
      <c r="Y1258" s="12"/>
      <c r="Z1258" s="12"/>
    </row>
    <row r="1259" spans="1:26" ht="13">
      <c r="A1259" s="24"/>
      <c r="B1259" s="9"/>
      <c r="C1259" s="19"/>
      <c r="D1259" s="19"/>
      <c r="E1259" s="19"/>
      <c r="F1259" s="19"/>
      <c r="G1259" s="19"/>
      <c r="H1259" s="19"/>
      <c r="I1259" s="19"/>
      <c r="J1259" s="19"/>
      <c r="K1259" s="4"/>
      <c r="L1259" s="10"/>
      <c r="M1259" s="19"/>
      <c r="N1259" s="19"/>
      <c r="O1259" s="19"/>
      <c r="P1259" s="11"/>
      <c r="Q1259" s="11"/>
      <c r="R1259" s="12"/>
      <c r="S1259" s="12"/>
      <c r="T1259" s="12"/>
      <c r="U1259" s="12"/>
      <c r="V1259" s="12"/>
      <c r="W1259" s="12"/>
      <c r="X1259" s="12"/>
      <c r="Y1259" s="12"/>
      <c r="Z1259" s="12"/>
    </row>
    <row r="1260" spans="1:26" ht="13">
      <c r="A1260" s="24"/>
      <c r="B1260" s="9"/>
      <c r="C1260" s="19"/>
      <c r="D1260" s="19"/>
      <c r="E1260" s="19"/>
      <c r="F1260" s="19"/>
      <c r="G1260" s="19"/>
      <c r="H1260" s="19"/>
      <c r="I1260" s="19"/>
      <c r="J1260" s="19"/>
      <c r="K1260" s="4"/>
      <c r="L1260" s="10"/>
      <c r="M1260" s="19"/>
      <c r="N1260" s="19"/>
      <c r="O1260" s="19"/>
      <c r="P1260" s="11"/>
      <c r="Q1260" s="11"/>
      <c r="R1260" s="12"/>
      <c r="S1260" s="12"/>
      <c r="T1260" s="12"/>
      <c r="U1260" s="12"/>
      <c r="V1260" s="12"/>
      <c r="W1260" s="12"/>
      <c r="X1260" s="12"/>
      <c r="Y1260" s="12"/>
      <c r="Z1260" s="12"/>
    </row>
    <row r="1261" spans="1:26" ht="13">
      <c r="A1261" s="24"/>
      <c r="B1261" s="9"/>
      <c r="C1261" s="19"/>
      <c r="D1261" s="19"/>
      <c r="E1261" s="19"/>
      <c r="F1261" s="19"/>
      <c r="G1261" s="19"/>
      <c r="H1261" s="19"/>
      <c r="I1261" s="19"/>
      <c r="J1261" s="19"/>
      <c r="K1261" s="4"/>
      <c r="L1261" s="10"/>
      <c r="M1261" s="19"/>
      <c r="N1261" s="19"/>
      <c r="O1261" s="19"/>
      <c r="P1261" s="11"/>
      <c r="Q1261" s="11"/>
      <c r="R1261" s="12"/>
      <c r="S1261" s="12"/>
      <c r="T1261" s="12"/>
      <c r="U1261" s="12"/>
      <c r="V1261" s="12"/>
      <c r="W1261" s="12"/>
      <c r="X1261" s="12"/>
      <c r="Y1261" s="12"/>
      <c r="Z1261" s="12"/>
    </row>
    <row r="1262" spans="1:26" ht="13">
      <c r="A1262" s="24"/>
      <c r="B1262" s="9"/>
      <c r="C1262" s="19"/>
      <c r="D1262" s="19"/>
      <c r="E1262" s="19"/>
      <c r="F1262" s="19"/>
      <c r="G1262" s="19"/>
      <c r="H1262" s="19"/>
      <c r="I1262" s="19"/>
      <c r="J1262" s="19"/>
      <c r="K1262" s="4"/>
      <c r="L1262" s="10"/>
      <c r="M1262" s="19"/>
      <c r="N1262" s="19"/>
      <c r="O1262" s="19"/>
      <c r="P1262" s="11"/>
      <c r="Q1262" s="11"/>
      <c r="R1262" s="12"/>
      <c r="S1262" s="12"/>
      <c r="T1262" s="12"/>
      <c r="U1262" s="12"/>
      <c r="V1262" s="12"/>
      <c r="W1262" s="12"/>
      <c r="X1262" s="12"/>
      <c r="Y1262" s="12"/>
      <c r="Z1262" s="12"/>
    </row>
    <row r="1263" spans="1:26" ht="13">
      <c r="A1263" s="24"/>
      <c r="B1263" s="9"/>
      <c r="C1263" s="19"/>
      <c r="D1263" s="19"/>
      <c r="E1263" s="19"/>
      <c r="F1263" s="19"/>
      <c r="G1263" s="19"/>
      <c r="H1263" s="19"/>
      <c r="I1263" s="19"/>
      <c r="J1263" s="19"/>
      <c r="K1263" s="4"/>
      <c r="L1263" s="10"/>
      <c r="M1263" s="19"/>
      <c r="N1263" s="19"/>
      <c r="O1263" s="19"/>
      <c r="P1263" s="11"/>
      <c r="Q1263" s="11"/>
      <c r="R1263" s="12"/>
      <c r="S1263" s="12"/>
      <c r="T1263" s="12"/>
      <c r="U1263" s="12"/>
      <c r="V1263" s="12"/>
      <c r="W1263" s="12"/>
      <c r="X1263" s="12"/>
      <c r="Y1263" s="12"/>
      <c r="Z1263" s="12"/>
    </row>
    <row r="1264" spans="1:26" ht="13">
      <c r="A1264" s="24"/>
      <c r="B1264" s="9"/>
      <c r="C1264" s="19"/>
      <c r="D1264" s="19"/>
      <c r="E1264" s="19"/>
      <c r="F1264" s="19"/>
      <c r="G1264" s="19"/>
      <c r="H1264" s="19"/>
      <c r="I1264" s="19"/>
      <c r="J1264" s="19"/>
      <c r="K1264" s="4"/>
      <c r="L1264" s="10"/>
      <c r="M1264" s="19"/>
      <c r="N1264" s="19"/>
      <c r="O1264" s="19"/>
      <c r="P1264" s="11"/>
      <c r="Q1264" s="11"/>
      <c r="R1264" s="12"/>
      <c r="S1264" s="12"/>
      <c r="T1264" s="12"/>
      <c r="U1264" s="12"/>
      <c r="V1264" s="12"/>
      <c r="W1264" s="12"/>
      <c r="X1264" s="12"/>
      <c r="Y1264" s="12"/>
      <c r="Z1264" s="12"/>
    </row>
    <row r="1265" spans="1:26" ht="13">
      <c r="A1265" s="24"/>
      <c r="B1265" s="9"/>
      <c r="C1265" s="19"/>
      <c r="D1265" s="19"/>
      <c r="E1265" s="19"/>
      <c r="F1265" s="19"/>
      <c r="G1265" s="19"/>
      <c r="H1265" s="19"/>
      <c r="I1265" s="19"/>
      <c r="J1265" s="19"/>
      <c r="K1265" s="4"/>
      <c r="L1265" s="10"/>
      <c r="M1265" s="19"/>
      <c r="N1265" s="19"/>
      <c r="O1265" s="19"/>
      <c r="P1265" s="11"/>
      <c r="Q1265" s="11"/>
      <c r="R1265" s="12"/>
      <c r="S1265" s="12"/>
      <c r="T1265" s="12"/>
      <c r="U1265" s="12"/>
      <c r="V1265" s="12"/>
      <c r="W1265" s="12"/>
      <c r="X1265" s="12"/>
      <c r="Y1265" s="12"/>
      <c r="Z1265" s="12"/>
    </row>
    <row r="1266" spans="1:26" ht="13">
      <c r="A1266" s="24"/>
      <c r="B1266" s="9"/>
      <c r="C1266" s="19"/>
      <c r="D1266" s="19"/>
      <c r="E1266" s="19"/>
      <c r="F1266" s="19"/>
      <c r="G1266" s="19"/>
      <c r="H1266" s="19"/>
      <c r="I1266" s="19"/>
      <c r="J1266" s="19"/>
      <c r="K1266" s="4"/>
      <c r="L1266" s="10"/>
      <c r="M1266" s="19"/>
      <c r="N1266" s="19"/>
      <c r="O1266" s="19"/>
      <c r="P1266" s="11"/>
      <c r="Q1266" s="11"/>
      <c r="R1266" s="12"/>
      <c r="S1266" s="12"/>
      <c r="T1266" s="12"/>
      <c r="U1266" s="12"/>
      <c r="V1266" s="12"/>
      <c r="W1266" s="12"/>
      <c r="X1266" s="12"/>
      <c r="Y1266" s="12"/>
      <c r="Z1266" s="12"/>
    </row>
    <row r="1267" spans="1:26" ht="13">
      <c r="A1267" s="24"/>
      <c r="B1267" s="9"/>
      <c r="C1267" s="19"/>
      <c r="D1267" s="19"/>
      <c r="E1267" s="19"/>
      <c r="F1267" s="19"/>
      <c r="G1267" s="19"/>
      <c r="H1267" s="19"/>
      <c r="I1267" s="19"/>
      <c r="J1267" s="19"/>
      <c r="K1267" s="4"/>
      <c r="L1267" s="10"/>
      <c r="M1267" s="19"/>
      <c r="N1267" s="19"/>
      <c r="O1267" s="19"/>
      <c r="P1267" s="11"/>
      <c r="Q1267" s="11"/>
      <c r="R1267" s="12"/>
      <c r="S1267" s="12"/>
      <c r="T1267" s="12"/>
      <c r="U1267" s="12"/>
      <c r="V1267" s="12"/>
      <c r="W1267" s="12"/>
      <c r="X1267" s="12"/>
      <c r="Y1267" s="12"/>
      <c r="Z1267" s="12"/>
    </row>
    <row r="1268" spans="1:26" ht="13">
      <c r="A1268" s="24"/>
      <c r="B1268" s="9"/>
      <c r="C1268" s="19"/>
      <c r="D1268" s="19"/>
      <c r="E1268" s="19"/>
      <c r="F1268" s="19"/>
      <c r="G1268" s="19"/>
      <c r="H1268" s="19"/>
      <c r="I1268" s="19"/>
      <c r="J1268" s="19"/>
      <c r="K1268" s="4"/>
      <c r="L1268" s="10"/>
      <c r="M1268" s="19"/>
      <c r="N1268" s="19"/>
      <c r="O1268" s="19"/>
      <c r="P1268" s="11"/>
      <c r="Q1268" s="11"/>
      <c r="R1268" s="12"/>
      <c r="S1268" s="12"/>
      <c r="T1268" s="12"/>
      <c r="U1268" s="12"/>
      <c r="V1268" s="12"/>
      <c r="W1268" s="12"/>
      <c r="X1268" s="12"/>
      <c r="Y1268" s="12"/>
      <c r="Z1268" s="12"/>
    </row>
    <row r="1269" spans="1:26" ht="13">
      <c r="A1269" s="24"/>
      <c r="B1269" s="9"/>
      <c r="C1269" s="19"/>
      <c r="D1269" s="19"/>
      <c r="E1269" s="19"/>
      <c r="F1269" s="19"/>
      <c r="G1269" s="19"/>
      <c r="H1269" s="19"/>
      <c r="I1269" s="19"/>
      <c r="J1269" s="19"/>
      <c r="K1269" s="4"/>
      <c r="L1269" s="10"/>
      <c r="M1269" s="19"/>
      <c r="N1269" s="19"/>
      <c r="O1269" s="19"/>
      <c r="P1269" s="11"/>
      <c r="Q1269" s="11"/>
      <c r="R1269" s="12"/>
      <c r="S1269" s="12"/>
      <c r="T1269" s="12"/>
      <c r="U1269" s="12"/>
      <c r="V1269" s="12"/>
      <c r="W1269" s="12"/>
      <c r="X1269" s="12"/>
      <c r="Y1269" s="12"/>
      <c r="Z1269" s="12"/>
    </row>
    <row r="1270" spans="1:26" ht="13">
      <c r="A1270" s="24"/>
      <c r="B1270" s="9"/>
      <c r="C1270" s="19"/>
      <c r="D1270" s="19"/>
      <c r="E1270" s="19"/>
      <c r="F1270" s="19"/>
      <c r="G1270" s="19"/>
      <c r="H1270" s="19"/>
      <c r="I1270" s="19"/>
      <c r="J1270" s="19"/>
      <c r="K1270" s="4"/>
      <c r="L1270" s="10"/>
      <c r="M1270" s="19"/>
      <c r="N1270" s="19"/>
      <c r="O1270" s="19"/>
      <c r="P1270" s="11"/>
      <c r="Q1270" s="11"/>
      <c r="R1270" s="12"/>
      <c r="S1270" s="12"/>
      <c r="T1270" s="12"/>
      <c r="U1270" s="12"/>
      <c r="V1270" s="12"/>
      <c r="W1270" s="12"/>
      <c r="X1270" s="12"/>
      <c r="Y1270" s="12"/>
      <c r="Z1270" s="12"/>
    </row>
    <row r="1271" spans="1:26" ht="13">
      <c r="A1271" s="24"/>
      <c r="B1271" s="9"/>
      <c r="C1271" s="19"/>
      <c r="D1271" s="19"/>
      <c r="E1271" s="19"/>
      <c r="F1271" s="19"/>
      <c r="G1271" s="19"/>
      <c r="H1271" s="19"/>
      <c r="I1271" s="19"/>
      <c r="J1271" s="19"/>
      <c r="K1271" s="4"/>
      <c r="L1271" s="10"/>
      <c r="M1271" s="19"/>
      <c r="N1271" s="19"/>
      <c r="O1271" s="19"/>
      <c r="P1271" s="11"/>
      <c r="Q1271" s="11"/>
      <c r="R1271" s="12"/>
      <c r="S1271" s="12"/>
      <c r="T1271" s="12"/>
      <c r="U1271" s="12"/>
      <c r="V1271" s="12"/>
      <c r="W1271" s="12"/>
      <c r="X1271" s="12"/>
      <c r="Y1271" s="12"/>
      <c r="Z1271" s="12"/>
    </row>
    <row r="1272" spans="1:26" ht="13">
      <c r="A1272" s="24"/>
      <c r="B1272" s="9"/>
      <c r="C1272" s="19"/>
      <c r="D1272" s="19"/>
      <c r="E1272" s="19"/>
      <c r="F1272" s="19"/>
      <c r="G1272" s="19"/>
      <c r="H1272" s="19"/>
      <c r="I1272" s="19"/>
      <c r="J1272" s="19"/>
      <c r="K1272" s="4"/>
      <c r="L1272" s="10"/>
      <c r="M1272" s="19"/>
      <c r="N1272" s="19"/>
      <c r="O1272" s="19"/>
      <c r="P1272" s="11"/>
      <c r="Q1272" s="11"/>
      <c r="R1272" s="12"/>
      <c r="S1272" s="12"/>
      <c r="T1272" s="12"/>
      <c r="U1272" s="12"/>
      <c r="V1272" s="12"/>
      <c r="W1272" s="12"/>
      <c r="X1272" s="12"/>
      <c r="Y1272" s="12"/>
      <c r="Z1272" s="12"/>
    </row>
    <row r="1273" spans="1:26" ht="13">
      <c r="A1273" s="24"/>
      <c r="B1273" s="9"/>
      <c r="C1273" s="19"/>
      <c r="D1273" s="19"/>
      <c r="E1273" s="19"/>
      <c r="F1273" s="19"/>
      <c r="G1273" s="19"/>
      <c r="H1273" s="19"/>
      <c r="I1273" s="19"/>
      <c r="J1273" s="19"/>
      <c r="K1273" s="4"/>
      <c r="L1273" s="10"/>
      <c r="M1273" s="19"/>
      <c r="N1273" s="19"/>
      <c r="O1273" s="19"/>
      <c r="P1273" s="11"/>
      <c r="Q1273" s="11"/>
      <c r="R1273" s="12"/>
      <c r="S1273" s="12"/>
      <c r="T1273" s="12"/>
      <c r="U1273" s="12"/>
      <c r="V1273" s="12"/>
      <c r="W1273" s="12"/>
      <c r="X1273" s="12"/>
      <c r="Y1273" s="12"/>
      <c r="Z1273" s="12"/>
    </row>
    <row r="1274" spans="1:26" ht="13">
      <c r="A1274" s="24"/>
      <c r="B1274" s="9"/>
      <c r="C1274" s="19"/>
      <c r="D1274" s="19"/>
      <c r="E1274" s="19"/>
      <c r="F1274" s="19"/>
      <c r="G1274" s="19"/>
      <c r="H1274" s="19"/>
      <c r="I1274" s="19"/>
      <c r="J1274" s="19"/>
      <c r="K1274" s="4"/>
      <c r="L1274" s="10"/>
      <c r="M1274" s="19"/>
      <c r="N1274" s="19"/>
      <c r="O1274" s="19"/>
      <c r="P1274" s="11"/>
      <c r="Q1274" s="11"/>
      <c r="R1274" s="12"/>
      <c r="S1274" s="12"/>
      <c r="T1274" s="12"/>
      <c r="U1274" s="12"/>
      <c r="V1274" s="12"/>
      <c r="W1274" s="12"/>
      <c r="X1274" s="12"/>
      <c r="Y1274" s="12"/>
      <c r="Z1274" s="12"/>
    </row>
    <row r="1275" spans="1:26" ht="13">
      <c r="A1275" s="24"/>
      <c r="B1275" s="9"/>
      <c r="C1275" s="19"/>
      <c r="D1275" s="19"/>
      <c r="E1275" s="19"/>
      <c r="F1275" s="19"/>
      <c r="G1275" s="19"/>
      <c r="H1275" s="19"/>
      <c r="I1275" s="19"/>
      <c r="J1275" s="19"/>
      <c r="K1275" s="4"/>
      <c r="L1275" s="10"/>
      <c r="M1275" s="19"/>
      <c r="N1275" s="19"/>
      <c r="O1275" s="19"/>
      <c r="P1275" s="11"/>
      <c r="Q1275" s="11"/>
      <c r="R1275" s="12"/>
      <c r="S1275" s="12"/>
      <c r="T1275" s="12"/>
      <c r="U1275" s="12"/>
      <c r="V1275" s="12"/>
      <c r="W1275" s="12"/>
      <c r="X1275" s="12"/>
      <c r="Y1275" s="12"/>
      <c r="Z1275" s="12"/>
    </row>
    <row r="1276" spans="1:26" ht="13">
      <c r="A1276" s="24"/>
      <c r="B1276" s="9"/>
      <c r="C1276" s="19"/>
      <c r="D1276" s="19"/>
      <c r="E1276" s="19"/>
      <c r="F1276" s="19"/>
      <c r="G1276" s="19"/>
      <c r="H1276" s="19"/>
      <c r="I1276" s="19"/>
      <c r="J1276" s="19"/>
      <c r="K1276" s="4"/>
      <c r="L1276" s="10"/>
      <c r="M1276" s="19"/>
      <c r="N1276" s="19"/>
      <c r="O1276" s="19"/>
      <c r="P1276" s="11"/>
      <c r="Q1276" s="11"/>
      <c r="R1276" s="12"/>
      <c r="S1276" s="12"/>
      <c r="T1276" s="12"/>
      <c r="U1276" s="12"/>
      <c r="V1276" s="12"/>
      <c r="W1276" s="12"/>
      <c r="X1276" s="12"/>
      <c r="Y1276" s="12"/>
      <c r="Z1276" s="12"/>
    </row>
    <row r="1277" spans="1:26" ht="13">
      <c r="A1277" s="24"/>
      <c r="B1277" s="9"/>
      <c r="C1277" s="19"/>
      <c r="D1277" s="19"/>
      <c r="E1277" s="19"/>
      <c r="F1277" s="19"/>
      <c r="G1277" s="19"/>
      <c r="H1277" s="19"/>
      <c r="I1277" s="19"/>
      <c r="J1277" s="19"/>
      <c r="K1277" s="4"/>
      <c r="L1277" s="10"/>
      <c r="M1277" s="19"/>
      <c r="N1277" s="19"/>
      <c r="O1277" s="19"/>
      <c r="P1277" s="11"/>
      <c r="Q1277" s="11"/>
      <c r="R1277" s="12"/>
      <c r="S1277" s="12"/>
      <c r="T1277" s="12"/>
      <c r="U1277" s="12"/>
      <c r="V1277" s="12"/>
      <c r="W1277" s="12"/>
      <c r="X1277" s="12"/>
      <c r="Y1277" s="12"/>
      <c r="Z1277" s="12"/>
    </row>
    <row r="1278" spans="1:26" ht="13">
      <c r="A1278" s="24"/>
      <c r="B1278" s="9"/>
      <c r="C1278" s="19"/>
      <c r="D1278" s="19"/>
      <c r="E1278" s="19"/>
      <c r="F1278" s="19"/>
      <c r="G1278" s="19"/>
      <c r="H1278" s="19"/>
      <c r="I1278" s="19"/>
      <c r="J1278" s="19"/>
      <c r="K1278" s="4"/>
      <c r="L1278" s="10"/>
      <c r="M1278" s="19"/>
      <c r="N1278" s="19"/>
      <c r="O1278" s="19"/>
      <c r="P1278" s="11"/>
      <c r="Q1278" s="11"/>
      <c r="R1278" s="12"/>
      <c r="S1278" s="12"/>
      <c r="T1278" s="12"/>
      <c r="U1278" s="12"/>
      <c r="V1278" s="12"/>
      <c r="W1278" s="12"/>
      <c r="X1278" s="12"/>
      <c r="Y1278" s="12"/>
      <c r="Z1278" s="12"/>
    </row>
    <row r="1279" spans="1:26" ht="13">
      <c r="A1279" s="24"/>
      <c r="B1279" s="9"/>
      <c r="C1279" s="19"/>
      <c r="D1279" s="19"/>
      <c r="E1279" s="19"/>
      <c r="F1279" s="19"/>
      <c r="G1279" s="19"/>
      <c r="H1279" s="19"/>
      <c r="I1279" s="19"/>
      <c r="J1279" s="19"/>
      <c r="K1279" s="4"/>
      <c r="L1279" s="10"/>
      <c r="M1279" s="19"/>
      <c r="N1279" s="19"/>
      <c r="O1279" s="19"/>
      <c r="P1279" s="11"/>
      <c r="Q1279" s="11"/>
      <c r="R1279" s="12"/>
      <c r="S1279" s="12"/>
      <c r="T1279" s="12"/>
      <c r="U1279" s="12"/>
      <c r="V1279" s="12"/>
      <c r="W1279" s="12"/>
      <c r="X1279" s="12"/>
      <c r="Y1279" s="12"/>
      <c r="Z1279" s="12"/>
    </row>
    <row r="1280" spans="1:26" ht="13">
      <c r="A1280" s="24"/>
      <c r="B1280" s="9"/>
      <c r="C1280" s="19"/>
      <c r="D1280" s="19"/>
      <c r="E1280" s="19"/>
      <c r="F1280" s="19"/>
      <c r="G1280" s="19"/>
      <c r="H1280" s="19"/>
      <c r="I1280" s="19"/>
      <c r="J1280" s="19"/>
      <c r="K1280" s="4"/>
      <c r="L1280" s="10"/>
      <c r="M1280" s="19"/>
      <c r="N1280" s="19"/>
      <c r="O1280" s="19"/>
      <c r="P1280" s="11"/>
      <c r="Q1280" s="11"/>
      <c r="R1280" s="12"/>
      <c r="S1280" s="12"/>
      <c r="T1280" s="12"/>
      <c r="U1280" s="12"/>
      <c r="V1280" s="12"/>
      <c r="W1280" s="12"/>
      <c r="X1280" s="12"/>
      <c r="Y1280" s="12"/>
      <c r="Z1280" s="12"/>
    </row>
    <row r="1281" spans="1:26" ht="13">
      <c r="A1281" s="24"/>
      <c r="B1281" s="9"/>
      <c r="C1281" s="19"/>
      <c r="D1281" s="19"/>
      <c r="E1281" s="19"/>
      <c r="F1281" s="19"/>
      <c r="G1281" s="19"/>
      <c r="H1281" s="19"/>
      <c r="I1281" s="19"/>
      <c r="J1281" s="19"/>
      <c r="K1281" s="4"/>
      <c r="L1281" s="10"/>
      <c r="M1281" s="19"/>
      <c r="N1281" s="19"/>
      <c r="O1281" s="19"/>
      <c r="P1281" s="11"/>
      <c r="Q1281" s="11"/>
      <c r="R1281" s="12"/>
      <c r="S1281" s="12"/>
      <c r="T1281" s="12"/>
      <c r="U1281" s="12"/>
      <c r="V1281" s="12"/>
      <c r="W1281" s="12"/>
      <c r="X1281" s="12"/>
      <c r="Y1281" s="12"/>
      <c r="Z1281" s="12"/>
    </row>
    <row r="1282" spans="1:26" ht="13">
      <c r="A1282" s="24"/>
      <c r="B1282" s="9"/>
      <c r="C1282" s="19"/>
      <c r="D1282" s="19"/>
      <c r="E1282" s="19"/>
      <c r="F1282" s="19"/>
      <c r="G1282" s="19"/>
      <c r="H1282" s="19"/>
      <c r="I1282" s="19"/>
      <c r="J1282" s="19"/>
      <c r="K1282" s="4"/>
      <c r="L1282" s="10"/>
      <c r="M1282" s="19"/>
      <c r="N1282" s="19"/>
      <c r="O1282" s="19"/>
      <c r="P1282" s="11"/>
      <c r="Q1282" s="11"/>
      <c r="R1282" s="12"/>
      <c r="S1282" s="12"/>
      <c r="T1282" s="12"/>
      <c r="U1282" s="12"/>
      <c r="V1282" s="12"/>
      <c r="W1282" s="12"/>
      <c r="X1282" s="12"/>
      <c r="Y1282" s="12"/>
      <c r="Z1282" s="12"/>
    </row>
    <row r="1283" spans="1:26" ht="13">
      <c r="A1283" s="24"/>
      <c r="B1283" s="9"/>
      <c r="C1283" s="19"/>
      <c r="D1283" s="19"/>
      <c r="E1283" s="19"/>
      <c r="F1283" s="19"/>
      <c r="G1283" s="19"/>
      <c r="H1283" s="19"/>
      <c r="I1283" s="19"/>
      <c r="J1283" s="19"/>
      <c r="K1283" s="4"/>
      <c r="L1283" s="10"/>
      <c r="M1283" s="19"/>
      <c r="N1283" s="19"/>
      <c r="O1283" s="19"/>
      <c r="P1283" s="11"/>
      <c r="Q1283" s="11"/>
      <c r="R1283" s="12"/>
      <c r="S1283" s="12"/>
      <c r="T1283" s="12"/>
      <c r="U1283" s="12"/>
      <c r="V1283" s="12"/>
      <c r="W1283" s="12"/>
      <c r="X1283" s="12"/>
      <c r="Y1283" s="12"/>
      <c r="Z1283" s="12"/>
    </row>
    <row r="1284" spans="1:26" ht="13">
      <c r="A1284" s="24"/>
      <c r="B1284" s="9"/>
      <c r="C1284" s="19"/>
      <c r="D1284" s="19"/>
      <c r="E1284" s="19"/>
      <c r="F1284" s="19"/>
      <c r="G1284" s="19"/>
      <c r="H1284" s="19"/>
      <c r="I1284" s="19"/>
      <c r="J1284" s="19"/>
      <c r="K1284" s="4"/>
      <c r="L1284" s="10"/>
      <c r="M1284" s="19"/>
      <c r="N1284" s="19"/>
      <c r="O1284" s="19"/>
      <c r="P1284" s="11"/>
      <c r="Q1284" s="11"/>
      <c r="R1284" s="12"/>
      <c r="S1284" s="12"/>
      <c r="T1284" s="12"/>
      <c r="U1284" s="12"/>
      <c r="V1284" s="12"/>
      <c r="W1284" s="12"/>
      <c r="X1284" s="12"/>
      <c r="Y1284" s="12"/>
      <c r="Z1284" s="12"/>
    </row>
    <row r="1285" spans="1:26" ht="13">
      <c r="A1285" s="24"/>
      <c r="B1285" s="9"/>
      <c r="C1285" s="19"/>
      <c r="D1285" s="19"/>
      <c r="E1285" s="19"/>
      <c r="F1285" s="19"/>
      <c r="G1285" s="19"/>
      <c r="H1285" s="19"/>
      <c r="I1285" s="19"/>
      <c r="J1285" s="19"/>
      <c r="K1285" s="4"/>
      <c r="L1285" s="10"/>
      <c r="M1285" s="19"/>
      <c r="N1285" s="19"/>
      <c r="O1285" s="19"/>
      <c r="P1285" s="11"/>
      <c r="Q1285" s="11"/>
      <c r="R1285" s="12"/>
      <c r="S1285" s="12"/>
      <c r="T1285" s="12"/>
      <c r="U1285" s="12"/>
      <c r="V1285" s="12"/>
      <c r="W1285" s="12"/>
      <c r="X1285" s="12"/>
      <c r="Y1285" s="12"/>
      <c r="Z1285" s="12"/>
    </row>
    <row r="1286" spans="1:26" ht="13">
      <c r="A1286" s="24"/>
      <c r="B1286" s="9"/>
      <c r="C1286" s="19"/>
      <c r="D1286" s="19"/>
      <c r="E1286" s="19"/>
      <c r="F1286" s="19"/>
      <c r="G1286" s="19"/>
      <c r="H1286" s="19"/>
      <c r="I1286" s="19"/>
      <c r="J1286" s="19"/>
      <c r="K1286" s="4"/>
      <c r="L1286" s="10"/>
      <c r="M1286" s="19"/>
      <c r="N1286" s="19"/>
      <c r="O1286" s="19"/>
      <c r="P1286" s="11"/>
      <c r="Q1286" s="11"/>
      <c r="R1286" s="12"/>
      <c r="S1286" s="12"/>
      <c r="T1286" s="12"/>
      <c r="U1286" s="12"/>
      <c r="V1286" s="12"/>
      <c r="W1286" s="12"/>
      <c r="X1286" s="12"/>
      <c r="Y1286" s="12"/>
      <c r="Z1286" s="12"/>
    </row>
    <row r="1287" spans="1:26" ht="13">
      <c r="A1287" s="24"/>
      <c r="B1287" s="9"/>
      <c r="C1287" s="19"/>
      <c r="D1287" s="19"/>
      <c r="E1287" s="19"/>
      <c r="F1287" s="19"/>
      <c r="G1287" s="19"/>
      <c r="H1287" s="19"/>
      <c r="I1287" s="19"/>
      <c r="J1287" s="19"/>
      <c r="K1287" s="4"/>
      <c r="L1287" s="10"/>
      <c r="M1287" s="19"/>
      <c r="N1287" s="19"/>
      <c r="O1287" s="19"/>
      <c r="P1287" s="11"/>
      <c r="Q1287" s="11"/>
      <c r="R1287" s="12"/>
      <c r="S1287" s="12"/>
      <c r="T1287" s="12"/>
      <c r="U1287" s="12"/>
      <c r="V1287" s="12"/>
      <c r="W1287" s="12"/>
      <c r="X1287" s="12"/>
      <c r="Y1287" s="12"/>
      <c r="Z1287" s="12"/>
    </row>
    <row r="1288" spans="1:26" ht="13">
      <c r="A1288" s="24"/>
      <c r="B1288" s="9"/>
      <c r="C1288" s="19"/>
      <c r="D1288" s="19"/>
      <c r="E1288" s="19"/>
      <c r="F1288" s="19"/>
      <c r="G1288" s="19"/>
      <c r="H1288" s="19"/>
      <c r="I1288" s="19"/>
      <c r="J1288" s="19"/>
      <c r="K1288" s="4"/>
      <c r="L1288" s="10"/>
      <c r="M1288" s="19"/>
      <c r="N1288" s="19"/>
      <c r="O1288" s="19"/>
      <c r="P1288" s="11"/>
      <c r="Q1288" s="11"/>
      <c r="R1288" s="12"/>
      <c r="S1288" s="12"/>
      <c r="T1288" s="12"/>
      <c r="U1288" s="12"/>
      <c r="V1288" s="12"/>
      <c r="W1288" s="12"/>
      <c r="X1288" s="12"/>
      <c r="Y1288" s="12"/>
      <c r="Z1288" s="12"/>
    </row>
    <row r="1289" spans="1:26" ht="13">
      <c r="A1289" s="24"/>
      <c r="B1289" s="9"/>
      <c r="C1289" s="19"/>
      <c r="D1289" s="19"/>
      <c r="E1289" s="19"/>
      <c r="F1289" s="19"/>
      <c r="G1289" s="19"/>
      <c r="H1289" s="19"/>
      <c r="I1289" s="19"/>
      <c r="J1289" s="19"/>
      <c r="K1289" s="4"/>
      <c r="L1289" s="10"/>
      <c r="M1289" s="19"/>
      <c r="N1289" s="19"/>
      <c r="O1289" s="19"/>
      <c r="P1289" s="11"/>
      <c r="Q1289" s="11"/>
      <c r="R1289" s="12"/>
      <c r="S1289" s="12"/>
      <c r="T1289" s="12"/>
      <c r="U1289" s="12"/>
      <c r="V1289" s="12"/>
      <c r="W1289" s="12"/>
      <c r="X1289" s="12"/>
      <c r="Y1289" s="12"/>
      <c r="Z1289" s="12"/>
    </row>
    <row r="1290" spans="1:26" ht="13">
      <c r="A1290" s="24"/>
      <c r="B1290" s="9"/>
      <c r="C1290" s="19"/>
      <c r="D1290" s="19"/>
      <c r="E1290" s="19"/>
      <c r="F1290" s="19"/>
      <c r="G1290" s="19"/>
      <c r="H1290" s="19"/>
      <c r="I1290" s="19"/>
      <c r="J1290" s="19"/>
      <c r="K1290" s="4"/>
      <c r="L1290" s="10"/>
      <c r="M1290" s="19"/>
      <c r="N1290" s="19"/>
      <c r="O1290" s="19"/>
      <c r="P1290" s="11"/>
      <c r="Q1290" s="11"/>
      <c r="R1290" s="12"/>
      <c r="S1290" s="12"/>
      <c r="T1290" s="12"/>
      <c r="U1290" s="12"/>
      <c r="V1290" s="12"/>
      <c r="W1290" s="12"/>
      <c r="X1290" s="12"/>
      <c r="Y1290" s="12"/>
      <c r="Z1290" s="12"/>
    </row>
    <row r="1291" spans="1:26" ht="13">
      <c r="A1291" s="24"/>
      <c r="B1291" s="9"/>
      <c r="C1291" s="19"/>
      <c r="D1291" s="19"/>
      <c r="E1291" s="19"/>
      <c r="F1291" s="19"/>
      <c r="G1291" s="19"/>
      <c r="H1291" s="19"/>
      <c r="I1291" s="19"/>
      <c r="J1291" s="19"/>
      <c r="K1291" s="4"/>
      <c r="L1291" s="10"/>
      <c r="M1291" s="19"/>
      <c r="N1291" s="19"/>
      <c r="O1291" s="19"/>
      <c r="P1291" s="11"/>
      <c r="Q1291" s="11"/>
      <c r="R1291" s="12"/>
      <c r="S1291" s="12"/>
      <c r="T1291" s="12"/>
      <c r="U1291" s="12"/>
      <c r="V1291" s="12"/>
      <c r="W1291" s="12"/>
      <c r="X1291" s="12"/>
      <c r="Y1291" s="12"/>
      <c r="Z1291" s="12"/>
    </row>
    <row r="1292" spans="1:26" ht="13">
      <c r="A1292" s="24"/>
      <c r="B1292" s="9"/>
      <c r="C1292" s="19"/>
      <c r="D1292" s="19"/>
      <c r="E1292" s="19"/>
      <c r="F1292" s="19"/>
      <c r="G1292" s="19"/>
      <c r="H1292" s="19"/>
      <c r="I1292" s="19"/>
      <c r="J1292" s="19"/>
      <c r="K1292" s="4"/>
      <c r="L1292" s="10"/>
      <c r="M1292" s="19"/>
      <c r="N1292" s="19"/>
      <c r="O1292" s="19"/>
      <c r="P1292" s="11"/>
      <c r="Q1292" s="11"/>
      <c r="R1292" s="12"/>
      <c r="S1292" s="12"/>
      <c r="T1292" s="12"/>
      <c r="U1292" s="12"/>
      <c r="V1292" s="12"/>
      <c r="W1292" s="12"/>
      <c r="X1292" s="12"/>
      <c r="Y1292" s="12"/>
      <c r="Z1292" s="12"/>
    </row>
    <row r="1293" spans="1:26" ht="13">
      <c r="A1293" s="24"/>
      <c r="B1293" s="9"/>
      <c r="C1293" s="19"/>
      <c r="D1293" s="19"/>
      <c r="E1293" s="19"/>
      <c r="F1293" s="19"/>
      <c r="G1293" s="19"/>
      <c r="H1293" s="19"/>
      <c r="I1293" s="19"/>
      <c r="J1293" s="19"/>
      <c r="K1293" s="4"/>
      <c r="L1293" s="10"/>
      <c r="M1293" s="19"/>
      <c r="N1293" s="19"/>
      <c r="O1293" s="19"/>
      <c r="P1293" s="11"/>
      <c r="Q1293" s="11"/>
      <c r="R1293" s="12"/>
      <c r="S1293" s="12"/>
      <c r="T1293" s="12"/>
      <c r="U1293" s="12"/>
      <c r="V1293" s="12"/>
      <c r="W1293" s="12"/>
      <c r="X1293" s="12"/>
      <c r="Y1293" s="12"/>
      <c r="Z1293" s="12"/>
    </row>
    <row r="1294" spans="1:26" ht="13">
      <c r="A1294" s="24"/>
      <c r="B1294" s="9"/>
      <c r="C1294" s="19"/>
      <c r="D1294" s="19"/>
      <c r="E1294" s="19"/>
      <c r="F1294" s="19"/>
      <c r="G1294" s="19"/>
      <c r="H1294" s="19"/>
      <c r="I1294" s="19"/>
      <c r="J1294" s="19"/>
      <c r="K1294" s="4"/>
      <c r="L1294" s="10"/>
      <c r="M1294" s="19"/>
      <c r="N1294" s="19"/>
      <c r="O1294" s="19"/>
      <c r="P1294" s="11"/>
      <c r="Q1294" s="11"/>
      <c r="R1294" s="12"/>
      <c r="S1294" s="12"/>
      <c r="T1294" s="12"/>
      <c r="U1294" s="12"/>
      <c r="V1294" s="12"/>
      <c r="W1294" s="12"/>
      <c r="X1294" s="12"/>
      <c r="Y1294" s="12"/>
      <c r="Z1294" s="12"/>
    </row>
    <row r="1295" spans="1:26" ht="13">
      <c r="A1295" s="24"/>
      <c r="B1295" s="9"/>
      <c r="C1295" s="19"/>
      <c r="D1295" s="19"/>
      <c r="E1295" s="19"/>
      <c r="F1295" s="19"/>
      <c r="G1295" s="19"/>
      <c r="H1295" s="19"/>
      <c r="I1295" s="19"/>
      <c r="J1295" s="19"/>
      <c r="K1295" s="4"/>
      <c r="L1295" s="10"/>
      <c r="M1295" s="19"/>
      <c r="N1295" s="19"/>
      <c r="O1295" s="19"/>
      <c r="P1295" s="11"/>
      <c r="Q1295" s="11"/>
      <c r="R1295" s="12"/>
      <c r="S1295" s="12"/>
      <c r="T1295" s="12"/>
      <c r="U1295" s="12"/>
      <c r="V1295" s="12"/>
      <c r="W1295" s="12"/>
      <c r="X1295" s="12"/>
      <c r="Y1295" s="12"/>
      <c r="Z1295" s="12"/>
    </row>
    <row r="1296" spans="1:26" ht="13">
      <c r="A1296" s="24"/>
      <c r="B1296" s="9"/>
      <c r="C1296" s="19"/>
      <c r="D1296" s="19"/>
      <c r="E1296" s="19"/>
      <c r="F1296" s="19"/>
      <c r="G1296" s="19"/>
      <c r="H1296" s="19"/>
      <c r="I1296" s="19"/>
      <c r="J1296" s="19"/>
      <c r="K1296" s="4"/>
      <c r="L1296" s="10"/>
      <c r="M1296" s="19"/>
      <c r="N1296" s="19"/>
      <c r="O1296" s="19"/>
      <c r="P1296" s="11"/>
      <c r="Q1296" s="11"/>
      <c r="R1296" s="12"/>
      <c r="S1296" s="12"/>
      <c r="T1296" s="12"/>
      <c r="U1296" s="12"/>
      <c r="V1296" s="12"/>
      <c r="W1296" s="12"/>
      <c r="X1296" s="12"/>
      <c r="Y1296" s="12"/>
      <c r="Z1296" s="12"/>
    </row>
    <row r="1297" spans="1:26" ht="13">
      <c r="A1297" s="24"/>
      <c r="B1297" s="9"/>
      <c r="C1297" s="19"/>
      <c r="D1297" s="19"/>
      <c r="E1297" s="19"/>
      <c r="F1297" s="19"/>
      <c r="G1297" s="19"/>
      <c r="H1297" s="19"/>
      <c r="I1297" s="19"/>
      <c r="J1297" s="19"/>
      <c r="K1297" s="4"/>
      <c r="L1297" s="10"/>
      <c r="M1297" s="19"/>
      <c r="N1297" s="19"/>
      <c r="O1297" s="19"/>
      <c r="P1297" s="11"/>
      <c r="Q1297" s="11"/>
      <c r="R1297" s="12"/>
      <c r="S1297" s="12"/>
      <c r="T1297" s="12"/>
      <c r="U1297" s="12"/>
      <c r="V1297" s="12"/>
      <c r="W1297" s="12"/>
      <c r="X1297" s="12"/>
      <c r="Y1297" s="12"/>
      <c r="Z1297" s="12"/>
    </row>
    <row r="1298" spans="1:26" ht="13">
      <c r="A1298" s="24"/>
      <c r="B1298" s="9"/>
      <c r="C1298" s="19"/>
      <c r="D1298" s="19"/>
      <c r="E1298" s="19"/>
      <c r="F1298" s="19"/>
      <c r="G1298" s="19"/>
      <c r="H1298" s="19"/>
      <c r="I1298" s="19"/>
      <c r="J1298" s="19"/>
      <c r="K1298" s="4"/>
      <c r="L1298" s="10"/>
      <c r="M1298" s="19"/>
      <c r="N1298" s="19"/>
      <c r="O1298" s="19"/>
      <c r="P1298" s="11"/>
      <c r="Q1298" s="11"/>
      <c r="R1298" s="12"/>
      <c r="S1298" s="12"/>
      <c r="T1298" s="12"/>
      <c r="U1298" s="12"/>
      <c r="V1298" s="12"/>
      <c r="W1298" s="12"/>
      <c r="X1298" s="12"/>
      <c r="Y1298" s="12"/>
      <c r="Z1298" s="12"/>
    </row>
    <row r="1299" spans="1:26" ht="13">
      <c r="A1299" s="24"/>
      <c r="B1299" s="9"/>
      <c r="C1299" s="19"/>
      <c r="D1299" s="19"/>
      <c r="E1299" s="19"/>
      <c r="F1299" s="19"/>
      <c r="G1299" s="19"/>
      <c r="H1299" s="19"/>
      <c r="I1299" s="19"/>
      <c r="J1299" s="19"/>
      <c r="K1299" s="4"/>
      <c r="L1299" s="10"/>
      <c r="M1299" s="19"/>
      <c r="N1299" s="19"/>
      <c r="O1299" s="19"/>
      <c r="P1299" s="11"/>
      <c r="Q1299" s="11"/>
      <c r="R1299" s="12"/>
      <c r="S1299" s="12"/>
      <c r="T1299" s="12"/>
      <c r="U1299" s="12"/>
      <c r="V1299" s="12"/>
      <c r="W1299" s="12"/>
      <c r="X1299" s="12"/>
      <c r="Y1299" s="12"/>
      <c r="Z1299" s="12"/>
    </row>
    <row r="1300" spans="1:26" ht="13">
      <c r="A1300" s="24"/>
      <c r="B1300" s="9"/>
      <c r="C1300" s="19"/>
      <c r="D1300" s="19"/>
      <c r="E1300" s="19"/>
      <c r="F1300" s="19"/>
      <c r="G1300" s="19"/>
      <c r="H1300" s="19"/>
      <c r="I1300" s="19"/>
      <c r="J1300" s="19"/>
      <c r="K1300" s="4"/>
      <c r="L1300" s="10"/>
      <c r="M1300" s="19"/>
      <c r="N1300" s="19"/>
      <c r="O1300" s="19"/>
      <c r="P1300" s="11"/>
      <c r="Q1300" s="11"/>
      <c r="R1300" s="12"/>
      <c r="S1300" s="12"/>
      <c r="T1300" s="12"/>
      <c r="U1300" s="12"/>
      <c r="V1300" s="12"/>
      <c r="W1300" s="12"/>
      <c r="X1300" s="12"/>
      <c r="Y1300" s="12"/>
      <c r="Z1300" s="12"/>
    </row>
    <row r="1301" spans="1:26" ht="13">
      <c r="A1301" s="24"/>
      <c r="B1301" s="9"/>
      <c r="C1301" s="19"/>
      <c r="D1301" s="19"/>
      <c r="E1301" s="19"/>
      <c r="F1301" s="19"/>
      <c r="G1301" s="19"/>
      <c r="H1301" s="19"/>
      <c r="I1301" s="19"/>
      <c r="J1301" s="19"/>
      <c r="K1301" s="4"/>
      <c r="L1301" s="10"/>
      <c r="M1301" s="19"/>
      <c r="N1301" s="19"/>
      <c r="O1301" s="19"/>
      <c r="P1301" s="11"/>
      <c r="Q1301" s="11"/>
      <c r="R1301" s="12"/>
      <c r="S1301" s="12"/>
      <c r="T1301" s="12"/>
      <c r="U1301" s="12"/>
      <c r="V1301" s="12"/>
      <c r="W1301" s="12"/>
      <c r="X1301" s="12"/>
      <c r="Y1301" s="12"/>
      <c r="Z1301" s="12"/>
    </row>
    <row r="1302" spans="1:26" ht="13">
      <c r="A1302" s="24"/>
      <c r="B1302" s="9"/>
      <c r="C1302" s="19"/>
      <c r="D1302" s="19"/>
      <c r="E1302" s="19"/>
      <c r="F1302" s="19"/>
      <c r="G1302" s="19"/>
      <c r="H1302" s="19"/>
      <c r="I1302" s="19"/>
      <c r="J1302" s="19"/>
      <c r="K1302" s="4"/>
      <c r="L1302" s="10"/>
      <c r="M1302" s="19"/>
      <c r="N1302" s="19"/>
      <c r="O1302" s="19"/>
      <c r="P1302" s="11"/>
      <c r="Q1302" s="11"/>
      <c r="R1302" s="12"/>
      <c r="S1302" s="12"/>
      <c r="T1302" s="12"/>
      <c r="U1302" s="12"/>
      <c r="V1302" s="12"/>
      <c r="W1302" s="12"/>
      <c r="X1302" s="12"/>
      <c r="Y1302" s="12"/>
      <c r="Z1302" s="12"/>
    </row>
    <row r="1303" spans="1:26" ht="13">
      <c r="A1303" s="24"/>
      <c r="B1303" s="9"/>
      <c r="C1303" s="19"/>
      <c r="D1303" s="19"/>
      <c r="E1303" s="19"/>
      <c r="F1303" s="19"/>
      <c r="G1303" s="19"/>
      <c r="H1303" s="19"/>
      <c r="I1303" s="19"/>
      <c r="J1303" s="19"/>
      <c r="K1303" s="4"/>
      <c r="L1303" s="10"/>
      <c r="M1303" s="19"/>
      <c r="N1303" s="19"/>
      <c r="O1303" s="19"/>
      <c r="P1303" s="11"/>
      <c r="Q1303" s="11"/>
      <c r="R1303" s="12"/>
      <c r="S1303" s="12"/>
      <c r="T1303" s="12"/>
      <c r="U1303" s="12"/>
      <c r="V1303" s="12"/>
      <c r="W1303" s="12"/>
      <c r="X1303" s="12"/>
      <c r="Y1303" s="12"/>
      <c r="Z1303" s="12"/>
    </row>
    <row r="1304" spans="1:26" ht="13">
      <c r="A1304" s="24"/>
      <c r="B1304" s="9"/>
      <c r="C1304" s="19"/>
      <c r="D1304" s="19"/>
      <c r="E1304" s="19"/>
      <c r="F1304" s="19"/>
      <c r="G1304" s="19"/>
      <c r="H1304" s="19"/>
      <c r="I1304" s="19"/>
      <c r="J1304" s="19"/>
      <c r="K1304" s="4"/>
      <c r="L1304" s="10"/>
      <c r="M1304" s="19"/>
      <c r="N1304" s="19"/>
      <c r="O1304" s="19"/>
      <c r="P1304" s="11"/>
      <c r="Q1304" s="11"/>
      <c r="R1304" s="12"/>
      <c r="S1304" s="12"/>
      <c r="T1304" s="12"/>
      <c r="U1304" s="12"/>
      <c r="V1304" s="12"/>
      <c r="W1304" s="12"/>
      <c r="X1304" s="12"/>
      <c r="Y1304" s="12"/>
      <c r="Z1304" s="12"/>
    </row>
    <row r="1305" spans="1:26" ht="13">
      <c r="A1305" s="24"/>
      <c r="B1305" s="9"/>
      <c r="C1305" s="19"/>
      <c r="D1305" s="19"/>
      <c r="E1305" s="19"/>
      <c r="F1305" s="19"/>
      <c r="G1305" s="19"/>
      <c r="H1305" s="19"/>
      <c r="I1305" s="19"/>
      <c r="J1305" s="19"/>
      <c r="K1305" s="4"/>
      <c r="L1305" s="10"/>
      <c r="M1305" s="19"/>
      <c r="N1305" s="19"/>
      <c r="O1305" s="19"/>
      <c r="P1305" s="11"/>
      <c r="Q1305" s="11"/>
      <c r="R1305" s="12"/>
      <c r="S1305" s="12"/>
      <c r="T1305" s="12"/>
      <c r="U1305" s="12"/>
      <c r="V1305" s="12"/>
      <c r="W1305" s="12"/>
      <c r="X1305" s="12"/>
      <c r="Y1305" s="12"/>
      <c r="Z1305" s="12"/>
    </row>
    <row r="1306" spans="1:26" ht="13">
      <c r="A1306" s="24"/>
      <c r="B1306" s="9"/>
      <c r="C1306" s="19"/>
      <c r="D1306" s="19"/>
      <c r="E1306" s="19"/>
      <c r="F1306" s="19"/>
      <c r="G1306" s="19"/>
      <c r="H1306" s="19"/>
      <c r="I1306" s="19"/>
      <c r="J1306" s="19"/>
      <c r="K1306" s="4"/>
      <c r="L1306" s="10"/>
      <c r="M1306" s="19"/>
      <c r="N1306" s="19"/>
      <c r="O1306" s="19"/>
      <c r="P1306" s="11"/>
      <c r="Q1306" s="11"/>
      <c r="R1306" s="12"/>
      <c r="S1306" s="12"/>
      <c r="T1306" s="12"/>
      <c r="U1306" s="12"/>
      <c r="V1306" s="12"/>
      <c r="W1306" s="12"/>
      <c r="X1306" s="12"/>
      <c r="Y1306" s="12"/>
      <c r="Z1306" s="12"/>
    </row>
    <row r="1307" spans="1:26" ht="13">
      <c r="A1307" s="24"/>
      <c r="B1307" s="9"/>
      <c r="C1307" s="19"/>
      <c r="D1307" s="19"/>
      <c r="E1307" s="19"/>
      <c r="F1307" s="19"/>
      <c r="G1307" s="19"/>
      <c r="H1307" s="19"/>
      <c r="I1307" s="19"/>
      <c r="J1307" s="19"/>
      <c r="K1307" s="4"/>
      <c r="L1307" s="10"/>
      <c r="M1307" s="19"/>
      <c r="N1307" s="19"/>
      <c r="O1307" s="19"/>
      <c r="P1307" s="11"/>
      <c r="Q1307" s="11"/>
      <c r="R1307" s="12"/>
      <c r="S1307" s="12"/>
      <c r="T1307" s="12"/>
      <c r="U1307" s="12"/>
      <c r="V1307" s="12"/>
      <c r="W1307" s="12"/>
      <c r="X1307" s="12"/>
      <c r="Y1307" s="12"/>
      <c r="Z1307" s="12"/>
    </row>
    <row r="1308" spans="1:26" ht="13">
      <c r="A1308" s="24"/>
      <c r="B1308" s="9"/>
      <c r="C1308" s="19"/>
      <c r="D1308" s="19"/>
      <c r="E1308" s="19"/>
      <c r="F1308" s="19"/>
      <c r="G1308" s="19"/>
      <c r="H1308" s="19"/>
      <c r="I1308" s="19"/>
      <c r="J1308" s="19"/>
      <c r="K1308" s="4"/>
      <c r="L1308" s="10"/>
      <c r="M1308" s="19"/>
      <c r="N1308" s="19"/>
      <c r="O1308" s="19"/>
      <c r="P1308" s="11"/>
      <c r="Q1308" s="11"/>
      <c r="R1308" s="12"/>
      <c r="S1308" s="12"/>
      <c r="T1308" s="12"/>
      <c r="U1308" s="12"/>
      <c r="V1308" s="12"/>
      <c r="W1308" s="12"/>
      <c r="X1308" s="12"/>
      <c r="Y1308" s="12"/>
      <c r="Z1308" s="12"/>
    </row>
    <row r="1309" spans="1:26" ht="13">
      <c r="A1309" s="24"/>
      <c r="B1309" s="9"/>
      <c r="C1309" s="19"/>
      <c r="D1309" s="19"/>
      <c r="E1309" s="19"/>
      <c r="F1309" s="19"/>
      <c r="G1309" s="19"/>
      <c r="H1309" s="19"/>
      <c r="I1309" s="19"/>
      <c r="J1309" s="19"/>
      <c r="K1309" s="4"/>
      <c r="L1309" s="10"/>
      <c r="M1309" s="19"/>
      <c r="N1309" s="19"/>
      <c r="O1309" s="19"/>
      <c r="P1309" s="11"/>
      <c r="Q1309" s="11"/>
      <c r="R1309" s="12"/>
      <c r="S1309" s="12"/>
      <c r="T1309" s="12"/>
      <c r="U1309" s="12"/>
      <c r="V1309" s="12"/>
      <c r="W1309" s="12"/>
      <c r="X1309" s="12"/>
      <c r="Y1309" s="12"/>
      <c r="Z1309" s="12"/>
    </row>
    <row r="1310" spans="1:26" ht="13">
      <c r="A1310" s="24"/>
      <c r="B1310" s="9"/>
      <c r="C1310" s="19"/>
      <c r="D1310" s="19"/>
      <c r="E1310" s="19"/>
      <c r="F1310" s="19"/>
      <c r="G1310" s="19"/>
      <c r="H1310" s="19"/>
      <c r="I1310" s="19"/>
      <c r="J1310" s="19"/>
      <c r="K1310" s="4"/>
      <c r="L1310" s="10"/>
      <c r="M1310" s="19"/>
      <c r="N1310" s="19"/>
      <c r="O1310" s="19"/>
      <c r="P1310" s="11"/>
      <c r="Q1310" s="11"/>
      <c r="R1310" s="12"/>
      <c r="S1310" s="12"/>
      <c r="T1310" s="12"/>
      <c r="U1310" s="12"/>
      <c r="V1310" s="12"/>
      <c r="W1310" s="12"/>
      <c r="X1310" s="12"/>
      <c r="Y1310" s="12"/>
      <c r="Z1310" s="12"/>
    </row>
    <row r="1311" spans="1:26" ht="13">
      <c r="A1311" s="24"/>
      <c r="B1311" s="9"/>
      <c r="C1311" s="19"/>
      <c r="D1311" s="19"/>
      <c r="E1311" s="19"/>
      <c r="F1311" s="19"/>
      <c r="G1311" s="19"/>
      <c r="H1311" s="19"/>
      <c r="I1311" s="19"/>
      <c r="J1311" s="19"/>
      <c r="K1311" s="4"/>
      <c r="L1311" s="10"/>
      <c r="M1311" s="19"/>
      <c r="N1311" s="19"/>
      <c r="O1311" s="19"/>
      <c r="P1311" s="11"/>
      <c r="Q1311" s="11"/>
      <c r="R1311" s="12"/>
      <c r="S1311" s="12"/>
      <c r="T1311" s="12"/>
      <c r="U1311" s="12"/>
      <c r="V1311" s="12"/>
      <c r="W1311" s="12"/>
      <c r="X1311" s="12"/>
      <c r="Y1311" s="12"/>
      <c r="Z1311" s="12"/>
    </row>
    <row r="1312" spans="1:26" ht="13">
      <c r="A1312" s="24"/>
      <c r="B1312" s="9"/>
      <c r="C1312" s="19"/>
      <c r="D1312" s="19"/>
      <c r="E1312" s="19"/>
      <c r="F1312" s="19"/>
      <c r="G1312" s="19"/>
      <c r="H1312" s="19"/>
      <c r="I1312" s="19"/>
      <c r="J1312" s="19"/>
      <c r="K1312" s="4"/>
      <c r="L1312" s="10"/>
      <c r="M1312" s="19"/>
      <c r="N1312" s="19"/>
      <c r="O1312" s="19"/>
      <c r="P1312" s="11"/>
      <c r="Q1312" s="11"/>
      <c r="R1312" s="12"/>
      <c r="S1312" s="12"/>
      <c r="T1312" s="12"/>
      <c r="U1312" s="12"/>
      <c r="V1312" s="12"/>
      <c r="W1312" s="12"/>
      <c r="X1312" s="12"/>
      <c r="Y1312" s="12"/>
      <c r="Z1312" s="12"/>
    </row>
    <row r="1313" spans="1:26" ht="13">
      <c r="A1313" s="24"/>
      <c r="B1313" s="9"/>
      <c r="C1313" s="19"/>
      <c r="D1313" s="19"/>
      <c r="E1313" s="19"/>
      <c r="F1313" s="19"/>
      <c r="G1313" s="19"/>
      <c r="H1313" s="19"/>
      <c r="I1313" s="19"/>
      <c r="J1313" s="19"/>
      <c r="K1313" s="4"/>
      <c r="L1313" s="10"/>
      <c r="M1313" s="19"/>
      <c r="N1313" s="19"/>
      <c r="O1313" s="19"/>
      <c r="P1313" s="11"/>
      <c r="Q1313" s="11"/>
      <c r="R1313" s="12"/>
      <c r="S1313" s="12"/>
      <c r="T1313" s="12"/>
      <c r="U1313" s="12"/>
      <c r="V1313" s="12"/>
      <c r="W1313" s="12"/>
      <c r="X1313" s="12"/>
      <c r="Y1313" s="12"/>
      <c r="Z1313" s="12"/>
    </row>
    <row r="1314" spans="1:26" ht="13">
      <c r="A1314" s="24"/>
      <c r="B1314" s="9"/>
      <c r="C1314" s="19"/>
      <c r="D1314" s="19"/>
      <c r="E1314" s="19"/>
      <c r="F1314" s="19"/>
      <c r="G1314" s="19"/>
      <c r="H1314" s="19"/>
      <c r="I1314" s="19"/>
      <c r="J1314" s="19"/>
      <c r="K1314" s="4"/>
      <c r="L1314" s="10"/>
      <c r="M1314" s="19"/>
      <c r="N1314" s="19"/>
      <c r="O1314" s="19"/>
      <c r="P1314" s="11"/>
      <c r="Q1314" s="11"/>
      <c r="R1314" s="12"/>
      <c r="S1314" s="12"/>
      <c r="T1314" s="12"/>
      <c r="U1314" s="12"/>
      <c r="V1314" s="12"/>
      <c r="W1314" s="12"/>
      <c r="X1314" s="12"/>
      <c r="Y1314" s="12"/>
      <c r="Z1314" s="12"/>
    </row>
    <row r="1315" spans="1:26" ht="13">
      <c r="A1315" s="24"/>
      <c r="B1315" s="9"/>
      <c r="C1315" s="19"/>
      <c r="D1315" s="19"/>
      <c r="E1315" s="19"/>
      <c r="F1315" s="19"/>
      <c r="G1315" s="19"/>
      <c r="H1315" s="19"/>
      <c r="I1315" s="19"/>
      <c r="J1315" s="19"/>
      <c r="K1315" s="4"/>
      <c r="L1315" s="10"/>
      <c r="M1315" s="19"/>
      <c r="N1315" s="19"/>
      <c r="O1315" s="19"/>
      <c r="P1315" s="11"/>
      <c r="Q1315" s="11"/>
      <c r="R1315" s="12"/>
      <c r="S1315" s="12"/>
      <c r="T1315" s="12"/>
      <c r="U1315" s="12"/>
      <c r="V1315" s="12"/>
      <c r="W1315" s="12"/>
      <c r="X1315" s="12"/>
      <c r="Y1315" s="12"/>
      <c r="Z1315" s="12"/>
    </row>
    <row r="1316" spans="1:26" ht="13">
      <c r="A1316" s="24"/>
      <c r="B1316" s="9"/>
      <c r="C1316" s="19"/>
      <c r="D1316" s="19"/>
      <c r="E1316" s="19"/>
      <c r="F1316" s="19"/>
      <c r="G1316" s="19"/>
      <c r="H1316" s="19"/>
      <c r="I1316" s="19"/>
      <c r="J1316" s="19"/>
      <c r="K1316" s="4"/>
      <c r="L1316" s="10"/>
      <c r="M1316" s="19"/>
      <c r="N1316" s="19"/>
      <c r="O1316" s="19"/>
      <c r="P1316" s="11"/>
      <c r="Q1316" s="11"/>
      <c r="R1316" s="12"/>
      <c r="S1316" s="12"/>
      <c r="T1316" s="12"/>
      <c r="U1316" s="12"/>
      <c r="V1316" s="12"/>
      <c r="W1316" s="12"/>
      <c r="X1316" s="12"/>
      <c r="Y1316" s="12"/>
      <c r="Z1316" s="12"/>
    </row>
    <row r="1317" spans="1:26" ht="13">
      <c r="A1317" s="24"/>
      <c r="B1317" s="9"/>
      <c r="C1317" s="19"/>
      <c r="D1317" s="19"/>
      <c r="E1317" s="19"/>
      <c r="F1317" s="19"/>
      <c r="G1317" s="19"/>
      <c r="H1317" s="19"/>
      <c r="I1317" s="19"/>
      <c r="J1317" s="19"/>
      <c r="K1317" s="4"/>
      <c r="L1317" s="10"/>
      <c r="M1317" s="19"/>
      <c r="N1317" s="19"/>
      <c r="O1317" s="19"/>
      <c r="P1317" s="11"/>
      <c r="Q1317" s="11"/>
      <c r="R1317" s="12"/>
      <c r="S1317" s="12"/>
      <c r="T1317" s="12"/>
      <c r="U1317" s="12"/>
      <c r="V1317" s="12"/>
      <c r="W1317" s="12"/>
      <c r="X1317" s="12"/>
      <c r="Y1317" s="12"/>
      <c r="Z1317" s="12"/>
    </row>
    <row r="1318" spans="1:26" ht="13">
      <c r="A1318" s="24"/>
      <c r="B1318" s="9"/>
      <c r="C1318" s="19"/>
      <c r="D1318" s="19"/>
      <c r="E1318" s="19"/>
      <c r="F1318" s="19"/>
      <c r="G1318" s="19"/>
      <c r="H1318" s="19"/>
      <c r="I1318" s="19"/>
      <c r="J1318" s="19"/>
      <c r="K1318" s="4"/>
      <c r="L1318" s="10"/>
      <c r="M1318" s="19"/>
      <c r="N1318" s="19"/>
      <c r="O1318" s="19"/>
      <c r="P1318" s="11"/>
      <c r="Q1318" s="11"/>
      <c r="R1318" s="12"/>
      <c r="S1318" s="12"/>
      <c r="T1318" s="12"/>
      <c r="U1318" s="12"/>
      <c r="V1318" s="12"/>
      <c r="W1318" s="12"/>
      <c r="X1318" s="12"/>
      <c r="Y1318" s="12"/>
      <c r="Z1318" s="12"/>
    </row>
    <row r="1319" spans="1:26" ht="13">
      <c r="A1319" s="24"/>
      <c r="B1319" s="9"/>
      <c r="C1319" s="19"/>
      <c r="D1319" s="19"/>
      <c r="E1319" s="19"/>
      <c r="F1319" s="19"/>
      <c r="G1319" s="19"/>
      <c r="H1319" s="19"/>
      <c r="I1319" s="19"/>
      <c r="J1319" s="19"/>
      <c r="K1319" s="4"/>
      <c r="L1319" s="10"/>
      <c r="M1319" s="19"/>
      <c r="N1319" s="19"/>
      <c r="O1319" s="19"/>
      <c r="P1319" s="11"/>
      <c r="Q1319" s="11"/>
      <c r="R1319" s="12"/>
      <c r="S1319" s="12"/>
      <c r="T1319" s="12"/>
      <c r="U1319" s="12"/>
      <c r="V1319" s="12"/>
      <c r="W1319" s="12"/>
      <c r="X1319" s="12"/>
      <c r="Y1319" s="12"/>
      <c r="Z1319" s="12"/>
    </row>
    <row r="1320" spans="1:26" ht="13">
      <c r="A1320" s="24"/>
      <c r="B1320" s="9"/>
      <c r="C1320" s="19"/>
      <c r="D1320" s="19"/>
      <c r="E1320" s="19"/>
      <c r="F1320" s="19"/>
      <c r="G1320" s="19"/>
      <c r="H1320" s="19"/>
      <c r="I1320" s="19"/>
      <c r="J1320" s="19"/>
      <c r="K1320" s="4"/>
      <c r="L1320" s="10"/>
      <c r="M1320" s="19"/>
      <c r="N1320" s="19"/>
      <c r="O1320" s="19"/>
      <c r="P1320" s="11"/>
      <c r="Q1320" s="11"/>
      <c r="R1320" s="12"/>
      <c r="S1320" s="12"/>
      <c r="T1320" s="12"/>
      <c r="U1320" s="12"/>
      <c r="V1320" s="12"/>
      <c r="W1320" s="12"/>
      <c r="X1320" s="12"/>
      <c r="Y1320" s="12"/>
      <c r="Z1320" s="12"/>
    </row>
    <row r="1321" spans="1:26" ht="13">
      <c r="A1321" s="24"/>
      <c r="B1321" s="9"/>
      <c r="C1321" s="19"/>
      <c r="D1321" s="19"/>
      <c r="E1321" s="19"/>
      <c r="F1321" s="19"/>
      <c r="G1321" s="19"/>
      <c r="H1321" s="19"/>
      <c r="I1321" s="19"/>
      <c r="J1321" s="19"/>
      <c r="K1321" s="4"/>
      <c r="L1321" s="10"/>
      <c r="M1321" s="19"/>
      <c r="N1321" s="19"/>
      <c r="O1321" s="19"/>
      <c r="P1321" s="11"/>
      <c r="Q1321" s="11"/>
      <c r="R1321" s="12"/>
      <c r="S1321" s="12"/>
      <c r="T1321" s="12"/>
      <c r="U1321" s="12"/>
      <c r="V1321" s="12"/>
      <c r="W1321" s="12"/>
      <c r="X1321" s="12"/>
      <c r="Y1321" s="12"/>
      <c r="Z1321" s="12"/>
    </row>
    <row r="1322" spans="1:26" ht="13">
      <c r="A1322" s="24"/>
      <c r="B1322" s="9"/>
      <c r="C1322" s="19"/>
      <c r="D1322" s="19"/>
      <c r="E1322" s="19"/>
      <c r="F1322" s="19"/>
      <c r="G1322" s="19"/>
      <c r="H1322" s="19"/>
      <c r="I1322" s="19"/>
      <c r="J1322" s="19"/>
      <c r="K1322" s="4"/>
      <c r="L1322" s="10"/>
      <c r="M1322" s="19"/>
      <c r="N1322" s="19"/>
      <c r="O1322" s="19"/>
      <c r="P1322" s="11"/>
      <c r="Q1322" s="11"/>
      <c r="R1322" s="12"/>
      <c r="S1322" s="12"/>
      <c r="T1322" s="12"/>
      <c r="U1322" s="12"/>
      <c r="V1322" s="12"/>
      <c r="W1322" s="12"/>
      <c r="X1322" s="12"/>
      <c r="Y1322" s="12"/>
      <c r="Z1322" s="12"/>
    </row>
    <row r="1323" spans="1:26" ht="13">
      <c r="A1323" s="24"/>
      <c r="B1323" s="9"/>
      <c r="C1323" s="19"/>
      <c r="D1323" s="19"/>
      <c r="E1323" s="19"/>
      <c r="F1323" s="19"/>
      <c r="G1323" s="19"/>
      <c r="H1323" s="19"/>
      <c r="I1323" s="19"/>
      <c r="J1323" s="19"/>
      <c r="K1323" s="4"/>
      <c r="L1323" s="10"/>
      <c r="M1323" s="19"/>
      <c r="N1323" s="19"/>
      <c r="O1323" s="19"/>
      <c r="P1323" s="11"/>
      <c r="Q1323" s="11"/>
      <c r="R1323" s="12"/>
      <c r="S1323" s="12"/>
      <c r="T1323" s="12"/>
      <c r="U1323" s="12"/>
      <c r="V1323" s="12"/>
      <c r="W1323" s="12"/>
      <c r="X1323" s="12"/>
      <c r="Y1323" s="12"/>
      <c r="Z1323" s="12"/>
    </row>
    <row r="1324" spans="1:26" ht="13">
      <c r="A1324" s="24"/>
      <c r="B1324" s="9"/>
      <c r="C1324" s="19"/>
      <c r="D1324" s="19"/>
      <c r="E1324" s="19"/>
      <c r="F1324" s="19"/>
      <c r="G1324" s="19"/>
      <c r="H1324" s="19"/>
      <c r="I1324" s="19"/>
      <c r="J1324" s="19"/>
      <c r="K1324" s="4"/>
      <c r="L1324" s="10"/>
      <c r="M1324" s="19"/>
      <c r="N1324" s="19"/>
      <c r="O1324" s="19"/>
      <c r="P1324" s="11"/>
      <c r="Q1324" s="11"/>
      <c r="R1324" s="12"/>
      <c r="S1324" s="12"/>
      <c r="T1324" s="12"/>
      <c r="U1324" s="12"/>
      <c r="V1324" s="12"/>
      <c r="W1324" s="12"/>
      <c r="X1324" s="12"/>
      <c r="Y1324" s="12"/>
      <c r="Z1324" s="12"/>
    </row>
    <row r="1325" spans="1:26" ht="13">
      <c r="A1325" s="24"/>
      <c r="B1325" s="9"/>
      <c r="C1325" s="19"/>
      <c r="D1325" s="19"/>
      <c r="E1325" s="19"/>
      <c r="F1325" s="19"/>
      <c r="G1325" s="19"/>
      <c r="H1325" s="19"/>
      <c r="I1325" s="19"/>
      <c r="J1325" s="19"/>
      <c r="K1325" s="4"/>
      <c r="L1325" s="10"/>
      <c r="M1325" s="19"/>
      <c r="N1325" s="19"/>
      <c r="O1325" s="19"/>
      <c r="P1325" s="11"/>
      <c r="Q1325" s="11"/>
      <c r="R1325" s="12"/>
      <c r="S1325" s="12"/>
      <c r="T1325" s="12"/>
      <c r="U1325" s="12"/>
      <c r="V1325" s="12"/>
      <c r="W1325" s="12"/>
      <c r="X1325" s="12"/>
      <c r="Y1325" s="12"/>
      <c r="Z1325" s="12"/>
    </row>
    <row r="1326" spans="1:26" ht="13">
      <c r="A1326" s="24"/>
      <c r="B1326" s="9"/>
      <c r="C1326" s="19"/>
      <c r="D1326" s="19"/>
      <c r="E1326" s="19"/>
      <c r="F1326" s="19"/>
      <c r="G1326" s="19"/>
      <c r="H1326" s="19"/>
      <c r="I1326" s="19"/>
      <c r="J1326" s="19"/>
      <c r="K1326" s="4"/>
      <c r="L1326" s="10"/>
      <c r="M1326" s="19"/>
      <c r="N1326" s="19"/>
      <c r="O1326" s="19"/>
      <c r="P1326" s="11"/>
      <c r="Q1326" s="11"/>
      <c r="R1326" s="12"/>
      <c r="S1326" s="12"/>
      <c r="T1326" s="12"/>
      <c r="U1326" s="12"/>
      <c r="V1326" s="12"/>
      <c r="W1326" s="12"/>
      <c r="X1326" s="12"/>
      <c r="Y1326" s="12"/>
      <c r="Z1326" s="12"/>
    </row>
    <row r="1327" spans="1:26" ht="13">
      <c r="A1327" s="24"/>
      <c r="B1327" s="9"/>
      <c r="C1327" s="19"/>
      <c r="D1327" s="19"/>
      <c r="E1327" s="19"/>
      <c r="F1327" s="19"/>
      <c r="G1327" s="19"/>
      <c r="H1327" s="19"/>
      <c r="I1327" s="19"/>
      <c r="J1327" s="19"/>
      <c r="K1327" s="4"/>
      <c r="L1327" s="10"/>
      <c r="M1327" s="19"/>
      <c r="N1327" s="19"/>
      <c r="O1327" s="19"/>
      <c r="P1327" s="11"/>
      <c r="Q1327" s="11"/>
      <c r="R1327" s="12"/>
      <c r="S1327" s="12"/>
      <c r="T1327" s="12"/>
      <c r="U1327" s="12"/>
      <c r="V1327" s="12"/>
      <c r="W1327" s="12"/>
      <c r="X1327" s="12"/>
      <c r="Y1327" s="12"/>
      <c r="Z1327" s="12"/>
    </row>
    <row r="1328" spans="1:26" ht="13">
      <c r="A1328" s="24"/>
      <c r="B1328" s="9"/>
      <c r="C1328" s="19"/>
      <c r="D1328" s="19"/>
      <c r="E1328" s="19"/>
      <c r="F1328" s="19"/>
      <c r="G1328" s="19"/>
      <c r="H1328" s="19"/>
      <c r="I1328" s="19"/>
      <c r="J1328" s="19"/>
      <c r="K1328" s="4"/>
      <c r="L1328" s="10"/>
      <c r="M1328" s="19"/>
      <c r="N1328" s="19"/>
      <c r="O1328" s="19"/>
      <c r="P1328" s="11"/>
      <c r="Q1328" s="11"/>
      <c r="R1328" s="12"/>
      <c r="S1328" s="12"/>
      <c r="T1328" s="12"/>
      <c r="U1328" s="12"/>
      <c r="V1328" s="12"/>
      <c r="W1328" s="12"/>
      <c r="X1328" s="12"/>
      <c r="Y1328" s="12"/>
      <c r="Z1328" s="12"/>
    </row>
    <row r="1329" spans="1:26" ht="13">
      <c r="A1329" s="24"/>
      <c r="B1329" s="9"/>
      <c r="C1329" s="19"/>
      <c r="D1329" s="19"/>
      <c r="E1329" s="19"/>
      <c r="F1329" s="19"/>
      <c r="G1329" s="19"/>
      <c r="H1329" s="19"/>
      <c r="I1329" s="19"/>
      <c r="J1329" s="19"/>
      <c r="K1329" s="4"/>
      <c r="L1329" s="10"/>
      <c r="M1329" s="19"/>
      <c r="N1329" s="19"/>
      <c r="O1329" s="19"/>
      <c r="P1329" s="11"/>
      <c r="Q1329" s="11"/>
      <c r="R1329" s="12"/>
      <c r="S1329" s="12"/>
      <c r="T1329" s="12"/>
      <c r="U1329" s="12"/>
      <c r="V1329" s="12"/>
      <c r="W1329" s="12"/>
      <c r="X1329" s="12"/>
      <c r="Y1329" s="12"/>
      <c r="Z1329" s="12"/>
    </row>
    <row r="1330" spans="1:26" ht="13">
      <c r="A1330" s="24"/>
      <c r="B1330" s="9"/>
      <c r="C1330" s="19"/>
      <c r="D1330" s="19"/>
      <c r="E1330" s="19"/>
      <c r="F1330" s="19"/>
      <c r="G1330" s="19"/>
      <c r="H1330" s="19"/>
      <c r="I1330" s="19"/>
      <c r="J1330" s="19"/>
      <c r="K1330" s="4"/>
      <c r="L1330" s="10"/>
      <c r="M1330" s="19"/>
      <c r="N1330" s="19"/>
      <c r="O1330" s="19"/>
      <c r="P1330" s="11"/>
      <c r="Q1330" s="11"/>
      <c r="R1330" s="12"/>
      <c r="S1330" s="12"/>
      <c r="T1330" s="12"/>
      <c r="U1330" s="12"/>
      <c r="V1330" s="12"/>
      <c r="W1330" s="12"/>
      <c r="X1330" s="12"/>
      <c r="Y1330" s="12"/>
      <c r="Z1330" s="12"/>
    </row>
    <row r="1331" spans="1:26" ht="13">
      <c r="A1331" s="24"/>
      <c r="B1331" s="9"/>
      <c r="C1331" s="19"/>
      <c r="D1331" s="19"/>
      <c r="E1331" s="19"/>
      <c r="F1331" s="19"/>
      <c r="G1331" s="19"/>
      <c r="H1331" s="19"/>
      <c r="I1331" s="19"/>
      <c r="J1331" s="19"/>
      <c r="K1331" s="4"/>
      <c r="L1331" s="10"/>
      <c r="M1331" s="19"/>
      <c r="N1331" s="19"/>
      <c r="O1331" s="19"/>
      <c r="P1331" s="11"/>
      <c r="Q1331" s="11"/>
      <c r="R1331" s="12"/>
      <c r="S1331" s="12"/>
      <c r="T1331" s="12"/>
      <c r="U1331" s="12"/>
      <c r="V1331" s="12"/>
      <c r="W1331" s="12"/>
      <c r="X1331" s="12"/>
      <c r="Y1331" s="12"/>
      <c r="Z1331" s="12"/>
    </row>
    <row r="1332" spans="1:26" ht="13">
      <c r="A1332" s="24"/>
      <c r="B1332" s="9"/>
      <c r="C1332" s="19"/>
      <c r="D1332" s="19"/>
      <c r="E1332" s="19"/>
      <c r="F1332" s="19"/>
      <c r="G1332" s="19"/>
      <c r="H1332" s="19"/>
      <c r="I1332" s="19"/>
      <c r="J1332" s="19"/>
      <c r="K1332" s="4"/>
      <c r="L1332" s="10"/>
      <c r="M1332" s="19"/>
      <c r="N1332" s="19"/>
      <c r="O1332" s="19"/>
      <c r="P1332" s="11"/>
      <c r="Q1332" s="11"/>
      <c r="R1332" s="12"/>
      <c r="S1332" s="12"/>
      <c r="T1332" s="12"/>
      <c r="U1332" s="12"/>
      <c r="V1332" s="12"/>
      <c r="W1332" s="12"/>
      <c r="X1332" s="12"/>
      <c r="Y1332" s="12"/>
      <c r="Z1332" s="12"/>
    </row>
    <row r="1333" spans="1:26" ht="13">
      <c r="A1333" s="24"/>
      <c r="B1333" s="9"/>
      <c r="C1333" s="19"/>
      <c r="D1333" s="19"/>
      <c r="E1333" s="19"/>
      <c r="F1333" s="19"/>
      <c r="G1333" s="19"/>
      <c r="H1333" s="19"/>
      <c r="I1333" s="19"/>
      <c r="J1333" s="19"/>
      <c r="K1333" s="4"/>
      <c r="L1333" s="10"/>
      <c r="M1333" s="19"/>
      <c r="N1333" s="19"/>
      <c r="O1333" s="19"/>
      <c r="P1333" s="11"/>
      <c r="Q1333" s="11"/>
      <c r="R1333" s="12"/>
      <c r="S1333" s="12"/>
      <c r="T1333" s="12"/>
      <c r="U1333" s="12"/>
      <c r="V1333" s="12"/>
      <c r="W1333" s="12"/>
      <c r="X1333" s="12"/>
      <c r="Y1333" s="12"/>
      <c r="Z1333" s="12"/>
    </row>
    <row r="1334" spans="1:26" ht="13">
      <c r="A1334" s="24"/>
      <c r="B1334" s="9"/>
      <c r="C1334" s="19"/>
      <c r="D1334" s="19"/>
      <c r="E1334" s="19"/>
      <c r="F1334" s="19"/>
      <c r="G1334" s="19"/>
      <c r="H1334" s="19"/>
      <c r="I1334" s="19"/>
      <c r="J1334" s="19"/>
      <c r="K1334" s="4"/>
      <c r="L1334" s="10"/>
      <c r="M1334" s="19"/>
      <c r="N1334" s="19"/>
      <c r="O1334" s="19"/>
      <c r="P1334" s="11"/>
      <c r="Q1334" s="11"/>
      <c r="R1334" s="12"/>
      <c r="S1334" s="12"/>
      <c r="T1334" s="12"/>
      <c r="U1334" s="12"/>
      <c r="V1334" s="12"/>
      <c r="W1334" s="12"/>
      <c r="X1334" s="12"/>
      <c r="Y1334" s="12"/>
      <c r="Z1334" s="12"/>
    </row>
    <row r="1335" spans="1:26" ht="13">
      <c r="A1335" s="24"/>
      <c r="B1335" s="9"/>
      <c r="C1335" s="19"/>
      <c r="D1335" s="19"/>
      <c r="E1335" s="19"/>
      <c r="F1335" s="19"/>
      <c r="G1335" s="19"/>
      <c r="H1335" s="19"/>
      <c r="I1335" s="19"/>
      <c r="J1335" s="19"/>
      <c r="K1335" s="4"/>
      <c r="L1335" s="10"/>
      <c r="M1335" s="19"/>
      <c r="N1335" s="19"/>
      <c r="O1335" s="19"/>
      <c r="P1335" s="11"/>
      <c r="Q1335" s="11"/>
      <c r="R1335" s="12"/>
      <c r="S1335" s="12"/>
      <c r="T1335" s="12"/>
      <c r="U1335" s="12"/>
      <c r="V1335" s="12"/>
      <c r="W1335" s="12"/>
      <c r="X1335" s="12"/>
      <c r="Y1335" s="12"/>
      <c r="Z1335" s="12"/>
    </row>
    <row r="1336" spans="1:26" ht="13">
      <c r="A1336" s="24"/>
      <c r="B1336" s="9"/>
      <c r="C1336" s="19"/>
      <c r="D1336" s="19"/>
      <c r="E1336" s="19"/>
      <c r="F1336" s="19"/>
      <c r="G1336" s="19"/>
      <c r="H1336" s="19"/>
      <c r="I1336" s="19"/>
      <c r="J1336" s="19"/>
      <c r="K1336" s="4"/>
      <c r="L1336" s="10"/>
      <c r="M1336" s="19"/>
      <c r="N1336" s="19"/>
      <c r="O1336" s="19"/>
      <c r="P1336" s="11"/>
      <c r="Q1336" s="11"/>
      <c r="R1336" s="12"/>
      <c r="S1336" s="12"/>
      <c r="T1336" s="12"/>
      <c r="U1336" s="12"/>
      <c r="V1336" s="12"/>
      <c r="W1336" s="12"/>
      <c r="X1336" s="12"/>
      <c r="Y1336" s="12"/>
      <c r="Z1336" s="12"/>
    </row>
    <row r="1337" spans="1:26" ht="13">
      <c r="A1337" s="24"/>
      <c r="B1337" s="9"/>
      <c r="C1337" s="19"/>
      <c r="D1337" s="19"/>
      <c r="E1337" s="19"/>
      <c r="F1337" s="19"/>
      <c r="G1337" s="19"/>
      <c r="H1337" s="19"/>
      <c r="I1337" s="19"/>
      <c r="J1337" s="19"/>
      <c r="K1337" s="4"/>
      <c r="L1337" s="10"/>
      <c r="M1337" s="19"/>
      <c r="N1337" s="19"/>
      <c r="O1337" s="19"/>
      <c r="P1337" s="11"/>
      <c r="Q1337" s="11"/>
      <c r="R1337" s="12"/>
      <c r="S1337" s="12"/>
      <c r="T1337" s="12"/>
      <c r="U1337" s="12"/>
      <c r="V1337" s="12"/>
      <c r="W1337" s="12"/>
      <c r="X1337" s="12"/>
      <c r="Y1337" s="12"/>
      <c r="Z1337" s="12"/>
    </row>
    <row r="1338" spans="1:26" ht="13">
      <c r="A1338" s="24"/>
      <c r="B1338" s="9"/>
      <c r="C1338" s="19"/>
      <c r="D1338" s="19"/>
      <c r="E1338" s="19"/>
      <c r="F1338" s="19"/>
      <c r="G1338" s="19"/>
      <c r="H1338" s="19"/>
      <c r="I1338" s="19"/>
      <c r="J1338" s="19"/>
      <c r="K1338" s="4"/>
      <c r="L1338" s="10"/>
      <c r="M1338" s="19"/>
      <c r="N1338" s="19"/>
      <c r="O1338" s="19"/>
      <c r="P1338" s="11"/>
      <c r="Q1338" s="11"/>
      <c r="R1338" s="12"/>
      <c r="S1338" s="12"/>
      <c r="T1338" s="12"/>
      <c r="U1338" s="12"/>
      <c r="V1338" s="12"/>
      <c r="W1338" s="12"/>
      <c r="X1338" s="12"/>
      <c r="Y1338" s="12"/>
      <c r="Z1338" s="12"/>
    </row>
    <row r="1339" spans="1:26" ht="13">
      <c r="A1339" s="24"/>
      <c r="B1339" s="9"/>
      <c r="C1339" s="19"/>
      <c r="D1339" s="19"/>
      <c r="E1339" s="19"/>
      <c r="F1339" s="19"/>
      <c r="G1339" s="19"/>
      <c r="H1339" s="19"/>
      <c r="I1339" s="19"/>
      <c r="J1339" s="19"/>
      <c r="K1339" s="4"/>
      <c r="L1339" s="10"/>
      <c r="M1339" s="19"/>
      <c r="N1339" s="19"/>
      <c r="O1339" s="19"/>
      <c r="P1339" s="11"/>
      <c r="Q1339" s="11"/>
      <c r="R1339" s="12"/>
      <c r="S1339" s="12"/>
      <c r="T1339" s="12"/>
      <c r="U1339" s="12"/>
      <c r="V1339" s="12"/>
      <c r="W1339" s="12"/>
      <c r="X1339" s="12"/>
      <c r="Y1339" s="12"/>
      <c r="Z1339" s="12"/>
    </row>
    <row r="1340" spans="1:26" ht="13">
      <c r="A1340" s="24"/>
      <c r="B1340" s="9"/>
      <c r="C1340" s="19"/>
      <c r="D1340" s="19"/>
      <c r="E1340" s="19"/>
      <c r="F1340" s="19"/>
      <c r="G1340" s="19"/>
      <c r="H1340" s="19"/>
      <c r="I1340" s="19"/>
      <c r="J1340" s="19"/>
      <c r="K1340" s="4"/>
      <c r="L1340" s="10"/>
      <c r="M1340" s="19"/>
      <c r="N1340" s="19"/>
      <c r="O1340" s="19"/>
      <c r="P1340" s="11"/>
      <c r="Q1340" s="11"/>
      <c r="R1340" s="12"/>
      <c r="S1340" s="12"/>
      <c r="T1340" s="12"/>
      <c r="U1340" s="12"/>
      <c r="V1340" s="12"/>
      <c r="W1340" s="12"/>
      <c r="X1340" s="12"/>
      <c r="Y1340" s="12"/>
      <c r="Z1340" s="12"/>
    </row>
    <row r="1341" spans="1:26" ht="13">
      <c r="A1341" s="24"/>
      <c r="B1341" s="9"/>
      <c r="C1341" s="19"/>
      <c r="D1341" s="19"/>
      <c r="E1341" s="19"/>
      <c r="F1341" s="19"/>
      <c r="G1341" s="19"/>
      <c r="H1341" s="19"/>
      <c r="I1341" s="19"/>
      <c r="J1341" s="19"/>
      <c r="K1341" s="4"/>
      <c r="L1341" s="10"/>
      <c r="M1341" s="19"/>
      <c r="N1341" s="19"/>
      <c r="O1341" s="19"/>
      <c r="P1341" s="11"/>
      <c r="Q1341" s="11"/>
      <c r="R1341" s="12"/>
      <c r="S1341" s="12"/>
      <c r="T1341" s="12"/>
      <c r="U1341" s="12"/>
      <c r="V1341" s="12"/>
      <c r="W1341" s="12"/>
      <c r="X1341" s="12"/>
      <c r="Y1341" s="12"/>
      <c r="Z1341" s="12"/>
    </row>
    <row r="1342" spans="1:26" ht="13">
      <c r="A1342" s="24"/>
      <c r="B1342" s="9"/>
      <c r="C1342" s="19"/>
      <c r="D1342" s="19"/>
      <c r="E1342" s="19"/>
      <c r="F1342" s="19"/>
      <c r="G1342" s="19"/>
      <c r="H1342" s="19"/>
      <c r="I1342" s="19"/>
      <c r="J1342" s="19"/>
      <c r="K1342" s="4"/>
      <c r="L1342" s="10"/>
      <c r="M1342" s="19"/>
      <c r="N1342" s="19"/>
      <c r="O1342" s="19"/>
      <c r="P1342" s="11"/>
      <c r="Q1342" s="11"/>
      <c r="R1342" s="12"/>
      <c r="S1342" s="12"/>
      <c r="T1342" s="12"/>
      <c r="U1342" s="12"/>
      <c r="V1342" s="12"/>
      <c r="W1342" s="12"/>
      <c r="X1342" s="12"/>
      <c r="Y1342" s="12"/>
      <c r="Z1342" s="12"/>
    </row>
    <row r="1343" spans="1:26" ht="13">
      <c r="A1343" s="24"/>
      <c r="B1343" s="9"/>
      <c r="C1343" s="19"/>
      <c r="D1343" s="19"/>
      <c r="E1343" s="19"/>
      <c r="F1343" s="19"/>
      <c r="G1343" s="19"/>
      <c r="H1343" s="19"/>
      <c r="I1343" s="19"/>
      <c r="J1343" s="19"/>
      <c r="K1343" s="4"/>
      <c r="L1343" s="10"/>
      <c r="M1343" s="19"/>
      <c r="N1343" s="19"/>
      <c r="O1343" s="19"/>
      <c r="P1343" s="11"/>
      <c r="Q1343" s="11"/>
      <c r="R1343" s="12"/>
      <c r="S1343" s="12"/>
      <c r="T1343" s="12"/>
      <c r="U1343" s="12"/>
      <c r="V1343" s="12"/>
      <c r="W1343" s="12"/>
      <c r="X1343" s="12"/>
      <c r="Y1343" s="12"/>
      <c r="Z1343" s="12"/>
    </row>
    <row r="1344" spans="1:26" ht="13">
      <c r="A1344" s="24"/>
      <c r="B1344" s="9"/>
      <c r="C1344" s="19"/>
      <c r="D1344" s="19"/>
      <c r="E1344" s="19"/>
      <c r="F1344" s="19"/>
      <c r="G1344" s="19"/>
      <c r="H1344" s="19"/>
      <c r="I1344" s="19"/>
      <c r="J1344" s="19"/>
      <c r="K1344" s="4"/>
      <c r="L1344" s="10"/>
      <c r="M1344" s="19"/>
      <c r="N1344" s="19"/>
      <c r="O1344" s="19"/>
      <c r="P1344" s="11"/>
      <c r="Q1344" s="11"/>
      <c r="R1344" s="12"/>
      <c r="S1344" s="12"/>
      <c r="T1344" s="12"/>
      <c r="U1344" s="12"/>
      <c r="V1344" s="12"/>
      <c r="W1344" s="12"/>
      <c r="X1344" s="12"/>
      <c r="Y1344" s="12"/>
      <c r="Z1344" s="12"/>
    </row>
    <row r="1345" spans="1:26" ht="13">
      <c r="A1345" s="24"/>
      <c r="B1345" s="9"/>
      <c r="C1345" s="19"/>
      <c r="D1345" s="19"/>
      <c r="E1345" s="19"/>
      <c r="F1345" s="19"/>
      <c r="G1345" s="19"/>
      <c r="H1345" s="19"/>
      <c r="I1345" s="19"/>
      <c r="J1345" s="19"/>
      <c r="K1345" s="4"/>
      <c r="L1345" s="10"/>
      <c r="M1345" s="19"/>
      <c r="N1345" s="19"/>
      <c r="O1345" s="19"/>
      <c r="P1345" s="11"/>
      <c r="Q1345" s="11"/>
      <c r="R1345" s="12"/>
      <c r="S1345" s="12"/>
      <c r="T1345" s="12"/>
      <c r="U1345" s="12"/>
      <c r="V1345" s="12"/>
      <c r="W1345" s="12"/>
      <c r="X1345" s="12"/>
      <c r="Y1345" s="12"/>
      <c r="Z1345" s="12"/>
    </row>
    <row r="1346" spans="1:26" ht="13">
      <c r="A1346" s="24"/>
      <c r="B1346" s="9"/>
      <c r="C1346" s="19"/>
      <c r="D1346" s="19"/>
      <c r="E1346" s="19"/>
      <c r="F1346" s="19"/>
      <c r="G1346" s="19"/>
      <c r="H1346" s="19"/>
      <c r="I1346" s="19"/>
      <c r="J1346" s="19"/>
      <c r="K1346" s="4"/>
      <c r="L1346" s="10"/>
      <c r="M1346" s="19"/>
      <c r="N1346" s="19"/>
      <c r="O1346" s="19"/>
      <c r="P1346" s="11"/>
      <c r="Q1346" s="11"/>
      <c r="R1346" s="12"/>
      <c r="S1346" s="12"/>
      <c r="T1346" s="12"/>
      <c r="U1346" s="12"/>
      <c r="V1346" s="12"/>
      <c r="W1346" s="12"/>
      <c r="X1346" s="12"/>
      <c r="Y1346" s="12"/>
      <c r="Z1346" s="12"/>
    </row>
    <row r="1347" spans="1:26" ht="13">
      <c r="A1347" s="24"/>
      <c r="B1347" s="9"/>
      <c r="C1347" s="19"/>
      <c r="D1347" s="19"/>
      <c r="E1347" s="19"/>
      <c r="F1347" s="19"/>
      <c r="G1347" s="19"/>
      <c r="H1347" s="19"/>
      <c r="I1347" s="19"/>
      <c r="J1347" s="19"/>
      <c r="K1347" s="4"/>
      <c r="L1347" s="10"/>
      <c r="M1347" s="19"/>
      <c r="N1347" s="19"/>
      <c r="O1347" s="19"/>
      <c r="P1347" s="11"/>
      <c r="Q1347" s="11"/>
      <c r="R1347" s="12"/>
      <c r="S1347" s="12"/>
      <c r="T1347" s="12"/>
      <c r="U1347" s="12"/>
      <c r="V1347" s="12"/>
      <c r="W1347" s="12"/>
      <c r="X1347" s="12"/>
      <c r="Y1347" s="12"/>
      <c r="Z1347" s="12"/>
    </row>
    <row r="1348" spans="1:26" ht="13">
      <c r="A1348" s="24"/>
      <c r="B1348" s="9"/>
      <c r="C1348" s="19"/>
      <c r="D1348" s="19"/>
      <c r="E1348" s="19"/>
      <c r="F1348" s="19"/>
      <c r="G1348" s="19"/>
      <c r="H1348" s="19"/>
      <c r="I1348" s="19"/>
      <c r="J1348" s="19"/>
      <c r="K1348" s="4"/>
      <c r="L1348" s="10"/>
      <c r="M1348" s="19"/>
      <c r="N1348" s="19"/>
      <c r="O1348" s="19"/>
      <c r="P1348" s="11"/>
      <c r="Q1348" s="11"/>
      <c r="R1348" s="12"/>
      <c r="S1348" s="12"/>
      <c r="T1348" s="12"/>
      <c r="U1348" s="12"/>
      <c r="V1348" s="12"/>
      <c r="W1348" s="12"/>
      <c r="X1348" s="12"/>
      <c r="Y1348" s="12"/>
      <c r="Z1348" s="12"/>
    </row>
    <row r="1349" spans="1:26" ht="13">
      <c r="A1349" s="24"/>
      <c r="B1349" s="9"/>
      <c r="C1349" s="19"/>
      <c r="D1349" s="19"/>
      <c r="E1349" s="19"/>
      <c r="F1349" s="19"/>
      <c r="G1349" s="19"/>
      <c r="H1349" s="19"/>
      <c r="I1349" s="19"/>
      <c r="J1349" s="19"/>
      <c r="K1349" s="4"/>
      <c r="L1349" s="10"/>
      <c r="M1349" s="19"/>
      <c r="N1349" s="19"/>
      <c r="O1349" s="19"/>
      <c r="P1349" s="11"/>
      <c r="Q1349" s="11"/>
      <c r="R1349" s="12"/>
      <c r="S1349" s="12"/>
      <c r="T1349" s="12"/>
      <c r="U1349" s="12"/>
      <c r="V1349" s="12"/>
      <c r="W1349" s="12"/>
      <c r="X1349" s="12"/>
      <c r="Y1349" s="12"/>
      <c r="Z1349" s="12"/>
    </row>
    <row r="1350" spans="1:26" ht="13">
      <c r="A1350" s="24"/>
      <c r="B1350" s="9"/>
      <c r="C1350" s="19"/>
      <c r="D1350" s="19"/>
      <c r="E1350" s="19"/>
      <c r="F1350" s="19"/>
      <c r="G1350" s="19"/>
      <c r="H1350" s="19"/>
      <c r="I1350" s="19"/>
      <c r="J1350" s="19"/>
      <c r="K1350" s="4"/>
      <c r="L1350" s="10"/>
      <c r="M1350" s="19"/>
      <c r="N1350" s="19"/>
      <c r="O1350" s="19"/>
      <c r="P1350" s="11"/>
      <c r="Q1350" s="11"/>
      <c r="R1350" s="12"/>
      <c r="S1350" s="12"/>
      <c r="T1350" s="12"/>
      <c r="U1350" s="12"/>
      <c r="V1350" s="12"/>
      <c r="W1350" s="12"/>
      <c r="X1350" s="12"/>
      <c r="Y1350" s="12"/>
      <c r="Z1350" s="12"/>
    </row>
    <row r="1351" spans="1:26" ht="13">
      <c r="A1351" s="24"/>
      <c r="B1351" s="9"/>
      <c r="C1351" s="19"/>
      <c r="D1351" s="19"/>
      <c r="E1351" s="19"/>
      <c r="F1351" s="19"/>
      <c r="G1351" s="19"/>
      <c r="H1351" s="19"/>
      <c r="I1351" s="19"/>
      <c r="J1351" s="19"/>
      <c r="K1351" s="4"/>
      <c r="L1351" s="10"/>
      <c r="M1351" s="19"/>
      <c r="N1351" s="19"/>
      <c r="O1351" s="19"/>
      <c r="P1351" s="11"/>
      <c r="Q1351" s="11"/>
      <c r="R1351" s="12"/>
      <c r="S1351" s="12"/>
      <c r="T1351" s="12"/>
      <c r="U1351" s="12"/>
      <c r="V1351" s="12"/>
      <c r="W1351" s="12"/>
      <c r="X1351" s="12"/>
      <c r="Y1351" s="12"/>
      <c r="Z1351" s="12"/>
    </row>
    <row r="1352" spans="1:26" ht="13">
      <c r="A1352" s="24"/>
      <c r="B1352" s="9"/>
      <c r="C1352" s="19"/>
      <c r="D1352" s="19"/>
      <c r="E1352" s="19"/>
      <c r="F1352" s="19"/>
      <c r="G1352" s="19"/>
      <c r="H1352" s="19"/>
      <c r="I1352" s="19"/>
      <c r="J1352" s="19"/>
      <c r="K1352" s="4"/>
      <c r="L1352" s="10"/>
      <c r="M1352" s="19"/>
      <c r="N1352" s="19"/>
      <c r="O1352" s="19"/>
      <c r="P1352" s="11"/>
      <c r="Q1352" s="11"/>
      <c r="R1352" s="12"/>
      <c r="S1352" s="12"/>
      <c r="T1352" s="12"/>
      <c r="U1352" s="12"/>
      <c r="V1352" s="12"/>
      <c r="W1352" s="12"/>
      <c r="X1352" s="12"/>
      <c r="Y1352" s="12"/>
      <c r="Z1352" s="12"/>
    </row>
    <row r="1353" spans="1:26" ht="13">
      <c r="A1353" s="24"/>
      <c r="B1353" s="9"/>
      <c r="C1353" s="19"/>
      <c r="D1353" s="19"/>
      <c r="E1353" s="19"/>
      <c r="F1353" s="19"/>
      <c r="G1353" s="19"/>
      <c r="H1353" s="19"/>
      <c r="I1353" s="19"/>
      <c r="J1353" s="19"/>
      <c r="K1353" s="4"/>
      <c r="L1353" s="10"/>
      <c r="M1353" s="19"/>
      <c r="N1353" s="19"/>
      <c r="O1353" s="19"/>
      <c r="P1353" s="11"/>
      <c r="Q1353" s="11"/>
      <c r="R1353" s="12"/>
      <c r="S1353" s="12"/>
      <c r="T1353" s="12"/>
      <c r="U1353" s="12"/>
      <c r="V1353" s="12"/>
      <c r="W1353" s="12"/>
      <c r="X1353" s="12"/>
      <c r="Y1353" s="12"/>
      <c r="Z1353" s="12"/>
    </row>
    <row r="1354" spans="1:26" ht="13">
      <c r="A1354" s="24"/>
      <c r="B1354" s="9"/>
      <c r="C1354" s="19"/>
      <c r="D1354" s="19"/>
      <c r="E1354" s="19"/>
      <c r="F1354" s="19"/>
      <c r="G1354" s="19"/>
      <c r="H1354" s="19"/>
      <c r="I1354" s="19"/>
      <c r="J1354" s="19"/>
      <c r="K1354" s="4"/>
      <c r="L1354" s="10"/>
      <c r="M1354" s="19"/>
      <c r="N1354" s="19"/>
      <c r="O1354" s="19"/>
      <c r="P1354" s="11"/>
      <c r="Q1354" s="11"/>
      <c r="R1354" s="12"/>
      <c r="S1354" s="12"/>
      <c r="T1354" s="12"/>
      <c r="U1354" s="12"/>
      <c r="V1354" s="12"/>
      <c r="W1354" s="12"/>
      <c r="X1354" s="12"/>
      <c r="Y1354" s="12"/>
      <c r="Z1354" s="12"/>
    </row>
    <row r="1355" spans="1:26" ht="13">
      <c r="A1355" s="24"/>
      <c r="B1355" s="9"/>
      <c r="C1355" s="19"/>
      <c r="D1355" s="19"/>
      <c r="E1355" s="19"/>
      <c r="F1355" s="19"/>
      <c r="G1355" s="19"/>
      <c r="H1355" s="19"/>
      <c r="I1355" s="19"/>
      <c r="J1355" s="19"/>
      <c r="K1355" s="4"/>
      <c r="L1355" s="10"/>
      <c r="M1355" s="19"/>
      <c r="N1355" s="19"/>
      <c r="O1355" s="19"/>
      <c r="P1355" s="11"/>
      <c r="Q1355" s="11"/>
      <c r="R1355" s="12"/>
      <c r="S1355" s="12"/>
      <c r="T1355" s="12"/>
      <c r="U1355" s="12"/>
      <c r="V1355" s="12"/>
      <c r="W1355" s="12"/>
      <c r="X1355" s="12"/>
      <c r="Y1355" s="12"/>
      <c r="Z1355" s="12"/>
    </row>
    <row r="1356" spans="1:26" ht="13">
      <c r="A1356" s="24"/>
      <c r="B1356" s="9"/>
      <c r="C1356" s="19"/>
      <c r="D1356" s="19"/>
      <c r="E1356" s="19"/>
      <c r="F1356" s="19"/>
      <c r="G1356" s="19"/>
      <c r="H1356" s="19"/>
      <c r="I1356" s="19"/>
      <c r="J1356" s="19"/>
      <c r="K1356" s="4"/>
      <c r="L1356" s="10"/>
      <c r="M1356" s="19"/>
      <c r="N1356" s="19"/>
      <c r="O1356" s="19"/>
      <c r="P1356" s="11"/>
      <c r="Q1356" s="11"/>
      <c r="R1356" s="12"/>
      <c r="S1356" s="12"/>
      <c r="T1356" s="12"/>
      <c r="U1356" s="12"/>
      <c r="V1356" s="12"/>
      <c r="W1356" s="12"/>
      <c r="X1356" s="12"/>
      <c r="Y1356" s="12"/>
      <c r="Z1356" s="12"/>
    </row>
    <row r="1357" spans="1:26" ht="13">
      <c r="A1357" s="24"/>
      <c r="B1357" s="9"/>
      <c r="C1357" s="19"/>
      <c r="D1357" s="19"/>
      <c r="E1357" s="19"/>
      <c r="F1357" s="19"/>
      <c r="G1357" s="19"/>
      <c r="H1357" s="19"/>
      <c r="I1357" s="19"/>
      <c r="J1357" s="19"/>
      <c r="K1357" s="4"/>
      <c r="L1357" s="10"/>
      <c r="M1357" s="19"/>
      <c r="N1357" s="19"/>
      <c r="O1357" s="19"/>
      <c r="P1357" s="11"/>
      <c r="Q1357" s="11"/>
      <c r="R1357" s="12"/>
      <c r="S1357" s="12"/>
      <c r="T1357" s="12"/>
      <c r="U1357" s="12"/>
      <c r="V1357" s="12"/>
      <c r="W1357" s="12"/>
      <c r="X1357" s="12"/>
      <c r="Y1357" s="12"/>
      <c r="Z1357" s="12"/>
    </row>
    <row r="1358" spans="1:26" ht="13">
      <c r="A1358" s="24"/>
      <c r="B1358" s="9"/>
      <c r="C1358" s="19"/>
      <c r="D1358" s="19"/>
      <c r="E1358" s="19"/>
      <c r="F1358" s="19"/>
      <c r="G1358" s="19"/>
      <c r="H1358" s="19"/>
      <c r="I1358" s="19"/>
      <c r="J1358" s="19"/>
      <c r="K1358" s="4"/>
      <c r="L1358" s="10"/>
      <c r="M1358" s="19"/>
      <c r="N1358" s="19"/>
      <c r="O1358" s="19"/>
      <c r="P1358" s="11"/>
      <c r="Q1358" s="11"/>
      <c r="R1358" s="12"/>
      <c r="S1358" s="12"/>
      <c r="T1358" s="12"/>
      <c r="U1358" s="12"/>
      <c r="V1358" s="12"/>
      <c r="W1358" s="12"/>
      <c r="X1358" s="12"/>
      <c r="Y1358" s="12"/>
      <c r="Z1358" s="12"/>
    </row>
    <row r="1359" spans="1:26" ht="13">
      <c r="A1359" s="24"/>
      <c r="B1359" s="9"/>
      <c r="C1359" s="19"/>
      <c r="D1359" s="19"/>
      <c r="E1359" s="19"/>
      <c r="F1359" s="19"/>
      <c r="G1359" s="19"/>
      <c r="H1359" s="19"/>
      <c r="I1359" s="19"/>
      <c r="J1359" s="19"/>
      <c r="K1359" s="4"/>
      <c r="L1359" s="10"/>
      <c r="M1359" s="19"/>
      <c r="N1359" s="19"/>
      <c r="O1359" s="19"/>
      <c r="P1359" s="11"/>
      <c r="Q1359" s="11"/>
      <c r="R1359" s="12"/>
      <c r="S1359" s="12"/>
      <c r="T1359" s="12"/>
      <c r="U1359" s="12"/>
      <c r="V1359" s="12"/>
      <c r="W1359" s="12"/>
      <c r="X1359" s="12"/>
      <c r="Y1359" s="12"/>
      <c r="Z1359" s="12"/>
    </row>
    <row r="1360" spans="1:26" ht="13">
      <c r="A1360" s="24"/>
      <c r="B1360" s="9"/>
      <c r="C1360" s="19"/>
      <c r="D1360" s="19"/>
      <c r="E1360" s="19"/>
      <c r="F1360" s="19"/>
      <c r="G1360" s="19"/>
      <c r="H1360" s="19"/>
      <c r="I1360" s="19"/>
      <c r="J1360" s="19"/>
      <c r="K1360" s="4"/>
      <c r="L1360" s="10"/>
      <c r="M1360" s="19"/>
      <c r="N1360" s="19"/>
      <c r="O1360" s="19"/>
      <c r="P1360" s="11"/>
      <c r="Q1360" s="11"/>
      <c r="R1360" s="12"/>
      <c r="S1360" s="12"/>
      <c r="T1360" s="12"/>
      <c r="U1360" s="12"/>
      <c r="V1360" s="12"/>
      <c r="W1360" s="12"/>
      <c r="X1360" s="12"/>
      <c r="Y1360" s="12"/>
      <c r="Z1360" s="12"/>
    </row>
    <row r="1361" spans="1:26" ht="13">
      <c r="A1361" s="24"/>
      <c r="B1361" s="9"/>
      <c r="C1361" s="19"/>
      <c r="D1361" s="19"/>
      <c r="E1361" s="19"/>
      <c r="F1361" s="19"/>
      <c r="G1361" s="19"/>
      <c r="H1361" s="19"/>
      <c r="I1361" s="19"/>
      <c r="J1361" s="19"/>
      <c r="K1361" s="4"/>
      <c r="L1361" s="10"/>
      <c r="M1361" s="19"/>
      <c r="N1361" s="19"/>
      <c r="O1361" s="19"/>
      <c r="P1361" s="11"/>
      <c r="Q1361" s="11"/>
      <c r="R1361" s="12"/>
      <c r="S1361" s="12"/>
      <c r="T1361" s="12"/>
      <c r="U1361" s="12"/>
      <c r="V1361" s="12"/>
      <c r="W1361" s="12"/>
      <c r="X1361" s="12"/>
      <c r="Y1361" s="12"/>
      <c r="Z1361" s="12"/>
    </row>
    <row r="1362" spans="1:26" ht="13">
      <c r="A1362" s="24"/>
      <c r="B1362" s="9"/>
      <c r="C1362" s="19"/>
      <c r="D1362" s="19"/>
      <c r="E1362" s="19"/>
      <c r="F1362" s="19"/>
      <c r="G1362" s="19"/>
      <c r="H1362" s="19"/>
      <c r="I1362" s="19"/>
      <c r="J1362" s="19"/>
      <c r="K1362" s="4"/>
      <c r="L1362" s="10"/>
      <c r="M1362" s="19"/>
      <c r="N1362" s="19"/>
      <c r="O1362" s="19"/>
      <c r="P1362" s="11"/>
      <c r="Q1362" s="11"/>
      <c r="R1362" s="12"/>
      <c r="S1362" s="12"/>
      <c r="T1362" s="12"/>
      <c r="U1362" s="12"/>
      <c r="V1362" s="12"/>
      <c r="W1362" s="12"/>
      <c r="X1362" s="12"/>
      <c r="Y1362" s="12"/>
      <c r="Z1362" s="12"/>
    </row>
    <row r="1363" spans="1:26" ht="13">
      <c r="A1363" s="24"/>
      <c r="B1363" s="9"/>
      <c r="C1363" s="19"/>
      <c r="D1363" s="19"/>
      <c r="E1363" s="19"/>
      <c r="F1363" s="19"/>
      <c r="G1363" s="19"/>
      <c r="H1363" s="19"/>
      <c r="I1363" s="19"/>
      <c r="J1363" s="19"/>
      <c r="K1363" s="4"/>
      <c r="L1363" s="10"/>
      <c r="M1363" s="19"/>
      <c r="N1363" s="19"/>
      <c r="O1363" s="19"/>
      <c r="P1363" s="11"/>
      <c r="Q1363" s="11"/>
      <c r="R1363" s="12"/>
      <c r="S1363" s="12"/>
      <c r="T1363" s="12"/>
      <c r="U1363" s="12"/>
      <c r="V1363" s="12"/>
      <c r="W1363" s="12"/>
      <c r="X1363" s="12"/>
      <c r="Y1363" s="12"/>
      <c r="Z1363" s="12"/>
    </row>
    <row r="1364" spans="1:26" ht="13">
      <c r="A1364" s="24"/>
      <c r="B1364" s="9"/>
      <c r="C1364" s="19"/>
      <c r="D1364" s="19"/>
      <c r="E1364" s="19"/>
      <c r="F1364" s="19"/>
      <c r="G1364" s="19"/>
      <c r="H1364" s="19"/>
      <c r="I1364" s="19"/>
      <c r="J1364" s="19"/>
      <c r="K1364" s="4"/>
      <c r="L1364" s="10"/>
      <c r="M1364" s="19"/>
      <c r="N1364" s="19"/>
      <c r="O1364" s="19"/>
      <c r="P1364" s="11"/>
      <c r="Q1364" s="11"/>
      <c r="R1364" s="12"/>
      <c r="S1364" s="12"/>
      <c r="T1364" s="12"/>
      <c r="U1364" s="12"/>
      <c r="V1364" s="12"/>
      <c r="W1364" s="12"/>
      <c r="X1364" s="12"/>
      <c r="Y1364" s="12"/>
      <c r="Z1364" s="12"/>
    </row>
    <row r="1365" spans="1:26" ht="13">
      <c r="A1365" s="24"/>
      <c r="B1365" s="9"/>
      <c r="C1365" s="19"/>
      <c r="D1365" s="19"/>
      <c r="E1365" s="19"/>
      <c r="F1365" s="19"/>
      <c r="G1365" s="19"/>
      <c r="H1365" s="19"/>
      <c r="I1365" s="19"/>
      <c r="J1365" s="19"/>
      <c r="K1365" s="4"/>
      <c r="L1365" s="10"/>
      <c r="M1365" s="19"/>
      <c r="N1365" s="19"/>
      <c r="O1365" s="19"/>
      <c r="P1365" s="11"/>
      <c r="Q1365" s="11"/>
      <c r="R1365" s="12"/>
      <c r="S1365" s="12"/>
      <c r="T1365" s="12"/>
      <c r="U1365" s="12"/>
      <c r="V1365" s="12"/>
      <c r="W1365" s="12"/>
      <c r="X1365" s="12"/>
      <c r="Y1365" s="12"/>
      <c r="Z1365" s="12"/>
    </row>
    <row r="1366" spans="1:26" ht="13">
      <c r="A1366" s="24"/>
      <c r="B1366" s="9"/>
      <c r="C1366" s="19"/>
      <c r="D1366" s="19"/>
      <c r="E1366" s="19"/>
      <c r="F1366" s="19"/>
      <c r="G1366" s="19"/>
      <c r="H1366" s="19"/>
      <c r="I1366" s="19"/>
      <c r="J1366" s="19"/>
      <c r="K1366" s="4"/>
      <c r="L1366" s="10"/>
      <c r="M1366" s="19"/>
      <c r="N1366" s="19"/>
      <c r="O1366" s="19"/>
      <c r="P1366" s="11"/>
      <c r="Q1366" s="11"/>
      <c r="R1366" s="12"/>
      <c r="S1366" s="12"/>
      <c r="T1366" s="12"/>
      <c r="U1366" s="12"/>
      <c r="V1366" s="12"/>
      <c r="W1366" s="12"/>
      <c r="X1366" s="12"/>
      <c r="Y1366" s="12"/>
      <c r="Z1366" s="12"/>
    </row>
    <row r="1367" spans="1:26" ht="13">
      <c r="A1367" s="24"/>
      <c r="B1367" s="9"/>
      <c r="C1367" s="19"/>
      <c r="D1367" s="19"/>
      <c r="E1367" s="19"/>
      <c r="F1367" s="19"/>
      <c r="G1367" s="19"/>
      <c r="H1367" s="19"/>
      <c r="I1367" s="19"/>
      <c r="J1367" s="19"/>
      <c r="K1367" s="4"/>
      <c r="L1367" s="10"/>
      <c r="M1367" s="19"/>
      <c r="N1367" s="19"/>
      <c r="O1367" s="19"/>
      <c r="P1367" s="11"/>
      <c r="Q1367" s="11"/>
      <c r="R1367" s="12"/>
      <c r="S1367" s="12"/>
      <c r="T1367" s="12"/>
      <c r="U1367" s="12"/>
      <c r="V1367" s="12"/>
      <c r="W1367" s="12"/>
      <c r="X1367" s="12"/>
      <c r="Y1367" s="12"/>
      <c r="Z1367" s="12"/>
    </row>
    <row r="1368" spans="1:26" ht="13">
      <c r="A1368" s="24"/>
      <c r="B1368" s="9"/>
      <c r="C1368" s="19"/>
      <c r="D1368" s="19"/>
      <c r="E1368" s="19"/>
      <c r="F1368" s="19"/>
      <c r="G1368" s="19"/>
      <c r="H1368" s="19"/>
      <c r="I1368" s="19"/>
      <c r="J1368" s="19"/>
      <c r="K1368" s="4"/>
      <c r="L1368" s="10"/>
      <c r="M1368" s="19"/>
      <c r="N1368" s="19"/>
      <c r="O1368" s="19"/>
      <c r="P1368" s="11"/>
      <c r="Q1368" s="11"/>
      <c r="R1368" s="12"/>
      <c r="S1368" s="12"/>
      <c r="T1368" s="12"/>
      <c r="U1368" s="12"/>
      <c r="V1368" s="12"/>
      <c r="W1368" s="12"/>
      <c r="X1368" s="12"/>
      <c r="Y1368" s="12"/>
      <c r="Z1368" s="12"/>
    </row>
    <row r="1369" spans="1:26" ht="13">
      <c r="A1369" s="24"/>
      <c r="B1369" s="9"/>
      <c r="C1369" s="19"/>
      <c r="D1369" s="19"/>
      <c r="E1369" s="19"/>
      <c r="F1369" s="19"/>
      <c r="G1369" s="19"/>
      <c r="H1369" s="19"/>
      <c r="I1369" s="19"/>
      <c r="J1369" s="19"/>
      <c r="K1369" s="4"/>
      <c r="L1369" s="10"/>
      <c r="M1369" s="19"/>
      <c r="N1369" s="19"/>
      <c r="O1369" s="19"/>
      <c r="P1369" s="11"/>
      <c r="Q1369" s="11"/>
      <c r="R1369" s="12"/>
      <c r="S1369" s="12"/>
      <c r="T1369" s="12"/>
      <c r="U1369" s="12"/>
      <c r="V1369" s="12"/>
      <c r="W1369" s="12"/>
      <c r="X1369" s="12"/>
      <c r="Y1369" s="12"/>
      <c r="Z1369" s="12"/>
    </row>
    <row r="1370" spans="1:26" ht="13">
      <c r="A1370" s="24"/>
      <c r="B1370" s="9"/>
      <c r="C1370" s="19"/>
      <c r="D1370" s="19"/>
      <c r="E1370" s="19"/>
      <c r="F1370" s="19"/>
      <c r="G1370" s="19"/>
      <c r="H1370" s="19"/>
      <c r="I1370" s="19"/>
      <c r="J1370" s="19"/>
      <c r="K1370" s="4"/>
      <c r="L1370" s="10"/>
      <c r="M1370" s="19"/>
      <c r="N1370" s="19"/>
      <c r="O1370" s="19"/>
      <c r="P1370" s="11"/>
      <c r="Q1370" s="11"/>
      <c r="R1370" s="12"/>
      <c r="S1370" s="12"/>
      <c r="T1370" s="12"/>
      <c r="U1370" s="12"/>
      <c r="V1370" s="12"/>
      <c r="W1370" s="12"/>
      <c r="X1370" s="12"/>
      <c r="Y1370" s="12"/>
      <c r="Z1370" s="12"/>
    </row>
    <row r="1371" spans="1:26" ht="13">
      <c r="A1371" s="24"/>
      <c r="B1371" s="9"/>
      <c r="C1371" s="19"/>
      <c r="D1371" s="19"/>
      <c r="E1371" s="19"/>
      <c r="F1371" s="19"/>
      <c r="G1371" s="19"/>
      <c r="H1371" s="19"/>
      <c r="I1371" s="19"/>
      <c r="J1371" s="19"/>
      <c r="K1371" s="4"/>
      <c r="L1371" s="10"/>
      <c r="M1371" s="19"/>
      <c r="N1371" s="19"/>
      <c r="O1371" s="19"/>
      <c r="P1371" s="11"/>
      <c r="Q1371" s="11"/>
      <c r="R1371" s="12"/>
      <c r="S1371" s="12"/>
      <c r="T1371" s="12"/>
      <c r="U1371" s="12"/>
      <c r="V1371" s="12"/>
      <c r="W1371" s="12"/>
      <c r="X1371" s="12"/>
      <c r="Y1371" s="12"/>
      <c r="Z1371" s="12"/>
    </row>
    <row r="1372" spans="1:26" ht="13">
      <c r="A1372" s="24"/>
      <c r="B1372" s="9"/>
      <c r="C1372" s="19"/>
      <c r="D1372" s="19"/>
      <c r="E1372" s="19"/>
      <c r="F1372" s="19"/>
      <c r="G1372" s="19"/>
      <c r="H1372" s="19"/>
      <c r="I1372" s="19"/>
      <c r="J1372" s="19"/>
      <c r="K1372" s="4"/>
      <c r="L1372" s="10"/>
      <c r="M1372" s="19"/>
      <c r="N1372" s="19"/>
      <c r="O1372" s="19"/>
      <c r="P1372" s="11"/>
      <c r="Q1372" s="11"/>
      <c r="R1372" s="12"/>
      <c r="S1372" s="12"/>
      <c r="T1372" s="12"/>
      <c r="U1372" s="12"/>
      <c r="V1372" s="12"/>
      <c r="W1372" s="12"/>
      <c r="X1372" s="12"/>
      <c r="Y1372" s="12"/>
      <c r="Z1372" s="12"/>
    </row>
    <row r="1373" spans="1:26" ht="13">
      <c r="A1373" s="24"/>
      <c r="B1373" s="9"/>
      <c r="C1373" s="19"/>
      <c r="D1373" s="19"/>
      <c r="E1373" s="19"/>
      <c r="F1373" s="19"/>
      <c r="G1373" s="19"/>
      <c r="H1373" s="19"/>
      <c r="I1373" s="19"/>
      <c r="J1373" s="19"/>
      <c r="K1373" s="4"/>
      <c r="L1373" s="10"/>
      <c r="M1373" s="19"/>
      <c r="N1373" s="19"/>
      <c r="O1373" s="19"/>
      <c r="P1373" s="11"/>
      <c r="Q1373" s="11"/>
      <c r="R1373" s="12"/>
      <c r="S1373" s="12"/>
      <c r="T1373" s="12"/>
      <c r="U1373" s="12"/>
      <c r="V1373" s="12"/>
      <c r="W1373" s="12"/>
      <c r="X1373" s="12"/>
      <c r="Y1373" s="12"/>
      <c r="Z1373" s="12"/>
    </row>
    <row r="1374" spans="1:26" ht="13">
      <c r="A1374" s="24"/>
      <c r="B1374" s="9"/>
      <c r="C1374" s="19"/>
      <c r="D1374" s="19"/>
      <c r="E1374" s="19"/>
      <c r="F1374" s="19"/>
      <c r="G1374" s="19"/>
      <c r="H1374" s="19"/>
      <c r="I1374" s="19"/>
      <c r="J1374" s="19"/>
      <c r="K1374" s="4"/>
      <c r="L1374" s="10"/>
      <c r="M1374" s="19"/>
      <c r="N1374" s="19"/>
      <c r="O1374" s="19"/>
      <c r="P1374" s="11"/>
      <c r="Q1374" s="11"/>
      <c r="R1374" s="12"/>
      <c r="S1374" s="12"/>
      <c r="T1374" s="12"/>
      <c r="U1374" s="12"/>
      <c r="V1374" s="12"/>
      <c r="W1374" s="12"/>
      <c r="X1374" s="12"/>
      <c r="Y1374" s="12"/>
      <c r="Z1374" s="12"/>
    </row>
    <row r="1375" spans="1:26" ht="13">
      <c r="A1375" s="24"/>
      <c r="B1375" s="9"/>
      <c r="C1375" s="19"/>
      <c r="D1375" s="19"/>
      <c r="E1375" s="19"/>
      <c r="F1375" s="19"/>
      <c r="G1375" s="19"/>
      <c r="H1375" s="19"/>
      <c r="I1375" s="19"/>
      <c r="J1375" s="19"/>
      <c r="K1375" s="4"/>
      <c r="L1375" s="10"/>
      <c r="M1375" s="19"/>
      <c r="N1375" s="19"/>
      <c r="O1375" s="19"/>
      <c r="P1375" s="11"/>
      <c r="Q1375" s="11"/>
      <c r="R1375" s="12"/>
      <c r="S1375" s="12"/>
      <c r="T1375" s="12"/>
      <c r="U1375" s="12"/>
      <c r="V1375" s="12"/>
      <c r="W1375" s="12"/>
      <c r="X1375" s="12"/>
      <c r="Y1375" s="12"/>
      <c r="Z1375" s="12"/>
    </row>
    <row r="1376" spans="1:26" ht="13">
      <c r="A1376" s="24"/>
      <c r="B1376" s="9"/>
      <c r="C1376" s="19"/>
      <c r="D1376" s="19"/>
      <c r="E1376" s="19"/>
      <c r="F1376" s="19"/>
      <c r="G1376" s="19"/>
      <c r="H1376" s="19"/>
      <c r="I1376" s="19"/>
      <c r="J1376" s="19"/>
      <c r="K1376" s="4"/>
      <c r="L1376" s="10"/>
      <c r="M1376" s="19"/>
      <c r="N1376" s="19"/>
      <c r="O1376" s="19"/>
      <c r="P1376" s="11"/>
      <c r="Q1376" s="11"/>
      <c r="R1376" s="12"/>
      <c r="S1376" s="12"/>
      <c r="T1376" s="12"/>
      <c r="U1376" s="12"/>
      <c r="V1376" s="12"/>
      <c r="W1376" s="12"/>
      <c r="X1376" s="12"/>
      <c r="Y1376" s="12"/>
      <c r="Z1376" s="12"/>
    </row>
    <row r="1377" spans="1:26" ht="13">
      <c r="A1377" s="24"/>
      <c r="B1377" s="9"/>
      <c r="C1377" s="19"/>
      <c r="D1377" s="19"/>
      <c r="E1377" s="19"/>
      <c r="F1377" s="19"/>
      <c r="G1377" s="19"/>
      <c r="H1377" s="19"/>
      <c r="I1377" s="19"/>
      <c r="J1377" s="19"/>
      <c r="K1377" s="4"/>
      <c r="L1377" s="10"/>
      <c r="M1377" s="19"/>
      <c r="N1377" s="19"/>
      <c r="O1377" s="19"/>
      <c r="P1377" s="11"/>
      <c r="Q1377" s="11"/>
      <c r="R1377" s="12"/>
      <c r="S1377" s="12"/>
      <c r="T1377" s="12"/>
      <c r="U1377" s="12"/>
      <c r="V1377" s="12"/>
      <c r="W1377" s="12"/>
      <c r="X1377" s="12"/>
      <c r="Y1377" s="12"/>
      <c r="Z1377" s="12"/>
    </row>
    <row r="1378" spans="1:26" ht="13">
      <c r="A1378" s="24"/>
      <c r="B1378" s="9"/>
      <c r="C1378" s="19"/>
      <c r="D1378" s="19"/>
      <c r="E1378" s="19"/>
      <c r="F1378" s="19"/>
      <c r="G1378" s="19"/>
      <c r="H1378" s="19"/>
      <c r="I1378" s="19"/>
      <c r="J1378" s="19"/>
      <c r="K1378" s="4"/>
      <c r="L1378" s="10"/>
      <c r="M1378" s="19"/>
      <c r="N1378" s="19"/>
      <c r="O1378" s="19"/>
      <c r="P1378" s="11"/>
      <c r="Q1378" s="11"/>
      <c r="R1378" s="12"/>
      <c r="S1378" s="12"/>
      <c r="T1378" s="12"/>
      <c r="U1378" s="12"/>
      <c r="V1378" s="12"/>
      <c r="W1378" s="12"/>
      <c r="X1378" s="12"/>
      <c r="Y1378" s="12"/>
      <c r="Z1378" s="12"/>
    </row>
    <row r="1379" spans="1:26" ht="13">
      <c r="A1379" s="24"/>
      <c r="B1379" s="9"/>
      <c r="C1379" s="19"/>
      <c r="D1379" s="19"/>
      <c r="E1379" s="19"/>
      <c r="F1379" s="19"/>
      <c r="G1379" s="19"/>
      <c r="H1379" s="19"/>
      <c r="I1379" s="19"/>
      <c r="J1379" s="19"/>
      <c r="K1379" s="4"/>
      <c r="L1379" s="10"/>
      <c r="M1379" s="19"/>
      <c r="N1379" s="19"/>
      <c r="O1379" s="19"/>
      <c r="P1379" s="11"/>
      <c r="Q1379" s="11"/>
      <c r="R1379" s="12"/>
      <c r="S1379" s="12"/>
      <c r="T1379" s="12"/>
      <c r="U1379" s="12"/>
      <c r="V1379" s="12"/>
      <c r="W1379" s="12"/>
      <c r="X1379" s="12"/>
      <c r="Y1379" s="12"/>
      <c r="Z1379" s="12"/>
    </row>
    <row r="1380" spans="1:26" ht="13">
      <c r="A1380" s="24"/>
      <c r="B1380" s="9"/>
      <c r="C1380" s="19"/>
      <c r="D1380" s="19"/>
      <c r="E1380" s="19"/>
      <c r="F1380" s="19"/>
      <c r="G1380" s="19"/>
      <c r="H1380" s="19"/>
      <c r="I1380" s="19"/>
      <c r="J1380" s="19"/>
      <c r="K1380" s="4"/>
      <c r="L1380" s="10"/>
      <c r="M1380" s="19"/>
      <c r="N1380" s="19"/>
      <c r="O1380" s="19"/>
      <c r="P1380" s="11"/>
      <c r="Q1380" s="11"/>
      <c r="R1380" s="12"/>
      <c r="S1380" s="12"/>
      <c r="T1380" s="12"/>
      <c r="U1380" s="12"/>
      <c r="V1380" s="12"/>
      <c r="W1380" s="12"/>
      <c r="X1380" s="12"/>
      <c r="Y1380" s="12"/>
      <c r="Z1380" s="12"/>
    </row>
    <row r="1381" spans="1:26" ht="13">
      <c r="A1381" s="24"/>
      <c r="B1381" s="9"/>
      <c r="C1381" s="19"/>
      <c r="D1381" s="19"/>
      <c r="E1381" s="19"/>
      <c r="F1381" s="19"/>
      <c r="G1381" s="19"/>
      <c r="H1381" s="19"/>
      <c r="I1381" s="19"/>
      <c r="J1381" s="19"/>
      <c r="K1381" s="4"/>
      <c r="L1381" s="10"/>
      <c r="M1381" s="19"/>
      <c r="N1381" s="19"/>
      <c r="O1381" s="19"/>
      <c r="P1381" s="11"/>
      <c r="Q1381" s="11"/>
      <c r="R1381" s="12"/>
      <c r="S1381" s="12"/>
      <c r="T1381" s="12"/>
      <c r="U1381" s="12"/>
      <c r="V1381" s="12"/>
      <c r="W1381" s="12"/>
      <c r="X1381" s="12"/>
      <c r="Y1381" s="12"/>
      <c r="Z1381" s="12"/>
    </row>
    <row r="1382" spans="1:26" ht="13">
      <c r="A1382" s="24"/>
      <c r="B1382" s="9"/>
      <c r="C1382" s="19"/>
      <c r="D1382" s="19"/>
      <c r="E1382" s="19"/>
      <c r="F1382" s="19"/>
      <c r="G1382" s="19"/>
      <c r="H1382" s="19"/>
      <c r="I1382" s="19"/>
      <c r="J1382" s="19"/>
      <c r="K1382" s="4"/>
      <c r="L1382" s="10"/>
      <c r="M1382" s="19"/>
      <c r="N1382" s="19"/>
      <c r="O1382" s="19"/>
      <c r="P1382" s="11"/>
      <c r="Q1382" s="11"/>
      <c r="R1382" s="12"/>
      <c r="S1382" s="12"/>
      <c r="T1382" s="12"/>
      <c r="U1382" s="12"/>
      <c r="V1382" s="12"/>
      <c r="W1382" s="12"/>
      <c r="X1382" s="12"/>
      <c r="Y1382" s="12"/>
      <c r="Z1382" s="12"/>
    </row>
    <row r="1383" spans="1:26" ht="13">
      <c r="A1383" s="24"/>
      <c r="B1383" s="9"/>
      <c r="C1383" s="19"/>
      <c r="D1383" s="19"/>
      <c r="E1383" s="19"/>
      <c r="F1383" s="19"/>
      <c r="G1383" s="19"/>
      <c r="H1383" s="19"/>
      <c r="I1383" s="19"/>
      <c r="J1383" s="19"/>
      <c r="K1383" s="4"/>
      <c r="L1383" s="10"/>
      <c r="M1383" s="19"/>
      <c r="N1383" s="19"/>
      <c r="O1383" s="19"/>
      <c r="P1383" s="11"/>
      <c r="Q1383" s="11"/>
      <c r="R1383" s="12"/>
      <c r="S1383" s="12"/>
      <c r="T1383" s="12"/>
      <c r="U1383" s="12"/>
      <c r="V1383" s="12"/>
      <c r="W1383" s="12"/>
      <c r="X1383" s="12"/>
      <c r="Y1383" s="12"/>
      <c r="Z1383" s="12"/>
    </row>
    <row r="1384" spans="1:26" ht="13">
      <c r="A1384" s="24"/>
      <c r="B1384" s="9"/>
      <c r="C1384" s="19"/>
      <c r="D1384" s="19"/>
      <c r="E1384" s="19"/>
      <c r="F1384" s="19"/>
      <c r="G1384" s="19"/>
      <c r="H1384" s="19"/>
      <c r="I1384" s="19"/>
      <c r="J1384" s="19"/>
      <c r="K1384" s="4"/>
      <c r="L1384" s="10"/>
      <c r="M1384" s="19"/>
      <c r="N1384" s="19"/>
      <c r="O1384" s="19"/>
      <c r="P1384" s="11"/>
      <c r="Q1384" s="11"/>
      <c r="R1384" s="12"/>
      <c r="S1384" s="12"/>
      <c r="T1384" s="12"/>
      <c r="U1384" s="12"/>
      <c r="V1384" s="12"/>
      <c r="W1384" s="12"/>
      <c r="X1384" s="12"/>
      <c r="Y1384" s="12"/>
      <c r="Z1384" s="12"/>
    </row>
    <row r="1385" spans="1:26" ht="13">
      <c r="A1385" s="24"/>
      <c r="B1385" s="9"/>
      <c r="C1385" s="19"/>
      <c r="D1385" s="19"/>
      <c r="E1385" s="19"/>
      <c r="F1385" s="19"/>
      <c r="G1385" s="19"/>
      <c r="H1385" s="19"/>
      <c r="I1385" s="19"/>
      <c r="J1385" s="19"/>
      <c r="K1385" s="4"/>
      <c r="L1385" s="10"/>
      <c r="M1385" s="19"/>
      <c r="N1385" s="19"/>
      <c r="O1385" s="19"/>
      <c r="P1385" s="11"/>
      <c r="Q1385" s="11"/>
      <c r="R1385" s="12"/>
      <c r="S1385" s="12"/>
      <c r="T1385" s="12"/>
      <c r="U1385" s="12"/>
      <c r="V1385" s="12"/>
      <c r="W1385" s="12"/>
      <c r="X1385" s="12"/>
      <c r="Y1385" s="12"/>
      <c r="Z1385" s="12"/>
    </row>
    <row r="1386" spans="1:26" ht="13">
      <c r="A1386" s="24"/>
      <c r="B1386" s="9"/>
      <c r="C1386" s="19"/>
      <c r="D1386" s="19"/>
      <c r="E1386" s="19"/>
      <c r="F1386" s="19"/>
      <c r="G1386" s="19"/>
      <c r="H1386" s="19"/>
      <c r="I1386" s="19"/>
      <c r="J1386" s="19"/>
      <c r="K1386" s="4"/>
      <c r="L1386" s="10"/>
      <c r="M1386" s="19"/>
      <c r="N1386" s="19"/>
      <c r="O1386" s="19"/>
      <c r="P1386" s="11"/>
      <c r="Q1386" s="11"/>
      <c r="R1386" s="12"/>
      <c r="S1386" s="12"/>
      <c r="T1386" s="12"/>
      <c r="U1386" s="12"/>
      <c r="V1386" s="12"/>
      <c r="W1386" s="12"/>
      <c r="X1386" s="12"/>
      <c r="Y1386" s="12"/>
      <c r="Z1386" s="12"/>
    </row>
    <row r="1387" spans="1:26" ht="13">
      <c r="A1387" s="24"/>
      <c r="B1387" s="9"/>
      <c r="C1387" s="19"/>
      <c r="D1387" s="19"/>
      <c r="E1387" s="19"/>
      <c r="F1387" s="19"/>
      <c r="G1387" s="19"/>
      <c r="H1387" s="19"/>
      <c r="I1387" s="19"/>
      <c r="J1387" s="19"/>
      <c r="K1387" s="4"/>
      <c r="L1387" s="10"/>
      <c r="M1387" s="19"/>
      <c r="N1387" s="19"/>
      <c r="O1387" s="19"/>
      <c r="P1387" s="11"/>
      <c r="Q1387" s="11"/>
      <c r="R1387" s="12"/>
      <c r="S1387" s="12"/>
      <c r="T1387" s="12"/>
      <c r="U1387" s="12"/>
      <c r="V1387" s="12"/>
      <c r="W1387" s="12"/>
      <c r="X1387" s="12"/>
      <c r="Y1387" s="12"/>
      <c r="Z1387" s="12"/>
    </row>
    <row r="1388" spans="1:26" ht="13">
      <c r="A1388" s="24"/>
      <c r="B1388" s="9"/>
      <c r="C1388" s="19"/>
      <c r="D1388" s="19"/>
      <c r="E1388" s="19"/>
      <c r="F1388" s="19"/>
      <c r="G1388" s="19"/>
      <c r="H1388" s="19"/>
      <c r="I1388" s="19"/>
      <c r="J1388" s="19"/>
      <c r="K1388" s="4"/>
      <c r="L1388" s="10"/>
      <c r="M1388" s="19"/>
      <c r="N1388" s="19"/>
      <c r="O1388" s="19"/>
      <c r="P1388" s="11"/>
      <c r="Q1388" s="11"/>
      <c r="R1388" s="12"/>
      <c r="S1388" s="12"/>
      <c r="T1388" s="12"/>
      <c r="U1388" s="12"/>
      <c r="V1388" s="12"/>
      <c r="W1388" s="12"/>
      <c r="X1388" s="12"/>
      <c r="Y1388" s="12"/>
      <c r="Z1388" s="12"/>
    </row>
    <row r="1389" spans="1:26" ht="13">
      <c r="A1389" s="24"/>
      <c r="B1389" s="9"/>
      <c r="C1389" s="19"/>
      <c r="D1389" s="19"/>
      <c r="E1389" s="19"/>
      <c r="F1389" s="19"/>
      <c r="G1389" s="19"/>
      <c r="H1389" s="19"/>
      <c r="I1389" s="19"/>
      <c r="J1389" s="19"/>
      <c r="K1389" s="4"/>
      <c r="L1389" s="10"/>
      <c r="M1389" s="19"/>
      <c r="N1389" s="19"/>
      <c r="O1389" s="19"/>
      <c r="P1389" s="11"/>
      <c r="Q1389" s="11"/>
      <c r="R1389" s="12"/>
      <c r="S1389" s="12"/>
      <c r="T1389" s="12"/>
      <c r="U1389" s="12"/>
      <c r="V1389" s="12"/>
      <c r="W1389" s="12"/>
      <c r="X1389" s="12"/>
      <c r="Y1389" s="12"/>
      <c r="Z1389" s="12"/>
    </row>
    <row r="1390" spans="1:26" ht="13">
      <c r="A1390" s="24"/>
      <c r="B1390" s="9"/>
      <c r="C1390" s="19"/>
      <c r="D1390" s="19"/>
      <c r="E1390" s="19"/>
      <c r="F1390" s="19"/>
      <c r="G1390" s="19"/>
      <c r="H1390" s="19"/>
      <c r="I1390" s="19"/>
      <c r="J1390" s="19"/>
      <c r="K1390" s="4"/>
      <c r="L1390" s="10"/>
      <c r="M1390" s="19"/>
      <c r="N1390" s="19"/>
      <c r="O1390" s="19"/>
      <c r="P1390" s="11"/>
      <c r="Q1390" s="11"/>
      <c r="R1390" s="12"/>
      <c r="S1390" s="12"/>
      <c r="T1390" s="12"/>
      <c r="U1390" s="12"/>
      <c r="V1390" s="12"/>
      <c r="W1390" s="12"/>
      <c r="X1390" s="12"/>
      <c r="Y1390" s="12"/>
      <c r="Z1390" s="12"/>
    </row>
    <row r="1391" spans="1:26" ht="13">
      <c r="A1391" s="24"/>
      <c r="B1391" s="9"/>
      <c r="C1391" s="19"/>
      <c r="D1391" s="19"/>
      <c r="E1391" s="19"/>
      <c r="F1391" s="19"/>
      <c r="G1391" s="19"/>
      <c r="H1391" s="19"/>
      <c r="I1391" s="19"/>
      <c r="J1391" s="19"/>
      <c r="K1391" s="4"/>
      <c r="L1391" s="10"/>
      <c r="M1391" s="19"/>
      <c r="N1391" s="19"/>
      <c r="O1391" s="19"/>
      <c r="P1391" s="11"/>
      <c r="Q1391" s="11"/>
      <c r="R1391" s="12"/>
      <c r="S1391" s="12"/>
      <c r="T1391" s="12"/>
      <c r="U1391" s="12"/>
      <c r="V1391" s="12"/>
      <c r="W1391" s="12"/>
      <c r="X1391" s="12"/>
      <c r="Y1391" s="12"/>
      <c r="Z1391" s="12"/>
    </row>
    <row r="1392" spans="1:26" ht="13">
      <c r="A1392" s="24"/>
      <c r="B1392" s="9"/>
      <c r="C1392" s="19"/>
      <c r="D1392" s="19"/>
      <c r="E1392" s="19"/>
      <c r="F1392" s="19"/>
      <c r="G1392" s="19"/>
      <c r="H1392" s="19"/>
      <c r="I1392" s="19"/>
      <c r="J1392" s="19"/>
      <c r="K1392" s="4"/>
      <c r="L1392" s="10"/>
      <c r="M1392" s="19"/>
      <c r="N1392" s="19"/>
      <c r="O1392" s="19"/>
      <c r="P1392" s="11"/>
      <c r="Q1392" s="11"/>
      <c r="R1392" s="12"/>
      <c r="S1392" s="12"/>
      <c r="T1392" s="12"/>
      <c r="U1392" s="12"/>
      <c r="V1392" s="12"/>
      <c r="W1392" s="12"/>
      <c r="X1392" s="12"/>
      <c r="Y1392" s="12"/>
      <c r="Z1392" s="12"/>
    </row>
    <row r="1393" spans="1:26" ht="13">
      <c r="A1393" s="24"/>
      <c r="B1393" s="9"/>
      <c r="C1393" s="19"/>
      <c r="D1393" s="19"/>
      <c r="E1393" s="19"/>
      <c r="F1393" s="19"/>
      <c r="G1393" s="19"/>
      <c r="H1393" s="19"/>
      <c r="I1393" s="19"/>
      <c r="J1393" s="19"/>
      <c r="K1393" s="4"/>
      <c r="L1393" s="10"/>
      <c r="M1393" s="19"/>
      <c r="N1393" s="19"/>
      <c r="O1393" s="19"/>
      <c r="P1393" s="11"/>
      <c r="Q1393" s="11"/>
      <c r="R1393" s="12"/>
      <c r="S1393" s="12"/>
      <c r="T1393" s="12"/>
      <c r="U1393" s="12"/>
      <c r="V1393" s="12"/>
      <c r="W1393" s="12"/>
      <c r="X1393" s="12"/>
      <c r="Y1393" s="12"/>
      <c r="Z1393" s="12"/>
    </row>
    <row r="1394" spans="1:26" ht="13">
      <c r="A1394" s="24"/>
      <c r="B1394" s="9"/>
      <c r="C1394" s="19"/>
      <c r="D1394" s="19"/>
      <c r="E1394" s="19"/>
      <c r="F1394" s="19"/>
      <c r="G1394" s="19"/>
      <c r="H1394" s="19"/>
      <c r="I1394" s="19"/>
      <c r="J1394" s="19"/>
      <c r="K1394" s="4"/>
      <c r="L1394" s="10"/>
      <c r="M1394" s="19"/>
      <c r="N1394" s="19"/>
      <c r="O1394" s="19"/>
      <c r="P1394" s="11"/>
      <c r="Q1394" s="11"/>
      <c r="R1394" s="12"/>
      <c r="S1394" s="12"/>
      <c r="T1394" s="12"/>
      <c r="U1394" s="12"/>
      <c r="V1394" s="12"/>
      <c r="W1394" s="12"/>
      <c r="X1394" s="12"/>
      <c r="Y1394" s="12"/>
      <c r="Z1394" s="12"/>
    </row>
    <row r="1395" spans="1:26" ht="13">
      <c r="A1395" s="24"/>
      <c r="B1395" s="9"/>
      <c r="C1395" s="19"/>
      <c r="D1395" s="19"/>
      <c r="E1395" s="19"/>
      <c r="F1395" s="19"/>
      <c r="G1395" s="19"/>
      <c r="H1395" s="19"/>
      <c r="I1395" s="19"/>
      <c r="J1395" s="19"/>
      <c r="K1395" s="4"/>
      <c r="L1395" s="10"/>
      <c r="M1395" s="19"/>
      <c r="N1395" s="19"/>
      <c r="O1395" s="19"/>
      <c r="P1395" s="11"/>
      <c r="Q1395" s="11"/>
      <c r="R1395" s="12"/>
      <c r="S1395" s="12"/>
      <c r="T1395" s="12"/>
      <c r="U1395" s="12"/>
      <c r="V1395" s="12"/>
      <c r="W1395" s="12"/>
      <c r="X1395" s="12"/>
      <c r="Y1395" s="12"/>
      <c r="Z1395" s="12"/>
    </row>
    <row r="1396" spans="1:26" ht="13">
      <c r="A1396" s="24"/>
      <c r="B1396" s="9"/>
      <c r="C1396" s="19"/>
      <c r="D1396" s="19"/>
      <c r="E1396" s="19"/>
      <c r="F1396" s="19"/>
      <c r="G1396" s="19"/>
      <c r="H1396" s="19"/>
      <c r="I1396" s="19"/>
      <c r="J1396" s="19"/>
      <c r="K1396" s="4"/>
      <c r="L1396" s="10"/>
      <c r="M1396" s="19"/>
      <c r="N1396" s="19"/>
      <c r="O1396" s="19"/>
      <c r="P1396" s="11"/>
      <c r="Q1396" s="11"/>
      <c r="R1396" s="12"/>
      <c r="S1396" s="12"/>
      <c r="T1396" s="12"/>
      <c r="U1396" s="12"/>
      <c r="V1396" s="12"/>
      <c r="W1396" s="12"/>
      <c r="X1396" s="12"/>
      <c r="Y1396" s="12"/>
      <c r="Z1396" s="12"/>
    </row>
    <row r="1397" spans="1:26" ht="13">
      <c r="A1397" s="24"/>
      <c r="B1397" s="9"/>
      <c r="C1397" s="19"/>
      <c r="D1397" s="19"/>
      <c r="E1397" s="19"/>
      <c r="F1397" s="19"/>
      <c r="G1397" s="19"/>
      <c r="H1397" s="19"/>
      <c r="I1397" s="19"/>
      <c r="J1397" s="19"/>
      <c r="K1397" s="4"/>
      <c r="L1397" s="10"/>
      <c r="M1397" s="19"/>
      <c r="N1397" s="19"/>
      <c r="O1397" s="19"/>
      <c r="P1397" s="11"/>
      <c r="Q1397" s="11"/>
      <c r="R1397" s="12"/>
      <c r="S1397" s="12"/>
      <c r="T1397" s="12"/>
      <c r="U1397" s="12"/>
      <c r="V1397" s="12"/>
      <c r="W1397" s="12"/>
      <c r="X1397" s="12"/>
      <c r="Y1397" s="12"/>
      <c r="Z1397" s="12"/>
    </row>
    <row r="1398" spans="1:26" ht="13">
      <c r="A1398" s="24"/>
      <c r="B1398" s="9"/>
      <c r="C1398" s="19"/>
      <c r="D1398" s="19"/>
      <c r="E1398" s="19"/>
      <c r="F1398" s="19"/>
      <c r="G1398" s="19"/>
      <c r="H1398" s="19"/>
      <c r="I1398" s="19"/>
      <c r="J1398" s="19"/>
      <c r="K1398" s="4"/>
      <c r="L1398" s="10"/>
      <c r="M1398" s="19"/>
      <c r="N1398" s="19"/>
      <c r="O1398" s="19"/>
      <c r="P1398" s="11"/>
      <c r="Q1398" s="11"/>
      <c r="R1398" s="12"/>
      <c r="S1398" s="12"/>
      <c r="T1398" s="12"/>
      <c r="U1398" s="12"/>
      <c r="V1398" s="12"/>
      <c r="W1398" s="12"/>
      <c r="X1398" s="12"/>
      <c r="Y1398" s="12"/>
      <c r="Z1398" s="12"/>
    </row>
    <row r="1399" spans="1:26" ht="13">
      <c r="A1399" s="24"/>
      <c r="B1399" s="9"/>
      <c r="C1399" s="19"/>
      <c r="D1399" s="19"/>
      <c r="E1399" s="19"/>
      <c r="F1399" s="19"/>
      <c r="G1399" s="19"/>
      <c r="H1399" s="19"/>
      <c r="I1399" s="19"/>
      <c r="J1399" s="19"/>
      <c r="K1399" s="4"/>
      <c r="L1399" s="10"/>
      <c r="M1399" s="19"/>
      <c r="N1399" s="19"/>
      <c r="O1399" s="19"/>
      <c r="P1399" s="11"/>
      <c r="Q1399" s="11"/>
      <c r="R1399" s="12"/>
      <c r="S1399" s="12"/>
      <c r="T1399" s="12"/>
      <c r="U1399" s="12"/>
      <c r="V1399" s="12"/>
      <c r="W1399" s="12"/>
      <c r="X1399" s="12"/>
      <c r="Y1399" s="12"/>
      <c r="Z1399" s="12"/>
    </row>
    <row r="1400" spans="1:26" ht="13">
      <c r="A1400" s="24"/>
      <c r="B1400" s="9"/>
      <c r="C1400" s="19"/>
      <c r="D1400" s="19"/>
      <c r="E1400" s="19"/>
      <c r="F1400" s="19"/>
      <c r="G1400" s="19"/>
      <c r="H1400" s="19"/>
      <c r="I1400" s="19"/>
      <c r="J1400" s="19"/>
      <c r="K1400" s="4"/>
      <c r="L1400" s="10"/>
      <c r="M1400" s="19"/>
      <c r="N1400" s="19"/>
      <c r="O1400" s="19"/>
      <c r="P1400" s="11"/>
      <c r="Q1400" s="11"/>
      <c r="R1400" s="12"/>
      <c r="S1400" s="12"/>
      <c r="T1400" s="12"/>
      <c r="U1400" s="12"/>
      <c r="V1400" s="12"/>
      <c r="W1400" s="12"/>
      <c r="X1400" s="12"/>
      <c r="Y1400" s="12"/>
      <c r="Z1400" s="12"/>
    </row>
    <row r="1401" spans="1:26" ht="13">
      <c r="A1401" s="24"/>
      <c r="B1401" s="9"/>
      <c r="C1401" s="19"/>
      <c r="D1401" s="19"/>
      <c r="E1401" s="19"/>
      <c r="F1401" s="19"/>
      <c r="G1401" s="19"/>
      <c r="H1401" s="19"/>
      <c r="I1401" s="19"/>
      <c r="J1401" s="19"/>
      <c r="K1401" s="4"/>
      <c r="L1401" s="10"/>
      <c r="M1401" s="19"/>
      <c r="N1401" s="19"/>
      <c r="O1401" s="19"/>
      <c r="P1401" s="11"/>
      <c r="Q1401" s="11"/>
      <c r="R1401" s="12"/>
      <c r="S1401" s="12"/>
      <c r="T1401" s="12"/>
      <c r="U1401" s="12"/>
      <c r="V1401" s="12"/>
      <c r="W1401" s="12"/>
      <c r="X1401" s="12"/>
      <c r="Y1401" s="12"/>
      <c r="Z1401" s="12"/>
    </row>
    <row r="1402" spans="1:26" ht="13">
      <c r="A1402" s="24"/>
      <c r="B1402" s="9"/>
      <c r="C1402" s="19"/>
      <c r="D1402" s="19"/>
      <c r="E1402" s="19"/>
      <c r="F1402" s="19"/>
      <c r="G1402" s="19"/>
      <c r="H1402" s="19"/>
      <c r="I1402" s="19"/>
      <c r="J1402" s="19"/>
      <c r="K1402" s="4"/>
      <c r="L1402" s="10"/>
      <c r="M1402" s="19"/>
      <c r="N1402" s="19"/>
      <c r="O1402" s="19"/>
      <c r="P1402" s="11"/>
      <c r="Q1402" s="11"/>
      <c r="R1402" s="12"/>
      <c r="S1402" s="12"/>
      <c r="T1402" s="12"/>
      <c r="U1402" s="12"/>
      <c r="V1402" s="12"/>
      <c r="W1402" s="12"/>
      <c r="X1402" s="12"/>
      <c r="Y1402" s="12"/>
      <c r="Z1402" s="12"/>
    </row>
    <row r="1403" spans="1:26" ht="13">
      <c r="A1403" s="24"/>
      <c r="B1403" s="9"/>
      <c r="C1403" s="19"/>
      <c r="D1403" s="19"/>
      <c r="E1403" s="19"/>
      <c r="F1403" s="19"/>
      <c r="G1403" s="19"/>
      <c r="H1403" s="19"/>
      <c r="I1403" s="19"/>
      <c r="J1403" s="19"/>
      <c r="K1403" s="4"/>
      <c r="L1403" s="10"/>
      <c r="M1403" s="19"/>
      <c r="N1403" s="19"/>
      <c r="O1403" s="19"/>
      <c r="P1403" s="11"/>
      <c r="Q1403" s="11"/>
      <c r="R1403" s="12"/>
      <c r="S1403" s="12"/>
      <c r="T1403" s="12"/>
      <c r="U1403" s="12"/>
      <c r="V1403" s="12"/>
      <c r="W1403" s="12"/>
      <c r="X1403" s="12"/>
      <c r="Y1403" s="12"/>
      <c r="Z1403" s="12"/>
    </row>
    <row r="1404" spans="1:26" ht="13">
      <c r="A1404" s="24"/>
      <c r="B1404" s="9"/>
      <c r="C1404" s="19"/>
      <c r="D1404" s="19"/>
      <c r="E1404" s="19"/>
      <c r="F1404" s="19"/>
      <c r="G1404" s="19"/>
      <c r="H1404" s="19"/>
      <c r="I1404" s="19"/>
      <c r="J1404" s="19"/>
      <c r="K1404" s="4"/>
      <c r="L1404" s="10"/>
      <c r="M1404" s="19"/>
      <c r="N1404" s="19"/>
      <c r="O1404" s="19"/>
      <c r="P1404" s="11"/>
      <c r="Q1404" s="11"/>
      <c r="R1404" s="12"/>
      <c r="S1404" s="12"/>
      <c r="T1404" s="12"/>
      <c r="U1404" s="12"/>
      <c r="V1404" s="12"/>
      <c r="W1404" s="12"/>
      <c r="X1404" s="12"/>
      <c r="Y1404" s="12"/>
      <c r="Z1404" s="12"/>
    </row>
    <row r="1405" spans="1:26" ht="13">
      <c r="A1405" s="24"/>
      <c r="B1405" s="9"/>
      <c r="C1405" s="19"/>
      <c r="D1405" s="19"/>
      <c r="E1405" s="19"/>
      <c r="F1405" s="19"/>
      <c r="G1405" s="19"/>
      <c r="H1405" s="19"/>
      <c r="I1405" s="19"/>
      <c r="J1405" s="19"/>
      <c r="K1405" s="4"/>
      <c r="L1405" s="10"/>
      <c r="M1405" s="19"/>
      <c r="N1405" s="19"/>
      <c r="O1405" s="19"/>
      <c r="P1405" s="11"/>
      <c r="Q1405" s="11"/>
      <c r="R1405" s="12"/>
      <c r="S1405" s="12"/>
      <c r="T1405" s="12"/>
      <c r="U1405" s="12"/>
      <c r="V1405" s="12"/>
      <c r="W1405" s="12"/>
      <c r="X1405" s="12"/>
      <c r="Y1405" s="12"/>
      <c r="Z1405" s="12"/>
    </row>
    <row r="1406" spans="1:26" ht="13">
      <c r="A1406" s="24"/>
      <c r="B1406" s="9"/>
      <c r="C1406" s="19"/>
      <c r="D1406" s="19"/>
      <c r="E1406" s="19"/>
      <c r="F1406" s="19"/>
      <c r="G1406" s="19"/>
      <c r="H1406" s="19"/>
      <c r="I1406" s="19"/>
      <c r="J1406" s="19"/>
      <c r="K1406" s="4"/>
      <c r="L1406" s="10"/>
      <c r="M1406" s="19"/>
      <c r="N1406" s="19"/>
      <c r="O1406" s="19"/>
      <c r="P1406" s="11"/>
      <c r="Q1406" s="11"/>
      <c r="R1406" s="12"/>
      <c r="S1406" s="12"/>
      <c r="T1406" s="12"/>
      <c r="U1406" s="12"/>
      <c r="V1406" s="12"/>
      <c r="W1406" s="12"/>
      <c r="X1406" s="12"/>
      <c r="Y1406" s="12"/>
      <c r="Z1406" s="12"/>
    </row>
    <row r="1407" spans="1:26" ht="13">
      <c r="A1407" s="24"/>
      <c r="B1407" s="9"/>
      <c r="C1407" s="19"/>
      <c r="D1407" s="19"/>
      <c r="E1407" s="19"/>
      <c r="F1407" s="19"/>
      <c r="G1407" s="19"/>
      <c r="H1407" s="19"/>
      <c r="I1407" s="19"/>
      <c r="J1407" s="19"/>
      <c r="K1407" s="4"/>
      <c r="L1407" s="10"/>
      <c r="M1407" s="19"/>
      <c r="N1407" s="19"/>
      <c r="O1407" s="19"/>
      <c r="P1407" s="11"/>
      <c r="Q1407" s="11"/>
      <c r="R1407" s="12"/>
      <c r="S1407" s="12"/>
      <c r="T1407" s="12"/>
      <c r="U1407" s="12"/>
      <c r="V1407" s="12"/>
      <c r="W1407" s="12"/>
      <c r="X1407" s="12"/>
      <c r="Y1407" s="12"/>
      <c r="Z1407" s="12"/>
    </row>
    <row r="1408" spans="1:26" ht="13">
      <c r="A1408" s="24"/>
      <c r="B1408" s="9"/>
      <c r="C1408" s="19"/>
      <c r="D1408" s="19"/>
      <c r="E1408" s="19"/>
      <c r="F1408" s="19"/>
      <c r="G1408" s="19"/>
      <c r="H1408" s="19"/>
      <c r="I1408" s="19"/>
      <c r="J1408" s="19"/>
      <c r="K1408" s="4"/>
      <c r="L1408" s="10"/>
      <c r="M1408" s="19"/>
      <c r="N1408" s="19"/>
      <c r="O1408" s="19"/>
      <c r="P1408" s="11"/>
      <c r="Q1408" s="11"/>
      <c r="R1408" s="12"/>
      <c r="S1408" s="12"/>
      <c r="T1408" s="12"/>
      <c r="U1408" s="12"/>
      <c r="V1408" s="12"/>
      <c r="W1408" s="12"/>
      <c r="X1408" s="12"/>
      <c r="Y1408" s="12"/>
      <c r="Z1408" s="12"/>
    </row>
    <row r="1409" spans="1:26" ht="13">
      <c r="A1409" s="24"/>
      <c r="B1409" s="9"/>
      <c r="C1409" s="19"/>
      <c r="D1409" s="19"/>
      <c r="E1409" s="19"/>
      <c r="F1409" s="19"/>
      <c r="G1409" s="19"/>
      <c r="H1409" s="19"/>
      <c r="I1409" s="19"/>
      <c r="J1409" s="19"/>
      <c r="K1409" s="4"/>
      <c r="L1409" s="10"/>
      <c r="M1409" s="19"/>
      <c r="N1409" s="19"/>
      <c r="O1409" s="19"/>
      <c r="P1409" s="11"/>
      <c r="Q1409" s="11"/>
      <c r="R1409" s="12"/>
      <c r="S1409" s="12"/>
      <c r="T1409" s="12"/>
      <c r="U1409" s="12"/>
      <c r="V1409" s="12"/>
      <c r="W1409" s="12"/>
      <c r="X1409" s="12"/>
      <c r="Y1409" s="12"/>
      <c r="Z1409" s="12"/>
    </row>
    <row r="1410" spans="1:26" ht="13">
      <c r="A1410" s="24"/>
      <c r="B1410" s="9"/>
      <c r="C1410" s="19"/>
      <c r="D1410" s="19"/>
      <c r="E1410" s="19"/>
      <c r="F1410" s="19"/>
      <c r="G1410" s="19"/>
      <c r="H1410" s="19"/>
      <c r="I1410" s="19"/>
      <c r="J1410" s="19"/>
      <c r="K1410" s="4"/>
      <c r="L1410" s="10"/>
      <c r="M1410" s="19"/>
      <c r="N1410" s="19"/>
      <c r="O1410" s="19"/>
      <c r="P1410" s="11"/>
      <c r="Q1410" s="11"/>
      <c r="R1410" s="12"/>
      <c r="S1410" s="12"/>
      <c r="T1410" s="12"/>
      <c r="U1410" s="12"/>
      <c r="V1410" s="12"/>
      <c r="W1410" s="12"/>
      <c r="X1410" s="12"/>
      <c r="Y1410" s="12"/>
      <c r="Z1410" s="12"/>
    </row>
    <row r="1411" spans="1:26" ht="13">
      <c r="A1411" s="24"/>
      <c r="B1411" s="9"/>
      <c r="C1411" s="19"/>
      <c r="D1411" s="19"/>
      <c r="E1411" s="19"/>
      <c r="F1411" s="19"/>
      <c r="G1411" s="19"/>
      <c r="H1411" s="19"/>
      <c r="I1411" s="19"/>
      <c r="J1411" s="19"/>
      <c r="K1411" s="4"/>
      <c r="L1411" s="10"/>
      <c r="M1411" s="19"/>
      <c r="N1411" s="19"/>
      <c r="O1411" s="19"/>
      <c r="P1411" s="11"/>
      <c r="Q1411" s="11"/>
      <c r="R1411" s="12"/>
      <c r="S1411" s="12"/>
      <c r="T1411" s="12"/>
      <c r="U1411" s="12"/>
      <c r="V1411" s="12"/>
      <c r="W1411" s="12"/>
      <c r="X1411" s="12"/>
      <c r="Y1411" s="12"/>
      <c r="Z1411" s="12"/>
    </row>
    <row r="1412" spans="1:26" ht="13">
      <c r="A1412" s="24"/>
      <c r="B1412" s="9"/>
      <c r="C1412" s="19"/>
      <c r="D1412" s="19"/>
      <c r="E1412" s="19"/>
      <c r="F1412" s="19"/>
      <c r="G1412" s="19"/>
      <c r="H1412" s="19"/>
      <c r="I1412" s="19"/>
      <c r="J1412" s="19"/>
      <c r="K1412" s="4"/>
      <c r="L1412" s="10"/>
      <c r="M1412" s="19"/>
      <c r="N1412" s="19"/>
      <c r="O1412" s="19"/>
      <c r="P1412" s="11"/>
      <c r="Q1412" s="11"/>
      <c r="R1412" s="12"/>
      <c r="S1412" s="12"/>
      <c r="T1412" s="12"/>
      <c r="U1412" s="12"/>
      <c r="V1412" s="12"/>
      <c r="W1412" s="12"/>
      <c r="X1412" s="12"/>
      <c r="Y1412" s="12"/>
      <c r="Z1412" s="12"/>
    </row>
    <row r="1413" spans="1:26" ht="13">
      <c r="A1413" s="24"/>
      <c r="B1413" s="9"/>
      <c r="C1413" s="19"/>
      <c r="D1413" s="19"/>
      <c r="E1413" s="19"/>
      <c r="F1413" s="19"/>
      <c r="G1413" s="19"/>
      <c r="H1413" s="19"/>
      <c r="I1413" s="19"/>
      <c r="J1413" s="19"/>
      <c r="K1413" s="4"/>
      <c r="L1413" s="10"/>
      <c r="M1413" s="19"/>
      <c r="N1413" s="19"/>
      <c r="O1413" s="19"/>
      <c r="P1413" s="11"/>
      <c r="Q1413" s="11"/>
      <c r="R1413" s="12"/>
      <c r="S1413" s="12"/>
      <c r="T1413" s="12"/>
      <c r="U1413" s="12"/>
      <c r="V1413" s="12"/>
      <c r="W1413" s="12"/>
      <c r="X1413" s="12"/>
      <c r="Y1413" s="12"/>
      <c r="Z1413" s="12"/>
    </row>
    <row r="1414" spans="1:26" ht="13">
      <c r="A1414" s="24"/>
      <c r="B1414" s="9"/>
      <c r="C1414" s="19"/>
      <c r="D1414" s="19"/>
      <c r="E1414" s="19"/>
      <c r="F1414" s="19"/>
      <c r="G1414" s="19"/>
      <c r="H1414" s="19"/>
      <c r="I1414" s="19"/>
      <c r="J1414" s="19"/>
      <c r="K1414" s="4"/>
      <c r="L1414" s="10"/>
      <c r="M1414" s="19"/>
      <c r="N1414" s="19"/>
      <c r="O1414" s="19"/>
      <c r="P1414" s="11"/>
      <c r="Q1414" s="11"/>
      <c r="R1414" s="12"/>
      <c r="S1414" s="12"/>
      <c r="T1414" s="12"/>
      <c r="U1414" s="12"/>
      <c r="V1414" s="12"/>
      <c r="W1414" s="12"/>
      <c r="X1414" s="12"/>
      <c r="Y1414" s="12"/>
      <c r="Z1414" s="12"/>
    </row>
    <row r="1415" spans="1:26" ht="13">
      <c r="A1415" s="24"/>
      <c r="B1415" s="9"/>
      <c r="C1415" s="19"/>
      <c r="D1415" s="19"/>
      <c r="E1415" s="19"/>
      <c r="F1415" s="19"/>
      <c r="G1415" s="19"/>
      <c r="H1415" s="19"/>
      <c r="I1415" s="19"/>
      <c r="J1415" s="19"/>
      <c r="K1415" s="4"/>
      <c r="L1415" s="10"/>
      <c r="M1415" s="19"/>
      <c r="N1415" s="19"/>
      <c r="O1415" s="19"/>
      <c r="P1415" s="11"/>
      <c r="Q1415" s="11"/>
      <c r="R1415" s="12"/>
      <c r="S1415" s="12"/>
      <c r="T1415" s="12"/>
      <c r="U1415" s="12"/>
      <c r="V1415" s="12"/>
      <c r="W1415" s="12"/>
      <c r="X1415" s="12"/>
      <c r="Y1415" s="12"/>
      <c r="Z1415" s="12"/>
    </row>
    <row r="1416" spans="1:26" ht="13">
      <c r="A1416" s="24"/>
      <c r="B1416" s="9"/>
      <c r="C1416" s="19"/>
      <c r="D1416" s="19"/>
      <c r="E1416" s="19"/>
      <c r="F1416" s="19"/>
      <c r="G1416" s="19"/>
      <c r="H1416" s="19"/>
      <c r="I1416" s="19"/>
      <c r="J1416" s="19"/>
      <c r="K1416" s="4"/>
      <c r="L1416" s="10"/>
      <c r="M1416" s="19"/>
      <c r="N1416" s="19"/>
      <c r="O1416" s="19"/>
      <c r="P1416" s="11"/>
      <c r="Q1416" s="11"/>
      <c r="R1416" s="12"/>
      <c r="S1416" s="12"/>
      <c r="T1416" s="12"/>
      <c r="U1416" s="12"/>
      <c r="V1416" s="12"/>
      <c r="W1416" s="12"/>
      <c r="X1416" s="12"/>
      <c r="Y1416" s="12"/>
      <c r="Z1416" s="12"/>
    </row>
    <row r="1417" spans="1:26" ht="13">
      <c r="A1417" s="24"/>
      <c r="B1417" s="9"/>
      <c r="C1417" s="19"/>
      <c r="D1417" s="19"/>
      <c r="E1417" s="19"/>
      <c r="F1417" s="19"/>
      <c r="G1417" s="19"/>
      <c r="H1417" s="19"/>
      <c r="I1417" s="19"/>
      <c r="J1417" s="19"/>
      <c r="K1417" s="4"/>
      <c r="L1417" s="10"/>
      <c r="M1417" s="19"/>
      <c r="N1417" s="19"/>
      <c r="O1417" s="19"/>
      <c r="P1417" s="11"/>
      <c r="Q1417" s="11"/>
      <c r="R1417" s="12"/>
      <c r="S1417" s="12"/>
      <c r="T1417" s="12"/>
      <c r="U1417" s="12"/>
      <c r="V1417" s="12"/>
      <c r="W1417" s="12"/>
      <c r="X1417" s="12"/>
      <c r="Y1417" s="12"/>
      <c r="Z1417" s="12"/>
    </row>
    <row r="1418" spans="1:26" ht="13">
      <c r="A1418" s="24"/>
      <c r="B1418" s="9"/>
      <c r="C1418" s="19"/>
      <c r="D1418" s="19"/>
      <c r="E1418" s="19"/>
      <c r="F1418" s="19"/>
      <c r="G1418" s="19"/>
      <c r="H1418" s="19"/>
      <c r="I1418" s="19"/>
      <c r="J1418" s="19"/>
      <c r="K1418" s="4"/>
      <c r="L1418" s="10"/>
      <c r="M1418" s="19"/>
      <c r="N1418" s="19"/>
      <c r="O1418" s="19"/>
      <c r="P1418" s="11"/>
      <c r="Q1418" s="11"/>
      <c r="R1418" s="12"/>
      <c r="S1418" s="12"/>
      <c r="T1418" s="12"/>
      <c r="U1418" s="12"/>
      <c r="V1418" s="12"/>
      <c r="W1418" s="12"/>
      <c r="X1418" s="12"/>
      <c r="Y1418" s="12"/>
      <c r="Z1418" s="12"/>
    </row>
    <row r="1419" spans="1:26" ht="13">
      <c r="A1419" s="24"/>
      <c r="B1419" s="9"/>
      <c r="C1419" s="19"/>
      <c r="D1419" s="19"/>
      <c r="E1419" s="19"/>
      <c r="F1419" s="19"/>
      <c r="G1419" s="19"/>
      <c r="H1419" s="19"/>
      <c r="I1419" s="19"/>
      <c r="J1419" s="19"/>
      <c r="K1419" s="4"/>
      <c r="L1419" s="10"/>
      <c r="M1419" s="19"/>
      <c r="N1419" s="19"/>
      <c r="O1419" s="19"/>
      <c r="P1419" s="11"/>
      <c r="Q1419" s="11"/>
      <c r="R1419" s="12"/>
      <c r="S1419" s="12"/>
      <c r="T1419" s="12"/>
      <c r="U1419" s="12"/>
      <c r="V1419" s="12"/>
      <c r="W1419" s="12"/>
      <c r="X1419" s="12"/>
      <c r="Y1419" s="12"/>
      <c r="Z1419" s="12"/>
    </row>
    <row r="1420" spans="1:26" ht="13">
      <c r="A1420" s="24"/>
      <c r="B1420" s="9"/>
      <c r="C1420" s="19"/>
      <c r="D1420" s="19"/>
      <c r="E1420" s="19"/>
      <c r="F1420" s="19"/>
      <c r="G1420" s="19"/>
      <c r="H1420" s="19"/>
      <c r="I1420" s="19"/>
      <c r="J1420" s="19"/>
      <c r="K1420" s="4"/>
      <c r="L1420" s="10"/>
      <c r="M1420" s="19"/>
      <c r="N1420" s="19"/>
      <c r="O1420" s="19"/>
      <c r="P1420" s="11"/>
      <c r="Q1420" s="11"/>
      <c r="R1420" s="12"/>
      <c r="S1420" s="12"/>
      <c r="T1420" s="12"/>
      <c r="U1420" s="12"/>
      <c r="V1420" s="12"/>
      <c r="W1420" s="12"/>
      <c r="X1420" s="12"/>
      <c r="Y1420" s="12"/>
      <c r="Z1420" s="12"/>
    </row>
    <row r="1421" spans="1:26" ht="13">
      <c r="A1421" s="24"/>
      <c r="B1421" s="9"/>
      <c r="C1421" s="19"/>
      <c r="D1421" s="19"/>
      <c r="E1421" s="19"/>
      <c r="F1421" s="19"/>
      <c r="G1421" s="19"/>
      <c r="H1421" s="19"/>
      <c r="I1421" s="19"/>
      <c r="J1421" s="19"/>
      <c r="K1421" s="4"/>
      <c r="L1421" s="10"/>
      <c r="M1421" s="19"/>
      <c r="N1421" s="19"/>
      <c r="O1421" s="19"/>
      <c r="P1421" s="11"/>
      <c r="Q1421" s="11"/>
      <c r="R1421" s="12"/>
      <c r="S1421" s="12"/>
      <c r="T1421" s="12"/>
      <c r="U1421" s="12"/>
      <c r="V1421" s="12"/>
      <c r="W1421" s="12"/>
      <c r="X1421" s="12"/>
      <c r="Y1421" s="12"/>
      <c r="Z1421" s="12"/>
    </row>
    <row r="1422" spans="1:26" ht="13">
      <c r="A1422" s="24"/>
      <c r="B1422" s="9"/>
      <c r="C1422" s="19"/>
      <c r="D1422" s="19"/>
      <c r="E1422" s="19"/>
      <c r="F1422" s="19"/>
      <c r="G1422" s="19"/>
      <c r="H1422" s="19"/>
      <c r="I1422" s="19"/>
      <c r="J1422" s="19"/>
      <c r="K1422" s="4"/>
      <c r="L1422" s="10"/>
      <c r="M1422" s="19"/>
      <c r="N1422" s="19"/>
      <c r="O1422" s="19"/>
      <c r="P1422" s="11"/>
      <c r="Q1422" s="11"/>
      <c r="R1422" s="12"/>
      <c r="S1422" s="12"/>
      <c r="T1422" s="12"/>
      <c r="U1422" s="12"/>
      <c r="V1422" s="12"/>
      <c r="W1422" s="12"/>
      <c r="X1422" s="12"/>
      <c r="Y1422" s="12"/>
      <c r="Z1422" s="12"/>
    </row>
    <row r="1423" spans="1:26" ht="13">
      <c r="A1423" s="24"/>
      <c r="B1423" s="9"/>
      <c r="C1423" s="19"/>
      <c r="D1423" s="19"/>
      <c r="E1423" s="19"/>
      <c r="F1423" s="19"/>
      <c r="G1423" s="19"/>
      <c r="H1423" s="19"/>
      <c r="I1423" s="19"/>
      <c r="J1423" s="19"/>
      <c r="K1423" s="4"/>
      <c r="L1423" s="10"/>
      <c r="M1423" s="19"/>
      <c r="N1423" s="19"/>
      <c r="O1423" s="19"/>
      <c r="P1423" s="11"/>
      <c r="Q1423" s="11"/>
      <c r="R1423" s="12"/>
      <c r="S1423" s="12"/>
      <c r="T1423" s="12"/>
      <c r="U1423" s="12"/>
      <c r="V1423" s="12"/>
      <c r="W1423" s="12"/>
      <c r="X1423" s="12"/>
      <c r="Y1423" s="12"/>
      <c r="Z1423" s="12"/>
    </row>
    <row r="1424" spans="1:26" ht="13">
      <c r="A1424" s="24"/>
      <c r="B1424" s="9"/>
      <c r="C1424" s="19"/>
      <c r="D1424" s="19"/>
      <c r="E1424" s="19"/>
      <c r="F1424" s="19"/>
      <c r="G1424" s="19"/>
      <c r="H1424" s="19"/>
      <c r="I1424" s="19"/>
      <c r="J1424" s="19"/>
      <c r="K1424" s="4"/>
      <c r="L1424" s="10"/>
      <c r="M1424" s="19"/>
      <c r="N1424" s="19"/>
      <c r="O1424" s="19"/>
      <c r="P1424" s="11"/>
      <c r="Q1424" s="11"/>
      <c r="R1424" s="12"/>
      <c r="S1424" s="12"/>
      <c r="T1424" s="12"/>
      <c r="U1424" s="12"/>
      <c r="V1424" s="12"/>
      <c r="W1424" s="12"/>
      <c r="X1424" s="12"/>
      <c r="Y1424" s="12"/>
      <c r="Z1424" s="12"/>
    </row>
    <row r="1425" spans="1:26" ht="13">
      <c r="A1425" s="24"/>
      <c r="B1425" s="9"/>
      <c r="C1425" s="19"/>
      <c r="D1425" s="19"/>
      <c r="E1425" s="19"/>
      <c r="F1425" s="19"/>
      <c r="G1425" s="19"/>
      <c r="H1425" s="19"/>
      <c r="I1425" s="19"/>
      <c r="J1425" s="19"/>
      <c r="K1425" s="4"/>
      <c r="L1425" s="10"/>
      <c r="M1425" s="19"/>
      <c r="N1425" s="19"/>
      <c r="O1425" s="19"/>
      <c r="P1425" s="11"/>
      <c r="Q1425" s="11"/>
      <c r="R1425" s="12"/>
      <c r="S1425" s="12"/>
      <c r="T1425" s="12"/>
      <c r="U1425" s="12"/>
      <c r="V1425" s="12"/>
      <c r="W1425" s="12"/>
      <c r="X1425" s="12"/>
      <c r="Y1425" s="12"/>
      <c r="Z1425" s="12"/>
    </row>
    <row r="1426" spans="1:26" ht="13">
      <c r="A1426" s="24"/>
      <c r="B1426" s="9"/>
      <c r="C1426" s="19"/>
      <c r="D1426" s="19"/>
      <c r="E1426" s="19"/>
      <c r="F1426" s="19"/>
      <c r="G1426" s="19"/>
      <c r="H1426" s="19"/>
      <c r="I1426" s="19"/>
      <c r="J1426" s="19"/>
      <c r="K1426" s="4"/>
      <c r="L1426" s="10"/>
      <c r="M1426" s="19"/>
      <c r="N1426" s="19"/>
      <c r="O1426" s="19"/>
      <c r="P1426" s="11"/>
      <c r="Q1426" s="11"/>
      <c r="R1426" s="12"/>
      <c r="S1426" s="12"/>
      <c r="T1426" s="12"/>
      <c r="U1426" s="12"/>
      <c r="V1426" s="12"/>
      <c r="W1426" s="12"/>
      <c r="X1426" s="12"/>
      <c r="Y1426" s="12"/>
      <c r="Z1426" s="12"/>
    </row>
    <row r="1427" spans="1:26" ht="13">
      <c r="A1427" s="24"/>
      <c r="B1427" s="9"/>
      <c r="C1427" s="19"/>
      <c r="D1427" s="19"/>
      <c r="E1427" s="19"/>
      <c r="F1427" s="19"/>
      <c r="G1427" s="19"/>
      <c r="H1427" s="19"/>
      <c r="I1427" s="19"/>
      <c r="J1427" s="19"/>
      <c r="K1427" s="4"/>
      <c r="L1427" s="10"/>
      <c r="M1427" s="19"/>
      <c r="N1427" s="19"/>
      <c r="O1427" s="19"/>
      <c r="P1427" s="11"/>
      <c r="Q1427" s="11"/>
      <c r="R1427" s="12"/>
      <c r="S1427" s="12"/>
      <c r="T1427" s="12"/>
      <c r="U1427" s="12"/>
      <c r="V1427" s="12"/>
      <c r="W1427" s="12"/>
      <c r="X1427" s="12"/>
      <c r="Y1427" s="12"/>
      <c r="Z1427" s="12"/>
    </row>
    <row r="1428" spans="1:26" ht="13">
      <c r="A1428" s="24"/>
      <c r="B1428" s="9"/>
      <c r="C1428" s="19"/>
      <c r="D1428" s="19"/>
      <c r="E1428" s="19"/>
      <c r="F1428" s="19"/>
      <c r="G1428" s="19"/>
      <c r="H1428" s="19"/>
      <c r="I1428" s="19"/>
      <c r="J1428" s="19"/>
      <c r="K1428" s="4"/>
      <c r="L1428" s="10"/>
      <c r="M1428" s="19"/>
      <c r="N1428" s="19"/>
      <c r="O1428" s="19"/>
      <c r="P1428" s="11"/>
      <c r="Q1428" s="11"/>
      <c r="R1428" s="12"/>
      <c r="S1428" s="12"/>
      <c r="T1428" s="12"/>
      <c r="U1428" s="12"/>
      <c r="V1428" s="12"/>
      <c r="W1428" s="12"/>
      <c r="X1428" s="12"/>
      <c r="Y1428" s="12"/>
      <c r="Z1428" s="12"/>
    </row>
    <row r="1429" spans="1:26" ht="13">
      <c r="A1429" s="24"/>
      <c r="B1429" s="9"/>
      <c r="C1429" s="19"/>
      <c r="D1429" s="19"/>
      <c r="E1429" s="19"/>
      <c r="F1429" s="19"/>
      <c r="G1429" s="19"/>
      <c r="H1429" s="19"/>
      <c r="I1429" s="19"/>
      <c r="J1429" s="19"/>
      <c r="K1429" s="4"/>
      <c r="L1429" s="10"/>
      <c r="M1429" s="19"/>
      <c r="N1429" s="19"/>
      <c r="O1429" s="19"/>
      <c r="P1429" s="11"/>
      <c r="Q1429" s="11"/>
      <c r="R1429" s="12"/>
      <c r="S1429" s="12"/>
      <c r="T1429" s="12"/>
      <c r="U1429" s="12"/>
      <c r="V1429" s="12"/>
      <c r="W1429" s="12"/>
      <c r="X1429" s="12"/>
      <c r="Y1429" s="12"/>
      <c r="Z1429" s="12"/>
    </row>
    <row r="1430" spans="1:26" ht="13">
      <c r="A1430" s="24"/>
      <c r="B1430" s="9"/>
      <c r="C1430" s="19"/>
      <c r="D1430" s="19"/>
      <c r="E1430" s="19"/>
      <c r="F1430" s="19"/>
      <c r="G1430" s="19"/>
      <c r="H1430" s="19"/>
      <c r="I1430" s="19"/>
      <c r="J1430" s="19"/>
      <c r="K1430" s="4"/>
      <c r="L1430" s="10"/>
      <c r="M1430" s="19"/>
      <c r="N1430" s="19"/>
      <c r="O1430" s="19"/>
      <c r="P1430" s="11"/>
      <c r="Q1430" s="11"/>
      <c r="R1430" s="12"/>
      <c r="S1430" s="12"/>
      <c r="T1430" s="12"/>
      <c r="U1430" s="12"/>
      <c r="V1430" s="12"/>
      <c r="W1430" s="12"/>
      <c r="X1430" s="12"/>
      <c r="Y1430" s="12"/>
      <c r="Z1430" s="12"/>
    </row>
    <row r="1431" spans="1:26" ht="13">
      <c r="A1431" s="24"/>
      <c r="B1431" s="9"/>
      <c r="C1431" s="19"/>
      <c r="D1431" s="19"/>
      <c r="E1431" s="19"/>
      <c r="F1431" s="19"/>
      <c r="G1431" s="19"/>
      <c r="H1431" s="19"/>
      <c r="I1431" s="19"/>
      <c r="J1431" s="19"/>
      <c r="K1431" s="4"/>
      <c r="L1431" s="10"/>
      <c r="M1431" s="19"/>
      <c r="N1431" s="19"/>
      <c r="O1431" s="19"/>
      <c r="P1431" s="11"/>
      <c r="Q1431" s="11"/>
      <c r="R1431" s="12"/>
      <c r="S1431" s="12"/>
      <c r="T1431" s="12"/>
      <c r="U1431" s="12"/>
      <c r="V1431" s="12"/>
      <c r="W1431" s="12"/>
      <c r="X1431" s="12"/>
      <c r="Y1431" s="12"/>
      <c r="Z1431" s="12"/>
    </row>
    <row r="1432" spans="1:26" ht="13">
      <c r="A1432" s="24"/>
      <c r="B1432" s="9"/>
      <c r="C1432" s="19"/>
      <c r="D1432" s="19"/>
      <c r="E1432" s="19"/>
      <c r="F1432" s="19"/>
      <c r="G1432" s="19"/>
      <c r="H1432" s="19"/>
      <c r="I1432" s="19"/>
      <c r="J1432" s="19"/>
      <c r="K1432" s="4"/>
      <c r="L1432" s="10"/>
      <c r="M1432" s="19"/>
      <c r="N1432" s="19"/>
      <c r="O1432" s="19"/>
      <c r="P1432" s="11"/>
      <c r="Q1432" s="11"/>
      <c r="R1432" s="12"/>
      <c r="S1432" s="12"/>
      <c r="T1432" s="12"/>
      <c r="U1432" s="12"/>
      <c r="V1432" s="12"/>
      <c r="W1432" s="12"/>
      <c r="X1432" s="12"/>
      <c r="Y1432" s="12"/>
      <c r="Z1432" s="12"/>
    </row>
    <row r="1433" spans="1:26" ht="13">
      <c r="A1433" s="24"/>
      <c r="B1433" s="9"/>
      <c r="C1433" s="19"/>
      <c r="D1433" s="19"/>
      <c r="E1433" s="19"/>
      <c r="F1433" s="19"/>
      <c r="G1433" s="19"/>
      <c r="H1433" s="19"/>
      <c r="I1433" s="19"/>
      <c r="J1433" s="19"/>
      <c r="K1433" s="4"/>
      <c r="L1433" s="10"/>
      <c r="M1433" s="19"/>
      <c r="N1433" s="19"/>
      <c r="O1433" s="19"/>
      <c r="P1433" s="11"/>
      <c r="Q1433" s="11"/>
      <c r="R1433" s="12"/>
      <c r="S1433" s="12"/>
      <c r="T1433" s="12"/>
      <c r="U1433" s="12"/>
      <c r="V1433" s="12"/>
      <c r="W1433" s="12"/>
      <c r="X1433" s="12"/>
      <c r="Y1433" s="12"/>
      <c r="Z1433" s="12"/>
    </row>
    <row r="1434" spans="1:26" ht="13">
      <c r="A1434" s="24"/>
      <c r="B1434" s="9"/>
      <c r="C1434" s="19"/>
      <c r="D1434" s="19"/>
      <c r="E1434" s="19"/>
      <c r="F1434" s="19"/>
      <c r="G1434" s="19"/>
      <c r="H1434" s="19"/>
      <c r="I1434" s="19"/>
      <c r="J1434" s="19"/>
      <c r="K1434" s="4"/>
      <c r="L1434" s="10"/>
      <c r="M1434" s="19"/>
      <c r="N1434" s="19"/>
      <c r="O1434" s="19"/>
      <c r="P1434" s="11"/>
      <c r="Q1434" s="11"/>
      <c r="R1434" s="12"/>
      <c r="S1434" s="12"/>
      <c r="T1434" s="12"/>
      <c r="U1434" s="12"/>
      <c r="V1434" s="12"/>
      <c r="W1434" s="12"/>
      <c r="X1434" s="12"/>
      <c r="Y1434" s="12"/>
      <c r="Z1434" s="12"/>
    </row>
    <row r="1435" spans="1:26" ht="13">
      <c r="A1435" s="24"/>
      <c r="B1435" s="9"/>
      <c r="C1435" s="19"/>
      <c r="D1435" s="19"/>
      <c r="E1435" s="19"/>
      <c r="F1435" s="19"/>
      <c r="G1435" s="19"/>
      <c r="H1435" s="19"/>
      <c r="I1435" s="19"/>
      <c r="J1435" s="19"/>
      <c r="K1435" s="4"/>
      <c r="L1435" s="10"/>
      <c r="M1435" s="19"/>
      <c r="N1435" s="19"/>
      <c r="O1435" s="19"/>
      <c r="P1435" s="11"/>
      <c r="Q1435" s="11"/>
      <c r="R1435" s="12"/>
      <c r="S1435" s="12"/>
      <c r="T1435" s="12"/>
      <c r="U1435" s="12"/>
      <c r="V1435" s="12"/>
      <c r="W1435" s="12"/>
      <c r="X1435" s="12"/>
      <c r="Y1435" s="12"/>
      <c r="Z1435" s="12"/>
    </row>
    <row r="1436" spans="1:26" ht="13">
      <c r="A1436" s="24"/>
      <c r="B1436" s="9"/>
      <c r="C1436" s="19"/>
      <c r="D1436" s="19"/>
      <c r="E1436" s="19"/>
      <c r="F1436" s="19"/>
      <c r="G1436" s="19"/>
      <c r="H1436" s="19"/>
      <c r="I1436" s="19"/>
      <c r="J1436" s="19"/>
      <c r="K1436" s="4"/>
      <c r="L1436" s="10"/>
      <c r="M1436" s="19"/>
      <c r="N1436" s="19"/>
      <c r="O1436" s="19"/>
      <c r="P1436" s="11"/>
      <c r="Q1436" s="11"/>
      <c r="R1436" s="12"/>
      <c r="S1436" s="12"/>
      <c r="T1436" s="12"/>
      <c r="U1436" s="12"/>
      <c r="V1436" s="12"/>
      <c r="W1436" s="12"/>
      <c r="X1436" s="12"/>
      <c r="Y1436" s="12"/>
      <c r="Z1436" s="12"/>
    </row>
    <row r="1437" spans="1:26" ht="13">
      <c r="A1437" s="24"/>
      <c r="B1437" s="9"/>
      <c r="C1437" s="19"/>
      <c r="D1437" s="19"/>
      <c r="E1437" s="19"/>
      <c r="F1437" s="19"/>
      <c r="G1437" s="19"/>
      <c r="H1437" s="19"/>
      <c r="I1437" s="19"/>
      <c r="J1437" s="19"/>
      <c r="K1437" s="4"/>
      <c r="L1437" s="10"/>
      <c r="M1437" s="19"/>
      <c r="N1437" s="19"/>
      <c r="O1437" s="19"/>
      <c r="P1437" s="11"/>
      <c r="Q1437" s="11"/>
      <c r="R1437" s="12"/>
      <c r="S1437" s="12"/>
      <c r="T1437" s="12"/>
      <c r="U1437" s="12"/>
      <c r="V1437" s="12"/>
      <c r="W1437" s="12"/>
      <c r="X1437" s="12"/>
      <c r="Y1437" s="12"/>
      <c r="Z1437" s="12"/>
    </row>
    <row r="1438" spans="1:26" ht="13">
      <c r="A1438" s="24"/>
      <c r="B1438" s="9"/>
      <c r="C1438" s="19"/>
      <c r="D1438" s="19"/>
      <c r="E1438" s="19"/>
      <c r="F1438" s="19"/>
      <c r="G1438" s="19"/>
      <c r="H1438" s="19"/>
      <c r="I1438" s="19"/>
      <c r="J1438" s="19"/>
      <c r="K1438" s="4"/>
      <c r="L1438" s="10"/>
      <c r="M1438" s="19"/>
      <c r="N1438" s="19"/>
      <c r="O1438" s="19"/>
      <c r="P1438" s="11"/>
      <c r="Q1438" s="11"/>
      <c r="R1438" s="12"/>
      <c r="S1438" s="12"/>
      <c r="T1438" s="12"/>
      <c r="U1438" s="12"/>
      <c r="V1438" s="12"/>
      <c r="W1438" s="12"/>
      <c r="X1438" s="12"/>
      <c r="Y1438" s="12"/>
      <c r="Z1438" s="12"/>
    </row>
    <row r="1439" spans="1:26" ht="13">
      <c r="A1439" s="24"/>
      <c r="B1439" s="9"/>
      <c r="C1439" s="19"/>
      <c r="D1439" s="19"/>
      <c r="E1439" s="19"/>
      <c r="F1439" s="19"/>
      <c r="G1439" s="19"/>
      <c r="H1439" s="19"/>
      <c r="I1439" s="19"/>
      <c r="J1439" s="19"/>
      <c r="K1439" s="4"/>
      <c r="L1439" s="10"/>
      <c r="M1439" s="19"/>
      <c r="N1439" s="19"/>
      <c r="O1439" s="19"/>
      <c r="P1439" s="11"/>
      <c r="Q1439" s="11"/>
      <c r="R1439" s="12"/>
      <c r="S1439" s="12"/>
      <c r="T1439" s="12"/>
      <c r="U1439" s="12"/>
      <c r="V1439" s="12"/>
      <c r="W1439" s="12"/>
      <c r="X1439" s="12"/>
      <c r="Y1439" s="12"/>
      <c r="Z1439" s="12"/>
    </row>
    <row r="1440" spans="1:26" ht="13">
      <c r="A1440" s="24"/>
      <c r="B1440" s="9"/>
      <c r="C1440" s="19"/>
      <c r="D1440" s="19"/>
      <c r="E1440" s="19"/>
      <c r="F1440" s="19"/>
      <c r="G1440" s="19"/>
      <c r="H1440" s="19"/>
      <c r="I1440" s="19"/>
      <c r="J1440" s="19"/>
      <c r="K1440" s="4"/>
      <c r="L1440" s="10"/>
      <c r="M1440" s="19"/>
      <c r="N1440" s="19"/>
      <c r="O1440" s="19"/>
      <c r="P1440" s="11"/>
      <c r="Q1440" s="11"/>
      <c r="R1440" s="12"/>
      <c r="S1440" s="12"/>
      <c r="T1440" s="12"/>
      <c r="U1440" s="12"/>
      <c r="V1440" s="12"/>
      <c r="W1440" s="12"/>
      <c r="X1440" s="12"/>
      <c r="Y1440" s="12"/>
      <c r="Z1440" s="12"/>
    </row>
    <row r="1441" spans="1:26" ht="13">
      <c r="A1441" s="24"/>
      <c r="B1441" s="9"/>
      <c r="C1441" s="19"/>
      <c r="D1441" s="19"/>
      <c r="E1441" s="19"/>
      <c r="F1441" s="19"/>
      <c r="G1441" s="19"/>
      <c r="H1441" s="19"/>
      <c r="I1441" s="19"/>
      <c r="J1441" s="19"/>
      <c r="K1441" s="4"/>
      <c r="L1441" s="10"/>
      <c r="M1441" s="19"/>
      <c r="N1441" s="19"/>
      <c r="O1441" s="19"/>
      <c r="P1441" s="11"/>
      <c r="Q1441" s="11"/>
      <c r="R1441" s="12"/>
      <c r="S1441" s="12"/>
      <c r="T1441" s="12"/>
      <c r="U1441" s="12"/>
      <c r="V1441" s="12"/>
      <c r="W1441" s="12"/>
      <c r="X1441" s="12"/>
      <c r="Y1441" s="12"/>
      <c r="Z1441" s="12"/>
    </row>
    <row r="1442" spans="1:26" ht="13">
      <c r="A1442" s="24"/>
      <c r="B1442" s="9"/>
      <c r="C1442" s="19"/>
      <c r="D1442" s="19"/>
      <c r="E1442" s="19"/>
      <c r="F1442" s="19"/>
      <c r="G1442" s="19"/>
      <c r="H1442" s="19"/>
      <c r="I1442" s="19"/>
      <c r="J1442" s="19"/>
      <c r="K1442" s="4"/>
      <c r="L1442" s="10"/>
      <c r="M1442" s="19"/>
      <c r="N1442" s="19"/>
      <c r="O1442" s="19"/>
      <c r="P1442" s="11"/>
      <c r="Q1442" s="11"/>
      <c r="R1442" s="12"/>
      <c r="S1442" s="12"/>
      <c r="T1442" s="12"/>
      <c r="U1442" s="12"/>
      <c r="V1442" s="12"/>
      <c r="W1442" s="12"/>
      <c r="X1442" s="12"/>
      <c r="Y1442" s="12"/>
      <c r="Z1442" s="12"/>
    </row>
    <row r="1443" spans="1:26" ht="13">
      <c r="A1443" s="24"/>
      <c r="B1443" s="9"/>
      <c r="C1443" s="19"/>
      <c r="D1443" s="19"/>
      <c r="E1443" s="19"/>
      <c r="F1443" s="19"/>
      <c r="G1443" s="19"/>
      <c r="H1443" s="19"/>
      <c r="I1443" s="19"/>
      <c r="J1443" s="19"/>
      <c r="K1443" s="4"/>
      <c r="L1443" s="10"/>
      <c r="M1443" s="19"/>
      <c r="N1443" s="19"/>
      <c r="O1443" s="19"/>
      <c r="P1443" s="11"/>
      <c r="Q1443" s="11"/>
      <c r="R1443" s="12"/>
      <c r="S1443" s="12"/>
      <c r="T1443" s="12"/>
      <c r="U1443" s="12"/>
      <c r="V1443" s="12"/>
      <c r="W1443" s="12"/>
      <c r="X1443" s="12"/>
      <c r="Y1443" s="12"/>
      <c r="Z1443" s="12"/>
    </row>
    <row r="1444" spans="1:26" ht="13">
      <c r="A1444" s="24"/>
      <c r="B1444" s="9"/>
      <c r="C1444" s="19"/>
      <c r="D1444" s="19"/>
      <c r="E1444" s="19"/>
      <c r="F1444" s="19"/>
      <c r="G1444" s="19"/>
      <c r="H1444" s="19"/>
      <c r="I1444" s="19"/>
      <c r="J1444" s="19"/>
      <c r="K1444" s="4"/>
      <c r="L1444" s="10"/>
      <c r="M1444" s="19"/>
      <c r="N1444" s="19"/>
      <c r="O1444" s="19"/>
      <c r="P1444" s="11"/>
      <c r="Q1444" s="11"/>
      <c r="R1444" s="12"/>
      <c r="S1444" s="12"/>
      <c r="T1444" s="12"/>
      <c r="U1444" s="12"/>
      <c r="V1444" s="12"/>
      <c r="W1444" s="12"/>
      <c r="X1444" s="12"/>
      <c r="Y1444" s="12"/>
      <c r="Z1444" s="12"/>
    </row>
    <row r="1445" spans="1:26" ht="13">
      <c r="A1445" s="24"/>
      <c r="B1445" s="9"/>
      <c r="C1445" s="19"/>
      <c r="D1445" s="19"/>
      <c r="E1445" s="19"/>
      <c r="F1445" s="19"/>
      <c r="G1445" s="19"/>
      <c r="H1445" s="19"/>
      <c r="I1445" s="19"/>
      <c r="J1445" s="19"/>
      <c r="K1445" s="4"/>
      <c r="L1445" s="10"/>
      <c r="M1445" s="19"/>
      <c r="N1445" s="19"/>
      <c r="O1445" s="19"/>
      <c r="P1445" s="11"/>
      <c r="Q1445" s="11"/>
      <c r="R1445" s="12"/>
      <c r="S1445" s="12"/>
      <c r="T1445" s="12"/>
      <c r="U1445" s="12"/>
      <c r="V1445" s="12"/>
      <c r="W1445" s="12"/>
      <c r="X1445" s="12"/>
      <c r="Y1445" s="12"/>
      <c r="Z1445" s="12"/>
    </row>
    <row r="1446" spans="1:26" ht="13">
      <c r="A1446" s="24"/>
      <c r="B1446" s="9"/>
      <c r="C1446" s="19"/>
      <c r="D1446" s="19"/>
      <c r="E1446" s="19"/>
      <c r="F1446" s="19"/>
      <c r="G1446" s="19"/>
      <c r="H1446" s="19"/>
      <c r="I1446" s="19"/>
      <c r="J1446" s="19"/>
      <c r="K1446" s="4"/>
      <c r="L1446" s="10"/>
      <c r="M1446" s="19"/>
      <c r="N1446" s="19"/>
      <c r="O1446" s="19"/>
      <c r="P1446" s="11"/>
      <c r="Q1446" s="11"/>
      <c r="R1446" s="12"/>
      <c r="S1446" s="12"/>
      <c r="T1446" s="12"/>
      <c r="U1446" s="12"/>
      <c r="V1446" s="12"/>
      <c r="W1446" s="12"/>
      <c r="X1446" s="12"/>
      <c r="Y1446" s="12"/>
      <c r="Z1446" s="12"/>
    </row>
    <row r="1447" spans="1:26" ht="13">
      <c r="A1447" s="24"/>
      <c r="B1447" s="9"/>
      <c r="C1447" s="19"/>
      <c r="D1447" s="19"/>
      <c r="E1447" s="19"/>
      <c r="F1447" s="19"/>
      <c r="G1447" s="19"/>
      <c r="H1447" s="19"/>
      <c r="I1447" s="19"/>
      <c r="J1447" s="19"/>
      <c r="K1447" s="4"/>
      <c r="L1447" s="10"/>
      <c r="M1447" s="19"/>
      <c r="N1447" s="19"/>
      <c r="O1447" s="19"/>
      <c r="P1447" s="11"/>
      <c r="Q1447" s="11"/>
      <c r="R1447" s="12"/>
      <c r="S1447" s="12"/>
      <c r="T1447" s="12"/>
      <c r="U1447" s="12"/>
      <c r="V1447" s="12"/>
      <c r="W1447" s="12"/>
      <c r="X1447" s="12"/>
      <c r="Y1447" s="12"/>
      <c r="Z1447" s="12"/>
    </row>
    <row r="1448" spans="1:26" ht="13">
      <c r="A1448" s="24"/>
      <c r="B1448" s="9"/>
      <c r="C1448" s="19"/>
      <c r="D1448" s="19"/>
      <c r="E1448" s="19"/>
      <c r="F1448" s="19"/>
      <c r="G1448" s="19"/>
      <c r="H1448" s="19"/>
      <c r="I1448" s="19"/>
      <c r="J1448" s="19"/>
      <c r="K1448" s="4"/>
      <c r="L1448" s="10"/>
      <c r="M1448" s="19"/>
      <c r="N1448" s="19"/>
      <c r="O1448" s="19"/>
      <c r="P1448" s="11"/>
      <c r="Q1448" s="11"/>
      <c r="R1448" s="12"/>
      <c r="S1448" s="12"/>
      <c r="T1448" s="12"/>
      <c r="U1448" s="12"/>
      <c r="V1448" s="12"/>
      <c r="W1448" s="12"/>
      <c r="X1448" s="12"/>
      <c r="Y1448" s="12"/>
      <c r="Z1448" s="12"/>
    </row>
    <row r="1449" spans="1:26" ht="13">
      <c r="A1449" s="24"/>
      <c r="B1449" s="9"/>
      <c r="C1449" s="19"/>
      <c r="D1449" s="19"/>
      <c r="E1449" s="19"/>
      <c r="F1449" s="19"/>
      <c r="G1449" s="19"/>
      <c r="H1449" s="19"/>
      <c r="I1449" s="19"/>
      <c r="J1449" s="19"/>
      <c r="K1449" s="4"/>
      <c r="L1449" s="10"/>
      <c r="M1449" s="19"/>
      <c r="N1449" s="19"/>
      <c r="O1449" s="19"/>
      <c r="P1449" s="11"/>
      <c r="Q1449" s="11"/>
      <c r="R1449" s="12"/>
      <c r="S1449" s="12"/>
      <c r="T1449" s="12"/>
      <c r="U1449" s="12"/>
      <c r="V1449" s="12"/>
      <c r="W1449" s="12"/>
      <c r="X1449" s="12"/>
      <c r="Y1449" s="12"/>
      <c r="Z1449" s="12"/>
    </row>
    <row r="1450" spans="1:26" ht="13">
      <c r="A1450" s="24"/>
      <c r="B1450" s="9"/>
      <c r="C1450" s="19"/>
      <c r="D1450" s="19"/>
      <c r="E1450" s="19"/>
      <c r="F1450" s="19"/>
      <c r="G1450" s="19"/>
      <c r="H1450" s="19"/>
      <c r="I1450" s="19"/>
      <c r="J1450" s="19"/>
      <c r="K1450" s="4"/>
      <c r="L1450" s="10"/>
      <c r="M1450" s="19"/>
      <c r="N1450" s="19"/>
      <c r="O1450" s="19"/>
      <c r="P1450" s="11"/>
      <c r="Q1450" s="11"/>
      <c r="R1450" s="12"/>
      <c r="S1450" s="12"/>
      <c r="T1450" s="12"/>
      <c r="U1450" s="12"/>
      <c r="V1450" s="12"/>
      <c r="W1450" s="12"/>
      <c r="X1450" s="12"/>
      <c r="Y1450" s="12"/>
      <c r="Z1450" s="12"/>
    </row>
    <row r="1451" spans="1:26" ht="13">
      <c r="A1451" s="24"/>
      <c r="B1451" s="9"/>
      <c r="C1451" s="19"/>
      <c r="D1451" s="19"/>
      <c r="E1451" s="19"/>
      <c r="F1451" s="19"/>
      <c r="G1451" s="19"/>
      <c r="H1451" s="19"/>
      <c r="I1451" s="19"/>
      <c r="J1451" s="19"/>
      <c r="K1451" s="4"/>
      <c r="L1451" s="10"/>
      <c r="M1451" s="19"/>
      <c r="N1451" s="19"/>
      <c r="O1451" s="19"/>
      <c r="P1451" s="11"/>
      <c r="Q1451" s="11"/>
      <c r="R1451" s="12"/>
      <c r="S1451" s="12"/>
      <c r="T1451" s="12"/>
      <c r="U1451" s="12"/>
      <c r="V1451" s="12"/>
      <c r="W1451" s="12"/>
      <c r="X1451" s="12"/>
      <c r="Y1451" s="12"/>
      <c r="Z1451" s="12"/>
    </row>
    <row r="1452" spans="1:26" ht="13">
      <c r="A1452" s="24"/>
      <c r="B1452" s="9"/>
      <c r="C1452" s="19"/>
      <c r="D1452" s="19"/>
      <c r="E1452" s="19"/>
      <c r="F1452" s="19"/>
      <c r="G1452" s="19"/>
      <c r="H1452" s="19"/>
      <c r="I1452" s="19"/>
      <c r="J1452" s="19"/>
      <c r="K1452" s="4"/>
      <c r="L1452" s="10"/>
      <c r="M1452" s="19"/>
      <c r="N1452" s="19"/>
      <c r="O1452" s="19"/>
      <c r="P1452" s="11"/>
      <c r="Q1452" s="11"/>
      <c r="R1452" s="12"/>
      <c r="S1452" s="12"/>
      <c r="T1452" s="12"/>
      <c r="U1452" s="12"/>
      <c r="V1452" s="12"/>
      <c r="W1452" s="12"/>
      <c r="X1452" s="12"/>
      <c r="Y1452" s="12"/>
      <c r="Z1452" s="12"/>
    </row>
    <row r="1453" spans="1:26" ht="13">
      <c r="A1453" s="24"/>
      <c r="B1453" s="9"/>
      <c r="C1453" s="19"/>
      <c r="D1453" s="19"/>
      <c r="E1453" s="19"/>
      <c r="F1453" s="19"/>
      <c r="G1453" s="19"/>
      <c r="H1453" s="19"/>
      <c r="I1453" s="19"/>
      <c r="J1453" s="19"/>
      <c r="K1453" s="4"/>
      <c r="L1453" s="10"/>
      <c r="M1453" s="19"/>
      <c r="N1453" s="19"/>
      <c r="O1453" s="19"/>
      <c r="P1453" s="11"/>
      <c r="Q1453" s="11"/>
      <c r="R1453" s="12"/>
      <c r="S1453" s="12"/>
      <c r="T1453" s="12"/>
      <c r="U1453" s="12"/>
      <c r="V1453" s="12"/>
      <c r="W1453" s="12"/>
      <c r="X1453" s="12"/>
      <c r="Y1453" s="12"/>
      <c r="Z1453" s="12"/>
    </row>
    <row r="1454" spans="1:26" ht="13">
      <c r="A1454" s="24"/>
      <c r="B1454" s="9"/>
      <c r="C1454" s="19"/>
      <c r="D1454" s="19"/>
      <c r="E1454" s="19"/>
      <c r="F1454" s="19"/>
      <c r="G1454" s="19"/>
      <c r="H1454" s="19"/>
      <c r="I1454" s="19"/>
      <c r="J1454" s="19"/>
      <c r="K1454" s="4"/>
      <c r="L1454" s="10"/>
      <c r="M1454" s="19"/>
      <c r="N1454" s="19"/>
      <c r="O1454" s="19"/>
      <c r="P1454" s="11"/>
      <c r="Q1454" s="11"/>
      <c r="R1454" s="12"/>
      <c r="S1454" s="12"/>
      <c r="T1454" s="12"/>
      <c r="U1454" s="12"/>
      <c r="V1454" s="12"/>
      <c r="W1454" s="12"/>
      <c r="X1454" s="12"/>
      <c r="Y1454" s="12"/>
      <c r="Z1454" s="12"/>
    </row>
    <row r="1455" spans="1:26" ht="13">
      <c r="A1455" s="24"/>
      <c r="B1455" s="9"/>
      <c r="C1455" s="19"/>
      <c r="D1455" s="19"/>
      <c r="E1455" s="19"/>
      <c r="F1455" s="19"/>
      <c r="G1455" s="19"/>
      <c r="H1455" s="19"/>
      <c r="I1455" s="19"/>
      <c r="J1455" s="19"/>
      <c r="K1455" s="4"/>
      <c r="L1455" s="10"/>
      <c r="M1455" s="19"/>
      <c r="N1455" s="19"/>
      <c r="O1455" s="19"/>
      <c r="P1455" s="11"/>
      <c r="Q1455" s="11"/>
      <c r="R1455" s="12"/>
      <c r="S1455" s="12"/>
      <c r="T1455" s="12"/>
      <c r="U1455" s="12"/>
      <c r="V1455" s="12"/>
      <c r="W1455" s="12"/>
      <c r="X1455" s="12"/>
      <c r="Y1455" s="12"/>
      <c r="Z1455" s="12"/>
    </row>
    <row r="1456" spans="1:26" ht="13">
      <c r="A1456" s="24"/>
      <c r="B1456" s="9"/>
      <c r="C1456" s="19"/>
      <c r="D1456" s="19"/>
      <c r="E1456" s="19"/>
      <c r="F1456" s="19"/>
      <c r="G1456" s="19"/>
      <c r="H1456" s="19"/>
      <c r="I1456" s="19"/>
      <c r="J1456" s="19"/>
      <c r="K1456" s="4"/>
      <c r="L1456" s="10"/>
      <c r="M1456" s="19"/>
      <c r="N1456" s="19"/>
      <c r="O1456" s="19"/>
      <c r="P1456" s="11"/>
      <c r="Q1456" s="11"/>
      <c r="R1456" s="12"/>
      <c r="S1456" s="12"/>
      <c r="T1456" s="12"/>
      <c r="U1456" s="12"/>
      <c r="V1456" s="12"/>
      <c r="W1456" s="12"/>
      <c r="X1456" s="12"/>
      <c r="Y1456" s="12"/>
      <c r="Z1456" s="12"/>
    </row>
    <row r="1457" spans="1:26" ht="13">
      <c r="A1457" s="24"/>
      <c r="B1457" s="9"/>
      <c r="C1457" s="19"/>
      <c r="D1457" s="19"/>
      <c r="E1457" s="19"/>
      <c r="F1457" s="19"/>
      <c r="G1457" s="19"/>
      <c r="H1457" s="19"/>
      <c r="I1457" s="19"/>
      <c r="J1457" s="19"/>
      <c r="K1457" s="4"/>
      <c r="L1457" s="10"/>
      <c r="M1457" s="19"/>
      <c r="N1457" s="19"/>
      <c r="O1457" s="19"/>
      <c r="P1457" s="11"/>
      <c r="Q1457" s="11"/>
      <c r="R1457" s="12"/>
      <c r="S1457" s="12"/>
      <c r="T1457" s="12"/>
      <c r="U1457" s="12"/>
      <c r="V1457" s="12"/>
      <c r="W1457" s="12"/>
      <c r="X1457" s="12"/>
      <c r="Y1457" s="12"/>
      <c r="Z1457" s="12"/>
    </row>
    <row r="1458" spans="1:26" ht="13">
      <c r="A1458" s="24"/>
      <c r="B1458" s="9"/>
      <c r="C1458" s="19"/>
      <c r="D1458" s="19"/>
      <c r="E1458" s="19"/>
      <c r="F1458" s="19"/>
      <c r="G1458" s="19"/>
      <c r="H1458" s="19"/>
      <c r="I1458" s="19"/>
      <c r="J1458" s="19"/>
      <c r="K1458" s="4"/>
      <c r="L1458" s="10"/>
      <c r="M1458" s="19"/>
      <c r="N1458" s="19"/>
      <c r="O1458" s="19"/>
      <c r="P1458" s="11"/>
      <c r="Q1458" s="11"/>
      <c r="R1458" s="12"/>
      <c r="S1458" s="12"/>
      <c r="T1458" s="12"/>
      <c r="U1458" s="12"/>
      <c r="V1458" s="12"/>
      <c r="W1458" s="12"/>
      <c r="X1458" s="12"/>
      <c r="Y1458" s="12"/>
      <c r="Z1458" s="12"/>
    </row>
    <row r="1459" spans="1:26" ht="13">
      <c r="A1459" s="24"/>
      <c r="B1459" s="9"/>
      <c r="C1459" s="19"/>
      <c r="D1459" s="19"/>
      <c r="E1459" s="19"/>
      <c r="F1459" s="19"/>
      <c r="G1459" s="19"/>
      <c r="H1459" s="19"/>
      <c r="I1459" s="19"/>
      <c r="J1459" s="19"/>
      <c r="K1459" s="4"/>
      <c r="L1459" s="10"/>
      <c r="M1459" s="19"/>
      <c r="N1459" s="19"/>
      <c r="O1459" s="19"/>
      <c r="P1459" s="11"/>
      <c r="Q1459" s="11"/>
      <c r="R1459" s="12"/>
      <c r="S1459" s="12"/>
      <c r="T1459" s="12"/>
      <c r="U1459" s="12"/>
      <c r="V1459" s="12"/>
      <c r="W1459" s="12"/>
      <c r="X1459" s="12"/>
      <c r="Y1459" s="12"/>
      <c r="Z1459" s="12"/>
    </row>
    <row r="1460" spans="1:26" ht="13">
      <c r="A1460" s="24"/>
      <c r="B1460" s="9"/>
      <c r="C1460" s="19"/>
      <c r="D1460" s="19"/>
      <c r="E1460" s="19"/>
      <c r="F1460" s="19"/>
      <c r="G1460" s="19"/>
      <c r="H1460" s="19"/>
      <c r="I1460" s="19"/>
      <c r="J1460" s="19"/>
      <c r="K1460" s="4"/>
      <c r="L1460" s="10"/>
      <c r="M1460" s="19"/>
      <c r="N1460" s="19"/>
      <c r="O1460" s="19"/>
      <c r="P1460" s="11"/>
      <c r="Q1460" s="11"/>
      <c r="R1460" s="12"/>
      <c r="S1460" s="12"/>
      <c r="T1460" s="12"/>
      <c r="U1460" s="12"/>
      <c r="V1460" s="12"/>
      <c r="W1460" s="12"/>
      <c r="X1460" s="12"/>
      <c r="Y1460" s="12"/>
      <c r="Z1460" s="12"/>
    </row>
    <row r="1461" spans="1:26" ht="13">
      <c r="A1461" s="24"/>
      <c r="B1461" s="9"/>
      <c r="C1461" s="19"/>
      <c r="D1461" s="19"/>
      <c r="E1461" s="19"/>
      <c r="F1461" s="19"/>
      <c r="G1461" s="19"/>
      <c r="H1461" s="19"/>
      <c r="I1461" s="19"/>
      <c r="J1461" s="19"/>
      <c r="K1461" s="4"/>
      <c r="L1461" s="10"/>
      <c r="M1461" s="19"/>
      <c r="N1461" s="19"/>
      <c r="O1461" s="19"/>
      <c r="P1461" s="11"/>
      <c r="Q1461" s="11"/>
      <c r="R1461" s="12"/>
      <c r="S1461" s="12"/>
      <c r="T1461" s="12"/>
      <c r="U1461" s="12"/>
      <c r="V1461" s="12"/>
      <c r="W1461" s="12"/>
      <c r="X1461" s="12"/>
      <c r="Y1461" s="12"/>
      <c r="Z1461" s="12"/>
    </row>
  </sheetData>
  <hyperlinks>
    <hyperlink ref="A492" r:id="rId1" xr:uid="{00000000-0004-0000-0400-000000000000}"/>
    <hyperlink ref="A497" r:id="rId2" xr:uid="{00000000-0004-0000-0400-000001000000}"/>
    <hyperlink ref="A502" r:id="rId3" xr:uid="{00000000-0004-0000-0400-000002000000}"/>
    <hyperlink ref="A507" r:id="rId4" xr:uid="{00000000-0004-0000-0400-000003000000}"/>
    <hyperlink ref="A512" r:id="rId5" xr:uid="{00000000-0004-0000-0400-000004000000}"/>
    <hyperlink ref="A517" r:id="rId6" xr:uid="{00000000-0004-0000-0400-000005000000}"/>
    <hyperlink ref="A522" r:id="rId7" xr:uid="{00000000-0004-0000-0400-000006000000}"/>
    <hyperlink ref="A527" r:id="rId8" xr:uid="{00000000-0004-0000-0400-000007000000}"/>
    <hyperlink ref="A532" r:id="rId9" xr:uid="{00000000-0004-0000-0400-000008000000}"/>
    <hyperlink ref="A537" r:id="rId10" xr:uid="{00000000-0004-0000-0400-000009000000}"/>
    <hyperlink ref="A542" r:id="rId11" xr:uid="{00000000-0004-0000-0400-00000A000000}"/>
    <hyperlink ref="A547" r:id="rId12" xr:uid="{00000000-0004-0000-0400-00000B000000}"/>
    <hyperlink ref="A552" r:id="rId13" xr:uid="{00000000-0004-0000-0400-00000C000000}"/>
    <hyperlink ref="A557" r:id="rId14" xr:uid="{00000000-0004-0000-0400-00000D000000}"/>
    <hyperlink ref="A562" r:id="rId15" xr:uid="{00000000-0004-0000-0400-00000E000000}"/>
    <hyperlink ref="A567" r:id="rId16" xr:uid="{00000000-0004-0000-0400-00000F000000}"/>
    <hyperlink ref="A572" r:id="rId17" xr:uid="{00000000-0004-0000-0400-000010000000}"/>
    <hyperlink ref="A577" r:id="rId18" xr:uid="{00000000-0004-0000-0400-000011000000}"/>
    <hyperlink ref="A582" r:id="rId19" xr:uid="{00000000-0004-0000-0400-000012000000}"/>
    <hyperlink ref="A587" r:id="rId20" xr:uid="{00000000-0004-0000-0400-000013000000}"/>
    <hyperlink ref="A592" r:id="rId21" xr:uid="{00000000-0004-0000-0400-000014000000}"/>
    <hyperlink ref="A597" r:id="rId22" xr:uid="{00000000-0004-0000-0400-000015000000}"/>
    <hyperlink ref="A602" r:id="rId23" xr:uid="{00000000-0004-0000-0400-000016000000}"/>
    <hyperlink ref="A607" r:id="rId24" xr:uid="{00000000-0004-0000-0400-000017000000}"/>
    <hyperlink ref="A612" r:id="rId25" xr:uid="{00000000-0004-0000-0400-000018000000}"/>
    <hyperlink ref="A617" r:id="rId26" xr:uid="{00000000-0004-0000-0400-000019000000}"/>
    <hyperlink ref="A622" r:id="rId27" xr:uid="{00000000-0004-0000-0400-00001A000000}"/>
    <hyperlink ref="A627" r:id="rId28" xr:uid="{00000000-0004-0000-0400-00001B000000}"/>
    <hyperlink ref="A632" r:id="rId29" xr:uid="{00000000-0004-0000-0400-00001C000000}"/>
    <hyperlink ref="A637" r:id="rId30" xr:uid="{00000000-0004-0000-0400-00001D000000}"/>
    <hyperlink ref="A642" r:id="rId31" xr:uid="{00000000-0004-0000-0400-00001E000000}"/>
    <hyperlink ref="A647" r:id="rId32" xr:uid="{00000000-0004-0000-0400-00001F000000}"/>
    <hyperlink ref="A652" r:id="rId33" xr:uid="{00000000-0004-0000-0400-000020000000}"/>
    <hyperlink ref="A657" r:id="rId34" xr:uid="{00000000-0004-0000-0400-000021000000}"/>
    <hyperlink ref="A662" r:id="rId35" xr:uid="{00000000-0004-0000-0400-000022000000}"/>
    <hyperlink ref="A667" r:id="rId36" xr:uid="{00000000-0004-0000-0400-000023000000}"/>
    <hyperlink ref="A677" r:id="rId37" xr:uid="{00000000-0004-0000-0400-000025000000}"/>
    <hyperlink ref="A852" r:id="rId38" xr:uid="{00000000-0004-0000-0400-000026000000}"/>
    <hyperlink ref="A857" r:id="rId39" xr:uid="{00000000-0004-0000-0400-000027000000}"/>
    <hyperlink ref="A862" r:id="rId40" xr:uid="{00000000-0004-0000-0400-000028000000}"/>
    <hyperlink ref="A867" r:id="rId41" xr:uid="{00000000-0004-0000-0400-000029000000}"/>
    <hyperlink ref="A872" r:id="rId42" xr:uid="{00000000-0004-0000-0400-00002A000000}"/>
  </hyperlinks>
  <pageMargins left="0.7" right="0.7" top="0.75" bottom="0.75" header="0.3" footer="0.3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470-EA2A-48F4-AA09-34FADE26758D}">
  <dimension ref="A1:R1016"/>
  <sheetViews>
    <sheetView workbookViewId="0">
      <selection activeCell="I1" sqref="I1"/>
    </sheetView>
  </sheetViews>
  <sheetFormatPr defaultRowHeight="12.5"/>
  <sheetData>
    <row r="1" spans="1:18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216</v>
      </c>
      <c r="I1" t="s">
        <v>11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2017</v>
      </c>
      <c r="C2">
        <v>-0.88732179074720929</v>
      </c>
      <c r="D2">
        <v>0.64490533547778051</v>
      </c>
      <c r="E2">
        <v>-80.66</v>
      </c>
      <c r="F2">
        <v>-698.57</v>
      </c>
      <c r="G2">
        <v>882.21</v>
      </c>
      <c r="H2">
        <v>0.1231</v>
      </c>
      <c r="I2">
        <v>2.0299999999999999E-2</v>
      </c>
      <c r="J2">
        <v>-1.7626131953428201E-2</v>
      </c>
      <c r="K2">
        <v>-0.15265419041292264</v>
      </c>
      <c r="L2">
        <v>0.1927839061571274</v>
      </c>
      <c r="M2">
        <v>-2.1697768434670115E-3</v>
      </c>
      <c r="N2">
        <v>-1.8791730839830777E-2</v>
      </c>
      <c r="O2">
        <v>2.3731698847942382E-2</v>
      </c>
      <c r="P2">
        <v>-3.5781047865459243E-4</v>
      </c>
      <c r="Q2">
        <v>-3.0988800653823294E-3</v>
      </c>
      <c r="R2">
        <v>3.9135132949896859E-3</v>
      </c>
    </row>
    <row r="3" spans="1:18">
      <c r="A3" t="s">
        <v>18</v>
      </c>
      <c r="B3">
        <v>2018</v>
      </c>
      <c r="C3">
        <v>-0.98798889793092737</v>
      </c>
      <c r="D3">
        <v>0.60417283711219161</v>
      </c>
      <c r="E3">
        <v>38.54</v>
      </c>
      <c r="F3">
        <v>-2628.23</v>
      </c>
      <c r="G3">
        <v>2725.76</v>
      </c>
      <c r="H3">
        <v>9.9699999999999997E-2</v>
      </c>
      <c r="I3">
        <v>0</v>
      </c>
      <c r="J3">
        <v>5.1187581101236924E-3</v>
      </c>
      <c r="K3">
        <v>-0.34907300539103248</v>
      </c>
      <c r="L3">
        <v>0.36202662444864442</v>
      </c>
      <c r="M3">
        <v>5.1034018357933215E-4</v>
      </c>
      <c r="N3">
        <v>-3.480257863748594E-2</v>
      </c>
      <c r="O3">
        <v>3.6094054457529848E-2</v>
      </c>
      <c r="P3">
        <v>0</v>
      </c>
      <c r="Q3">
        <v>0</v>
      </c>
      <c r="R3">
        <v>0</v>
      </c>
    </row>
    <row r="4" spans="1:18">
      <c r="A4" t="s">
        <v>18</v>
      </c>
      <c r="B4">
        <v>2019</v>
      </c>
      <c r="C4">
        <v>-1.2057777596233112</v>
      </c>
      <c r="D4">
        <v>0.59245691678821155</v>
      </c>
      <c r="E4">
        <v>489.34</v>
      </c>
      <c r="F4">
        <v>-859.85</v>
      </c>
      <c r="G4">
        <v>17.309999999999999</v>
      </c>
      <c r="H4">
        <v>2.3E-2</v>
      </c>
      <c r="I4">
        <v>0</v>
      </c>
      <c r="J4">
        <v>6.1263607283926658E-2</v>
      </c>
      <c r="K4">
        <v>-0.10765012613537488</v>
      </c>
      <c r="L4">
        <v>2.1671497161171588E-3</v>
      </c>
      <c r="M4">
        <v>1.409062967530313E-3</v>
      </c>
      <c r="N4">
        <v>-2.4759529011136221E-3</v>
      </c>
      <c r="O4">
        <v>4.9844443470694648E-5</v>
      </c>
      <c r="P4">
        <v>0</v>
      </c>
      <c r="Q4">
        <v>0</v>
      </c>
      <c r="R4">
        <v>0</v>
      </c>
    </row>
    <row r="5" spans="1:18">
      <c r="A5" t="s">
        <v>18</v>
      </c>
      <c r="B5">
        <v>2020</v>
      </c>
      <c r="C5">
        <v>-1.4300297660280241</v>
      </c>
      <c r="D5">
        <v>0.53042741565638707</v>
      </c>
      <c r="E5">
        <v>612.54</v>
      </c>
      <c r="F5">
        <v>34.700000000000003</v>
      </c>
      <c r="G5">
        <v>25.59</v>
      </c>
      <c r="H5">
        <v>3.1600000000000003E-2</v>
      </c>
      <c r="I5">
        <v>0</v>
      </c>
      <c r="J5">
        <v>7.147983350078943E-2</v>
      </c>
      <c r="K5">
        <v>4.0492869404077994E-3</v>
      </c>
      <c r="L5">
        <v>2.986203250865579E-3</v>
      </c>
      <c r="M5">
        <v>2.258762738624946E-3</v>
      </c>
      <c r="N5">
        <v>1.2795746731688646E-4</v>
      </c>
      <c r="O5">
        <v>9.4364022727352301E-5</v>
      </c>
      <c r="P5">
        <v>0</v>
      </c>
      <c r="Q5">
        <v>0</v>
      </c>
      <c r="R5">
        <v>0</v>
      </c>
    </row>
    <row r="6" spans="1:18">
      <c r="A6" t="s">
        <v>18</v>
      </c>
      <c r="B6">
        <v>2021</v>
      </c>
      <c r="C6">
        <v>-1.8582917235625891</v>
      </c>
      <c r="D6">
        <v>0.45508030846603187</v>
      </c>
      <c r="E6">
        <v>443.62</v>
      </c>
      <c r="F6">
        <v>-150.38999999999999</v>
      </c>
      <c r="G6">
        <v>739.24</v>
      </c>
      <c r="H6">
        <v>2.2100000000000002E-2</v>
      </c>
      <c r="I6">
        <v>0</v>
      </c>
      <c r="J6">
        <v>4.4319763265607874E-2</v>
      </c>
      <c r="K6">
        <v>-1.5024681478550938E-2</v>
      </c>
      <c r="L6">
        <v>7.3853617502520091E-2</v>
      </c>
      <c r="M6">
        <v>9.7946676816993415E-4</v>
      </c>
      <c r="N6">
        <v>-3.3204546067597577E-4</v>
      </c>
      <c r="O6">
        <v>1.6321649468056941E-3</v>
      </c>
      <c r="P6">
        <v>0</v>
      </c>
      <c r="Q6">
        <v>0</v>
      </c>
      <c r="R6">
        <v>0</v>
      </c>
    </row>
    <row r="7" spans="1:18">
      <c r="A7" t="s">
        <v>19</v>
      </c>
      <c r="B7">
        <v>2017</v>
      </c>
      <c r="C7">
        <v>-2.7952474926675643</v>
      </c>
      <c r="D7">
        <v>0.32837659216534487</v>
      </c>
      <c r="E7">
        <v>38.86</v>
      </c>
      <c r="F7">
        <v>-13.19</v>
      </c>
      <c r="G7">
        <v>-14.3</v>
      </c>
      <c r="H7">
        <v>0.18462999999999999</v>
      </c>
      <c r="I7">
        <v>3.0340000000000002E-3</v>
      </c>
      <c r="J7">
        <v>0.11673876472001922</v>
      </c>
      <c r="K7">
        <v>-3.9623888488344146E-2</v>
      </c>
      <c r="L7">
        <v>-4.2958423455900029E-2</v>
      </c>
      <c r="M7">
        <v>2.1553478130257146E-2</v>
      </c>
      <c r="N7">
        <v>-7.315758531602979E-3</v>
      </c>
      <c r="O7">
        <v>-7.9314137226628219E-3</v>
      </c>
      <c r="P7">
        <v>3.5418541216053836E-4</v>
      </c>
      <c r="Q7">
        <v>-1.2021887767363615E-4</v>
      </c>
      <c r="R7">
        <v>-1.303358567652007E-4</v>
      </c>
    </row>
    <row r="8" spans="1:18">
      <c r="A8" t="s">
        <v>19</v>
      </c>
      <c r="B8">
        <v>2018</v>
      </c>
      <c r="C8">
        <v>-2.6196742117075762</v>
      </c>
      <c r="D8">
        <v>0.36798801253235253</v>
      </c>
      <c r="E8">
        <v>63.86</v>
      </c>
      <c r="F8">
        <v>-6.04</v>
      </c>
      <c r="G8">
        <v>-33.08</v>
      </c>
      <c r="H8">
        <v>0.1961</v>
      </c>
      <c r="I8">
        <v>3.0124000000000001E-3</v>
      </c>
      <c r="J8">
        <v>0.17398174635608227</v>
      </c>
      <c r="K8">
        <v>-1.6455523770603459E-2</v>
      </c>
      <c r="L8">
        <v>-9.0123961313172588E-2</v>
      </c>
      <c r="M8">
        <v>3.4117820460427731E-2</v>
      </c>
      <c r="N8">
        <v>-3.2269282114153384E-3</v>
      </c>
      <c r="O8">
        <v>-1.7673308813513144E-2</v>
      </c>
      <c r="P8">
        <v>5.2410261272306221E-4</v>
      </c>
      <c r="Q8">
        <v>-4.9570619806565861E-5</v>
      </c>
      <c r="R8">
        <v>-2.714894210598011E-4</v>
      </c>
    </row>
    <row r="9" spans="1:18">
      <c r="A9" t="s">
        <v>19</v>
      </c>
      <c r="B9">
        <v>2019</v>
      </c>
      <c r="C9">
        <v>-1.8735576100713536</v>
      </c>
      <c r="D9">
        <v>0.49985916059715907</v>
      </c>
      <c r="E9">
        <v>23.6</v>
      </c>
      <c r="F9">
        <v>-1.95</v>
      </c>
      <c r="G9">
        <v>55.28</v>
      </c>
      <c r="H9">
        <v>0.2155</v>
      </c>
      <c r="I9">
        <v>3.0124000000000001E-3</v>
      </c>
      <c r="J9">
        <v>4.7482998672085636E-2</v>
      </c>
      <c r="K9">
        <v>-3.9233833648545328E-3</v>
      </c>
      <c r="L9">
        <v>0.11122288841495313</v>
      </c>
      <c r="M9">
        <v>1.0232586213834454E-2</v>
      </c>
      <c r="N9">
        <v>-8.4548911512615183E-4</v>
      </c>
      <c r="O9">
        <v>2.3968532453422401E-2</v>
      </c>
      <c r="P9">
        <v>1.4303778519979079E-4</v>
      </c>
      <c r="Q9">
        <v>-1.1818800048287796E-5</v>
      </c>
      <c r="R9">
        <v>3.3504782906120483E-4</v>
      </c>
    </row>
    <row r="10" spans="1:18">
      <c r="A10" t="s">
        <v>19</v>
      </c>
      <c r="B10">
        <v>2020</v>
      </c>
      <c r="C10">
        <v>-2.0925563840953889</v>
      </c>
      <c r="D10">
        <v>0.44499452354874036</v>
      </c>
      <c r="E10">
        <v>-271.57</v>
      </c>
      <c r="F10">
        <v>-9.17</v>
      </c>
      <c r="G10">
        <v>353.42</v>
      </c>
      <c r="H10">
        <v>0.1226</v>
      </c>
      <c r="I10">
        <v>9.9999999999999995E-7</v>
      </c>
      <c r="J10">
        <v>-0.29744797371303394</v>
      </c>
      <c r="K10">
        <v>-1.0043811610076669E-2</v>
      </c>
      <c r="L10">
        <v>0.38709748083242063</v>
      </c>
      <c r="M10">
        <v>-3.6467121577217959E-2</v>
      </c>
      <c r="N10">
        <v>-1.2313713033953997E-3</v>
      </c>
      <c r="O10">
        <v>4.7458151150054771E-2</v>
      </c>
      <c r="P10">
        <v>-2.9744797371303394E-7</v>
      </c>
      <c r="Q10">
        <v>-1.004381161007667E-8</v>
      </c>
      <c r="R10">
        <v>3.8709748083242061E-7</v>
      </c>
    </row>
    <row r="11" spans="1:18">
      <c r="A11" t="s">
        <v>19</v>
      </c>
      <c r="B11">
        <v>2021</v>
      </c>
      <c r="C11">
        <v>-1.0581528863833822</v>
      </c>
      <c r="D11">
        <v>0.59586920276293853</v>
      </c>
      <c r="E11">
        <v>-457.49</v>
      </c>
      <c r="F11">
        <v>25.34</v>
      </c>
      <c r="G11">
        <v>319.54000000000002</v>
      </c>
      <c r="H11">
        <v>8.2900000000000001E-2</v>
      </c>
      <c r="I11">
        <v>2.4000000000000001E-5</v>
      </c>
      <c r="J11">
        <v>-0.38916771581203852</v>
      </c>
      <c r="K11">
        <v>2.155568409949301E-2</v>
      </c>
      <c r="L11">
        <v>0.27181938820647183</v>
      </c>
      <c r="M11">
        <v>-3.2262003640817993E-2</v>
      </c>
      <c r="N11">
        <v>1.7869662118479704E-3</v>
      </c>
      <c r="O11">
        <v>2.2533827282316517E-2</v>
      </c>
      <c r="P11">
        <v>-9.3400251794889247E-6</v>
      </c>
      <c r="Q11">
        <v>5.1733641838783222E-7</v>
      </c>
      <c r="R11">
        <v>6.5236653169553243E-6</v>
      </c>
    </row>
    <row r="12" spans="1:18">
      <c r="A12" t="s">
        <v>20</v>
      </c>
      <c r="B12">
        <v>2017</v>
      </c>
      <c r="C12">
        <v>-4.184170527631716</v>
      </c>
      <c r="D12">
        <v>4.213706471617109E-2</v>
      </c>
      <c r="E12">
        <v>57.14</v>
      </c>
      <c r="F12">
        <v>-52.12</v>
      </c>
      <c r="G12">
        <v>-4.97</v>
      </c>
      <c r="H12">
        <v>9.7999999999999997E-3</v>
      </c>
      <c r="I12">
        <v>0.21790000000000001</v>
      </c>
      <c r="J12">
        <v>0.22714262998886944</v>
      </c>
      <c r="K12">
        <v>-0.20718715217045633</v>
      </c>
      <c r="L12">
        <v>-1.975671807918588E-2</v>
      </c>
      <c r="M12">
        <v>2.2259977738909205E-3</v>
      </c>
      <c r="N12">
        <v>-2.0304340912704719E-3</v>
      </c>
      <c r="O12">
        <v>-1.936158371760216E-4</v>
      </c>
      <c r="P12">
        <v>4.9494379074574657E-2</v>
      </c>
      <c r="Q12">
        <v>-4.5146080457942439E-2</v>
      </c>
      <c r="R12">
        <v>-4.304988869454603E-3</v>
      </c>
    </row>
    <row r="13" spans="1:18">
      <c r="A13" t="s">
        <v>20</v>
      </c>
      <c r="B13">
        <v>2018</v>
      </c>
      <c r="C13">
        <v>-4.0832012286514283</v>
      </c>
      <c r="D13">
        <v>7.9492085580100888E-2</v>
      </c>
      <c r="E13">
        <v>16.78</v>
      </c>
      <c r="F13">
        <v>18.28</v>
      </c>
      <c r="G13">
        <v>-37.79</v>
      </c>
      <c r="H13">
        <v>1.2E-2</v>
      </c>
      <c r="I13">
        <v>0.2676</v>
      </c>
      <c r="J13">
        <v>7.296921203687598E-2</v>
      </c>
      <c r="K13">
        <v>7.9492085580100888E-2</v>
      </c>
      <c r="L13">
        <v>-0.16433292746564618</v>
      </c>
      <c r="M13">
        <v>8.7563054444251176E-4</v>
      </c>
      <c r="N13">
        <v>9.5390502696121073E-4</v>
      </c>
      <c r="O13">
        <v>-1.971995129587754E-3</v>
      </c>
      <c r="P13">
        <v>1.9526561141068013E-2</v>
      </c>
      <c r="Q13">
        <v>2.1272082101234997E-2</v>
      </c>
      <c r="R13">
        <v>-4.3975491389806921E-2</v>
      </c>
    </row>
    <row r="14" spans="1:18">
      <c r="A14" t="s">
        <v>20</v>
      </c>
      <c r="B14">
        <v>2019</v>
      </c>
      <c r="C14">
        <v>-4.1107067793101502</v>
      </c>
      <c r="D14">
        <v>7.0722166058634781E-2</v>
      </c>
      <c r="E14">
        <v>-26.82</v>
      </c>
      <c r="F14">
        <v>36.9</v>
      </c>
      <c r="G14">
        <v>-7.58</v>
      </c>
      <c r="H14">
        <v>1.2699999999999999E-2</v>
      </c>
      <c r="I14">
        <v>0.44280000000000003</v>
      </c>
      <c r="J14">
        <v>-0.11788492813502703</v>
      </c>
      <c r="K14">
        <v>0.16219067293745329</v>
      </c>
      <c r="L14">
        <v>-3.3317216825634037E-2</v>
      </c>
      <c r="M14">
        <v>-1.4971385873148433E-3</v>
      </c>
      <c r="N14">
        <v>2.0598215463056568E-3</v>
      </c>
      <c r="O14">
        <v>-4.2312865368555224E-4</v>
      </c>
      <c r="P14">
        <v>-5.2199446178189973E-2</v>
      </c>
      <c r="Q14">
        <v>7.181802997670432E-2</v>
      </c>
      <c r="R14">
        <v>-1.4752863610390753E-2</v>
      </c>
    </row>
    <row r="15" spans="1:18">
      <c r="A15" t="s">
        <v>20</v>
      </c>
      <c r="B15">
        <v>2020</v>
      </c>
      <c r="C15">
        <v>-3.6366355944682973</v>
      </c>
      <c r="D15">
        <v>7.9309363438003988E-2</v>
      </c>
      <c r="E15">
        <v>-24.31</v>
      </c>
      <c r="F15">
        <v>34.35</v>
      </c>
      <c r="G15">
        <v>2.36</v>
      </c>
      <c r="H15">
        <v>1.17E-2</v>
      </c>
      <c r="I15">
        <v>5.9799999999999999E-2</v>
      </c>
      <c r="J15">
        <v>-0.11531164026183474</v>
      </c>
      <c r="K15">
        <v>0.16293520538848308</v>
      </c>
      <c r="L15">
        <v>1.1194383834550802E-2</v>
      </c>
      <c r="M15">
        <v>-1.3491461910634665E-3</v>
      </c>
      <c r="N15">
        <v>1.9063419030452521E-3</v>
      </c>
      <c r="O15">
        <v>1.309742908642444E-4</v>
      </c>
      <c r="P15">
        <v>-6.8956360876577171E-3</v>
      </c>
      <c r="Q15">
        <v>9.7435252822312881E-3</v>
      </c>
      <c r="R15">
        <v>6.6942415330613792E-4</v>
      </c>
    </row>
    <row r="16" spans="1:18">
      <c r="A16" t="s">
        <v>20</v>
      </c>
      <c r="B16">
        <v>2021</v>
      </c>
      <c r="C16">
        <v>-4.2312496662144383</v>
      </c>
      <c r="D16">
        <v>3.3616788502660498E-2</v>
      </c>
      <c r="E16">
        <v>45.31</v>
      </c>
      <c r="F16">
        <v>-2.29</v>
      </c>
      <c r="G16">
        <v>-7.58</v>
      </c>
      <c r="H16">
        <v>1.6E-2</v>
      </c>
      <c r="I16">
        <v>5.9799999999999999E-2</v>
      </c>
      <c r="J16">
        <v>0.22532199512656026</v>
      </c>
      <c r="K16">
        <v>-1.1387935750161619E-2</v>
      </c>
      <c r="L16">
        <v>-3.769456462280571E-2</v>
      </c>
      <c r="M16">
        <v>3.6051519220249642E-3</v>
      </c>
      <c r="N16">
        <v>-1.8220697200258589E-4</v>
      </c>
      <c r="O16">
        <v>-6.031130339648914E-4</v>
      </c>
      <c r="P16">
        <v>1.3474255308568304E-2</v>
      </c>
      <c r="Q16">
        <v>-6.8099855785966475E-4</v>
      </c>
      <c r="R16">
        <v>-2.2541349644437814E-3</v>
      </c>
    </row>
    <row r="17" spans="1:18">
      <c r="A17" t="s">
        <v>21</v>
      </c>
      <c r="B17">
        <v>2017</v>
      </c>
      <c r="C17">
        <v>-3.7145672102491298</v>
      </c>
      <c r="D17">
        <v>0.12244369660885322</v>
      </c>
      <c r="E17">
        <v>3.94</v>
      </c>
      <c r="F17">
        <v>-2.6</v>
      </c>
      <c r="G17">
        <v>1.6</v>
      </c>
      <c r="H17">
        <v>0</v>
      </c>
      <c r="I17">
        <v>0.19130000000000003</v>
      </c>
      <c r="J17">
        <v>0.101993269479679</v>
      </c>
      <c r="K17">
        <v>-6.7305203209940462E-2</v>
      </c>
      <c r="L17">
        <v>4.1418586590732588E-2</v>
      </c>
      <c r="M17">
        <v>0</v>
      </c>
      <c r="N17">
        <v>0</v>
      </c>
      <c r="O17">
        <v>0</v>
      </c>
      <c r="P17">
        <v>1.9511312451462596E-2</v>
      </c>
      <c r="Q17">
        <v>-1.2875485374061612E-2</v>
      </c>
      <c r="R17">
        <v>7.923375614807146E-3</v>
      </c>
    </row>
    <row r="18" spans="1:18">
      <c r="A18" t="s">
        <v>21</v>
      </c>
      <c r="B18">
        <v>2018</v>
      </c>
      <c r="C18">
        <v>-4.1263663123670336</v>
      </c>
      <c r="D18">
        <v>7.4465129202556268E-2</v>
      </c>
      <c r="E18">
        <v>2.31</v>
      </c>
      <c r="F18">
        <v>-1.99</v>
      </c>
      <c r="G18">
        <v>0.38</v>
      </c>
      <c r="H18">
        <v>0</v>
      </c>
      <c r="I18">
        <v>0.19130000000000003</v>
      </c>
      <c r="J18">
        <v>6.418449569324812E-2</v>
      </c>
      <c r="K18">
        <v>-5.5293136982495134E-2</v>
      </c>
      <c r="L18">
        <v>1.0558488469019172E-2</v>
      </c>
      <c r="M18">
        <v>0</v>
      </c>
      <c r="N18">
        <v>0</v>
      </c>
      <c r="O18">
        <v>0</v>
      </c>
      <c r="P18">
        <v>1.2278494026118367E-2</v>
      </c>
      <c r="Q18">
        <v>-1.057757710475132E-2</v>
      </c>
      <c r="R18">
        <v>2.0198388441233679E-3</v>
      </c>
    </row>
    <row r="19" spans="1:18">
      <c r="A19" t="s">
        <v>21</v>
      </c>
      <c r="B19">
        <v>2019</v>
      </c>
      <c r="C19">
        <v>-3.4311781257176546</v>
      </c>
      <c r="D19">
        <v>0.18078396470997948</v>
      </c>
      <c r="E19">
        <v>-77.86</v>
      </c>
      <c r="F19">
        <v>11.54</v>
      </c>
      <c r="G19">
        <v>168.02</v>
      </c>
      <c r="H19">
        <v>9.7900000000000001E-2</v>
      </c>
      <c r="I19">
        <v>0.87490000000000001</v>
      </c>
      <c r="J19">
        <v>-0.30128081105134852</v>
      </c>
      <c r="K19">
        <v>4.4654258406531748E-2</v>
      </c>
      <c r="L19">
        <v>0.65015671555160004</v>
      </c>
      <c r="M19">
        <v>-2.9495391401927019E-2</v>
      </c>
      <c r="N19">
        <v>4.3716518979994585E-3</v>
      </c>
      <c r="O19">
        <v>6.3650342452501646E-2</v>
      </c>
      <c r="P19">
        <v>-0.26359058158882481</v>
      </c>
      <c r="Q19">
        <v>3.9068010679874629E-2</v>
      </c>
      <c r="R19">
        <v>0.56882211043609487</v>
      </c>
    </row>
    <row r="20" spans="1:18">
      <c r="A20" t="s">
        <v>21</v>
      </c>
      <c r="B20">
        <v>2020</v>
      </c>
      <c r="C20">
        <v>-3.7841560196283957</v>
      </c>
      <c r="D20">
        <v>0.16286644951140064</v>
      </c>
      <c r="E20">
        <v>23.16</v>
      </c>
      <c r="F20">
        <v>-29.26</v>
      </c>
      <c r="G20">
        <v>0</v>
      </c>
      <c r="H20">
        <v>9.6500000000000002E-2</v>
      </c>
      <c r="I20">
        <v>4.8899999999999999E-2</v>
      </c>
      <c r="J20">
        <v>8.1999716754000848E-2</v>
      </c>
      <c r="K20">
        <v>-0.10359722418920833</v>
      </c>
      <c r="L20">
        <v>0</v>
      </c>
      <c r="M20">
        <v>7.9129726667610829E-3</v>
      </c>
      <c r="N20">
        <v>-9.9971321342586048E-3</v>
      </c>
      <c r="O20">
        <v>0</v>
      </c>
      <c r="P20">
        <v>4.0097861492706414E-3</v>
      </c>
      <c r="Q20">
        <v>-5.0659042628522872E-3</v>
      </c>
      <c r="R20">
        <v>0</v>
      </c>
    </row>
    <row r="21" spans="1:18">
      <c r="A21" t="s">
        <v>21</v>
      </c>
      <c r="B21">
        <v>2021</v>
      </c>
      <c r="C21">
        <v>-3.5610489028734009</v>
      </c>
      <c r="D21">
        <v>0.18159418898595245</v>
      </c>
      <c r="E21">
        <v>13.125999999999999</v>
      </c>
      <c r="F21">
        <v>-60.67</v>
      </c>
      <c r="G21">
        <v>0</v>
      </c>
      <c r="H21">
        <v>0.48899999999999999</v>
      </c>
      <c r="I21">
        <v>4.8899999999999999E-2</v>
      </c>
      <c r="J21">
        <v>4.20018559406099E-2</v>
      </c>
      <c r="K21">
        <v>-0.19413778759079711</v>
      </c>
      <c r="L21">
        <v>0</v>
      </c>
      <c r="M21">
        <v>2.0538907554958241E-2</v>
      </c>
      <c r="N21">
        <v>-9.4933378131899782E-2</v>
      </c>
      <c r="O21">
        <v>0</v>
      </c>
      <c r="P21">
        <v>2.0538907554958239E-3</v>
      </c>
      <c r="Q21">
        <v>-9.4933378131899782E-3</v>
      </c>
      <c r="R21">
        <v>0</v>
      </c>
    </row>
    <row r="22" spans="1:18">
      <c r="A22" t="s">
        <v>22</v>
      </c>
      <c r="B22">
        <v>2017</v>
      </c>
      <c r="C22">
        <v>-2.4380877584589888</v>
      </c>
      <c r="D22">
        <v>0.3629226767557342</v>
      </c>
      <c r="E22">
        <v>15.8</v>
      </c>
      <c r="F22">
        <v>0.54</v>
      </c>
      <c r="G22">
        <v>-36.340000000000003</v>
      </c>
      <c r="H22">
        <v>5.7799999999999997E-2</v>
      </c>
      <c r="I22">
        <v>3.7000000000000002E-3</v>
      </c>
      <c r="J22">
        <v>2.4907385512729564E-2</v>
      </c>
      <c r="K22">
        <v>8.5126507448569401E-4</v>
      </c>
      <c r="L22">
        <v>-5.7286986679278007E-2</v>
      </c>
      <c r="M22">
        <v>1.4396468826357687E-3</v>
      </c>
      <c r="N22">
        <v>4.9203121305273114E-5</v>
      </c>
      <c r="O22">
        <v>-3.3111878300622686E-3</v>
      </c>
      <c r="P22">
        <v>9.215732639709939E-5</v>
      </c>
      <c r="Q22">
        <v>3.1496807755970679E-6</v>
      </c>
      <c r="R22">
        <v>-2.1196185071332862E-4</v>
      </c>
    </row>
    <row r="23" spans="1:18">
      <c r="A23" t="s">
        <v>22</v>
      </c>
      <c r="B23">
        <v>2018</v>
      </c>
      <c r="C23">
        <v>-3.6371100013163096</v>
      </c>
      <c r="D23">
        <v>0.21635701615161987</v>
      </c>
      <c r="E23">
        <v>59.37</v>
      </c>
      <c r="F23">
        <v>131.24</v>
      </c>
      <c r="G23">
        <v>-173.9</v>
      </c>
      <c r="H23">
        <v>3.4099999999999998E-2</v>
      </c>
      <c r="I23">
        <v>3.8999999999999998E-3</v>
      </c>
      <c r="J23">
        <v>0.11085799645224537</v>
      </c>
      <c r="K23">
        <v>0.24505648398842314</v>
      </c>
      <c r="L23">
        <v>-0.32471291195966767</v>
      </c>
      <c r="M23">
        <v>3.7802576790215668E-3</v>
      </c>
      <c r="N23">
        <v>8.3564261040052282E-3</v>
      </c>
      <c r="O23">
        <v>-1.1072710297824667E-2</v>
      </c>
      <c r="P23">
        <v>4.3234618616375689E-4</v>
      </c>
      <c r="Q23">
        <v>9.5572028755485023E-4</v>
      </c>
      <c r="R23">
        <v>-1.2663803566427038E-3</v>
      </c>
    </row>
    <row r="24" spans="1:18">
      <c r="A24" t="s">
        <v>22</v>
      </c>
      <c r="B24">
        <v>2019</v>
      </c>
      <c r="C24">
        <v>-3.3889932749231337</v>
      </c>
      <c r="D24">
        <v>0.23273780782230805</v>
      </c>
      <c r="E24">
        <v>-19.13</v>
      </c>
      <c r="F24">
        <v>56.99</v>
      </c>
      <c r="G24">
        <v>-43.37</v>
      </c>
      <c r="H24">
        <v>2.63E-2</v>
      </c>
      <c r="I24">
        <v>2E-3</v>
      </c>
      <c r="J24">
        <v>-3.5527244363555317E-2</v>
      </c>
      <c r="K24">
        <v>0.10583887382535379</v>
      </c>
      <c r="L24">
        <v>-8.0544515841473818E-2</v>
      </c>
      <c r="M24">
        <v>-9.3436652676150481E-4</v>
      </c>
      <c r="N24">
        <v>2.7835623816068046E-3</v>
      </c>
      <c r="O24">
        <v>-2.1183207666307614E-3</v>
      </c>
      <c r="P24">
        <v>-7.1054488727110635E-5</v>
      </c>
      <c r="Q24">
        <v>2.1167774765070758E-4</v>
      </c>
      <c r="R24">
        <v>-1.6108903168294764E-4</v>
      </c>
    </row>
    <row r="25" spans="1:18">
      <c r="A25" t="s">
        <v>22</v>
      </c>
      <c r="B25">
        <v>2020</v>
      </c>
      <c r="C25">
        <v>-3.0320405786264066</v>
      </c>
      <c r="D25">
        <v>0.24461080047086525</v>
      </c>
      <c r="E25">
        <v>9.61</v>
      </c>
      <c r="F25">
        <v>22.28</v>
      </c>
      <c r="G25">
        <v>-0.09</v>
      </c>
      <c r="H25">
        <v>2.63E-2</v>
      </c>
      <c r="I25">
        <v>2E-3</v>
      </c>
      <c r="J25">
        <v>1.767583872866392E-2</v>
      </c>
      <c r="K25">
        <v>4.0979988228369638E-2</v>
      </c>
      <c r="L25">
        <v>-1.6553855208946441E-4</v>
      </c>
      <c r="M25">
        <v>4.6487455856386112E-4</v>
      </c>
      <c r="N25">
        <v>1.0777736904061216E-3</v>
      </c>
      <c r="O25">
        <v>-4.3536639199529142E-6</v>
      </c>
      <c r="P25">
        <v>3.535167745732784E-5</v>
      </c>
      <c r="Q25">
        <v>8.1959976456739283E-5</v>
      </c>
      <c r="R25">
        <v>-3.3107710417892883E-7</v>
      </c>
    </row>
    <row r="26" spans="1:18">
      <c r="A26" t="s">
        <v>22</v>
      </c>
      <c r="B26">
        <v>2021</v>
      </c>
      <c r="C26">
        <v>-2.8800140533310801</v>
      </c>
      <c r="D26">
        <v>0.29562320157504168</v>
      </c>
      <c r="E26">
        <v>-1.91</v>
      </c>
      <c r="F26">
        <v>-4.9400000000000004</v>
      </c>
      <c r="G26">
        <v>18.45</v>
      </c>
      <c r="H26">
        <v>1.7600000000000001E-2</v>
      </c>
      <c r="I26">
        <v>1.6000000000000001E-3</v>
      </c>
      <c r="J26">
        <v>-3.214027293990947E-3</v>
      </c>
      <c r="K26">
        <v>-8.3127198074949109E-3</v>
      </c>
      <c r="L26">
        <v>3.1046494017870664E-2</v>
      </c>
      <c r="M26">
        <v>-5.6566880374240671E-5</v>
      </c>
      <c r="N26">
        <v>-1.4630386861191045E-4</v>
      </c>
      <c r="O26">
        <v>5.4641829471452374E-4</v>
      </c>
      <c r="P26">
        <v>-5.1424436703855155E-6</v>
      </c>
      <c r="Q26">
        <v>-1.3300351691991859E-5</v>
      </c>
      <c r="R26">
        <v>4.9674390428593067E-5</v>
      </c>
    </row>
    <row r="27" spans="1:18">
      <c r="A27" t="s">
        <v>23</v>
      </c>
      <c r="B27">
        <v>2017</v>
      </c>
      <c r="C27">
        <v>-1.4854839363386008</v>
      </c>
      <c r="D27">
        <v>0.65992197375480832</v>
      </c>
      <c r="E27">
        <v>149.99</v>
      </c>
      <c r="F27">
        <v>-26.48</v>
      </c>
      <c r="G27">
        <v>-113.09</v>
      </c>
      <c r="H27">
        <v>0.03</v>
      </c>
      <c r="I27">
        <v>0.57050000000000001</v>
      </c>
      <c r="J27">
        <v>0.13640042559770105</v>
      </c>
      <c r="K27">
        <v>-2.4080827187326643E-2</v>
      </c>
      <c r="L27">
        <v>-0.1028436837845457</v>
      </c>
      <c r="M27">
        <v>4.0920127679310312E-3</v>
      </c>
      <c r="N27">
        <v>-7.2242481561979929E-4</v>
      </c>
      <c r="O27">
        <v>-3.0853105135363709E-3</v>
      </c>
      <c r="P27">
        <v>7.7816442803488442E-2</v>
      </c>
      <c r="Q27">
        <v>-1.373811191036985E-2</v>
      </c>
      <c r="R27">
        <v>-5.8672321599083324E-2</v>
      </c>
    </row>
    <row r="28" spans="1:18">
      <c r="A28" t="s">
        <v>23</v>
      </c>
      <c r="B28">
        <v>2018</v>
      </c>
      <c r="C28">
        <v>-1.4505319420969485</v>
      </c>
      <c r="D28">
        <v>0.58405663326832313</v>
      </c>
      <c r="E28">
        <v>158.02000000000001</v>
      </c>
      <c r="F28">
        <v>-38.28</v>
      </c>
      <c r="G28">
        <v>-88.64</v>
      </c>
      <c r="H28">
        <v>0.03</v>
      </c>
      <c r="I28">
        <v>0.57050000000000001</v>
      </c>
      <c r="J28">
        <v>0.11762866798672006</v>
      </c>
      <c r="K28">
        <v>-2.8495288004883202E-2</v>
      </c>
      <c r="L28">
        <v>-6.5982819455403532E-2</v>
      </c>
      <c r="M28">
        <v>3.5288600396016015E-3</v>
      </c>
      <c r="N28">
        <v>-8.5485864014649604E-4</v>
      </c>
      <c r="O28">
        <v>-1.9794845836621057E-3</v>
      </c>
      <c r="P28">
        <v>6.71071550864238E-2</v>
      </c>
      <c r="Q28">
        <v>-1.6256561806785867E-2</v>
      </c>
      <c r="R28">
        <v>-3.7643198499307716E-2</v>
      </c>
    </row>
    <row r="29" spans="1:18">
      <c r="A29" t="s">
        <v>23</v>
      </c>
      <c r="B29">
        <v>2019</v>
      </c>
      <c r="C29">
        <v>-1.2914355495724028</v>
      </c>
      <c r="D29">
        <v>0.54401549422046414</v>
      </c>
      <c r="E29">
        <v>5.27</v>
      </c>
      <c r="F29">
        <v>-31.4</v>
      </c>
      <c r="G29">
        <v>7.78</v>
      </c>
      <c r="H29">
        <v>2.9100000000000001E-2</v>
      </c>
      <c r="I29">
        <v>0.59240000000000004</v>
      </c>
      <c r="J29">
        <v>3.6066493748246288E-3</v>
      </c>
      <c r="K29">
        <v>-2.1489334035956993E-2</v>
      </c>
      <c r="L29">
        <v>5.3244273503103637E-3</v>
      </c>
      <c r="M29">
        <v>1.049534968073967E-4</v>
      </c>
      <c r="N29">
        <v>-6.2533962044634852E-4</v>
      </c>
      <c r="O29">
        <v>1.5494083589403159E-4</v>
      </c>
      <c r="P29">
        <v>2.1365790896461104E-3</v>
      </c>
      <c r="Q29">
        <v>-1.2730281482900924E-2</v>
      </c>
      <c r="R29">
        <v>3.1541907623238597E-3</v>
      </c>
    </row>
    <row r="30" spans="1:18">
      <c r="A30" t="s">
        <v>23</v>
      </c>
      <c r="B30">
        <v>2020</v>
      </c>
      <c r="C30">
        <v>-1.1048564782827346</v>
      </c>
      <c r="D30">
        <v>0.58153464212974681</v>
      </c>
      <c r="E30">
        <v>-217.55</v>
      </c>
      <c r="F30">
        <v>-23.45</v>
      </c>
      <c r="G30">
        <v>218.45</v>
      </c>
      <c r="H30">
        <v>2.9399999999999999E-2</v>
      </c>
      <c r="I30">
        <v>0.59240000000000004</v>
      </c>
      <c r="J30">
        <v>-0.13109054316256313</v>
      </c>
      <c r="K30">
        <v>-1.4130421683117008E-2</v>
      </c>
      <c r="L30">
        <v>0.13163286211841835</v>
      </c>
      <c r="M30">
        <v>-3.8540619689793562E-3</v>
      </c>
      <c r="N30">
        <v>-4.1543439748364003E-4</v>
      </c>
      <c r="O30">
        <v>3.8700061462814991E-3</v>
      </c>
      <c r="P30">
        <v>-7.7658037769502405E-2</v>
      </c>
      <c r="Q30">
        <v>-8.3708618050785163E-3</v>
      </c>
      <c r="R30">
        <v>7.7979307518951033E-2</v>
      </c>
    </row>
    <row r="31" spans="1:18">
      <c r="A31" t="s">
        <v>23</v>
      </c>
      <c r="B31">
        <v>2021</v>
      </c>
      <c r="C31">
        <v>-1.7336129884895126</v>
      </c>
      <c r="D31">
        <v>0.51552620389800985</v>
      </c>
      <c r="E31">
        <v>361.84</v>
      </c>
      <c r="F31">
        <v>-2.62</v>
      </c>
      <c r="G31">
        <v>-295.48</v>
      </c>
      <c r="H31">
        <v>2.9600000000000001E-2</v>
      </c>
      <c r="I31">
        <v>0.59640000000000004</v>
      </c>
      <c r="J31">
        <v>0.24814494781165561</v>
      </c>
      <c r="K31">
        <v>-1.796760345087712E-3</v>
      </c>
      <c r="L31">
        <v>-0.20263616288798367</v>
      </c>
      <c r="M31">
        <v>7.3450904552250064E-3</v>
      </c>
      <c r="N31">
        <v>-5.3184106214596279E-5</v>
      </c>
      <c r="O31">
        <v>-5.9980304214843167E-3</v>
      </c>
      <c r="P31">
        <v>0.1479936468748714</v>
      </c>
      <c r="Q31">
        <v>-1.0715878698103116E-3</v>
      </c>
      <c r="R31">
        <v>-0.12085220754639346</v>
      </c>
    </row>
    <row r="32" spans="1:18">
      <c r="A32" t="s">
        <v>24</v>
      </c>
      <c r="B32">
        <v>2017</v>
      </c>
      <c r="C32">
        <v>-1.531107977831949</v>
      </c>
      <c r="D32">
        <v>0.49922814825116479</v>
      </c>
      <c r="E32">
        <v>44.85</v>
      </c>
      <c r="F32">
        <v>-28.41</v>
      </c>
      <c r="G32">
        <v>-36.1</v>
      </c>
      <c r="H32">
        <v>6.3100000000000003E-2</v>
      </c>
      <c r="I32">
        <v>3.7000000000000002E-3</v>
      </c>
      <c r="J32">
        <v>6.2373965649120372E-2</v>
      </c>
      <c r="K32">
        <v>-3.9510465197135108E-2</v>
      </c>
      <c r="L32">
        <v>-5.0205131771086854E-2</v>
      </c>
      <c r="M32">
        <v>3.9357972324594957E-3</v>
      </c>
      <c r="N32">
        <v>-2.4931103539392254E-3</v>
      </c>
      <c r="O32">
        <v>-3.1679438147555806E-3</v>
      </c>
      <c r="P32">
        <v>2.3078367290174539E-4</v>
      </c>
      <c r="Q32">
        <v>-1.4618872122939991E-4</v>
      </c>
      <c r="R32">
        <v>-1.8575898755302138E-4</v>
      </c>
    </row>
    <row r="33" spans="1:18">
      <c r="A33" t="s">
        <v>24</v>
      </c>
      <c r="B33">
        <v>2018</v>
      </c>
      <c r="C33">
        <v>-2.7295658524338893</v>
      </c>
      <c r="D33">
        <v>0.31639032345746126</v>
      </c>
      <c r="E33">
        <v>106.23</v>
      </c>
      <c r="F33">
        <v>8.67</v>
      </c>
      <c r="G33">
        <v>-211.13</v>
      </c>
      <c r="H33">
        <v>8.1799999999999998E-2</v>
      </c>
      <c r="I33">
        <v>3.5000000000000001E-3</v>
      </c>
      <c r="J33">
        <v>0.19249796140255504</v>
      </c>
      <c r="K33">
        <v>1.5710790975808644E-2</v>
      </c>
      <c r="L33">
        <v>-0.38258584760351544</v>
      </c>
      <c r="M33">
        <v>1.5746333242729001E-2</v>
      </c>
      <c r="N33">
        <v>1.2851427018211472E-3</v>
      </c>
      <c r="O33">
        <v>-3.1295522333967561E-2</v>
      </c>
      <c r="P33">
        <v>6.737428649089426E-4</v>
      </c>
      <c r="Q33">
        <v>5.4987768415330254E-5</v>
      </c>
      <c r="R33">
        <v>-1.339050466612304E-3</v>
      </c>
    </row>
    <row r="34" spans="1:18">
      <c r="A34" t="s">
        <v>24</v>
      </c>
      <c r="B34">
        <v>2019</v>
      </c>
      <c r="C34">
        <v>-2.1007630777205017</v>
      </c>
      <c r="D34">
        <v>0.42833458539491753</v>
      </c>
      <c r="E34">
        <v>5.84</v>
      </c>
      <c r="F34">
        <v>-177.98</v>
      </c>
      <c r="G34">
        <v>168.01</v>
      </c>
      <c r="H34">
        <v>8.1799999999999998E-2</v>
      </c>
      <c r="I34">
        <v>3.0400000000000002E-3</v>
      </c>
      <c r="J34">
        <v>7.5641789498225526E-3</v>
      </c>
      <c r="K34">
        <v>-0.23052612491257157</v>
      </c>
      <c r="L34">
        <v>0.21761262078076835</v>
      </c>
      <c r="M34">
        <v>6.1874983809548476E-4</v>
      </c>
      <c r="N34">
        <v>-1.8857037017848355E-2</v>
      </c>
      <c r="O34">
        <v>1.780071237986685E-2</v>
      </c>
      <c r="P34">
        <v>2.2995104007460562E-5</v>
      </c>
      <c r="Q34">
        <v>-7.0079941973421765E-4</v>
      </c>
      <c r="R34">
        <v>6.6154236717353581E-4</v>
      </c>
    </row>
    <row r="35" spans="1:18">
      <c r="A35" t="s">
        <v>24</v>
      </c>
      <c r="B35">
        <v>2020</v>
      </c>
      <c r="C35">
        <v>-2.0523332555080147</v>
      </c>
      <c r="D35">
        <v>0.42137593757002945</v>
      </c>
      <c r="E35">
        <v>64.260000000000005</v>
      </c>
      <c r="F35">
        <v>27.91</v>
      </c>
      <c r="G35">
        <v>-21.32</v>
      </c>
      <c r="H35">
        <v>6.5000000000000002E-2</v>
      </c>
      <c r="I35">
        <v>1.2999999999999999E-3</v>
      </c>
      <c r="J35">
        <v>8.4707557242852061E-2</v>
      </c>
      <c r="K35">
        <v>3.6790972963709943E-2</v>
      </c>
      <c r="L35">
        <v>-2.8104032375001649E-2</v>
      </c>
      <c r="M35">
        <v>5.5059912207853839E-3</v>
      </c>
      <c r="N35">
        <v>2.3914132426411465E-3</v>
      </c>
      <c r="O35">
        <v>-1.8267621043751073E-3</v>
      </c>
      <c r="P35">
        <v>1.1011982441570768E-4</v>
      </c>
      <c r="Q35">
        <v>4.7828264852822925E-5</v>
      </c>
      <c r="R35">
        <v>-3.6535242087502139E-5</v>
      </c>
    </row>
    <row r="36" spans="1:18">
      <c r="A36" t="s">
        <v>24</v>
      </c>
      <c r="B36">
        <v>2021</v>
      </c>
      <c r="C36">
        <v>-0.1954061280558011</v>
      </c>
      <c r="D36">
        <v>0.74000495577509395</v>
      </c>
      <c r="E36">
        <v>-656.35</v>
      </c>
      <c r="F36">
        <v>-144.96</v>
      </c>
      <c r="G36">
        <v>924.93</v>
      </c>
      <c r="H36">
        <v>6.3200000000000006E-2</v>
      </c>
      <c r="I36">
        <v>8.9999999999999998E-4</v>
      </c>
      <c r="J36">
        <v>-0.35355684597235537</v>
      </c>
      <c r="K36">
        <v>-7.8085778002822639E-2</v>
      </c>
      <c r="L36">
        <v>0.49823315844474847</v>
      </c>
      <c r="M36">
        <v>-2.2344792665452862E-2</v>
      </c>
      <c r="N36">
        <v>-4.9350211697783914E-3</v>
      </c>
      <c r="O36">
        <v>3.1488335613708104E-2</v>
      </c>
      <c r="P36">
        <v>-3.1820116137511981E-4</v>
      </c>
      <c r="Q36">
        <v>-7.0277200202540369E-5</v>
      </c>
      <c r="R36">
        <v>4.4840984260027361E-4</v>
      </c>
    </row>
    <row r="37" spans="1:18">
      <c r="A37" t="s">
        <v>25</v>
      </c>
      <c r="B37">
        <v>2017</v>
      </c>
      <c r="C37">
        <v>-2.253161709777864</v>
      </c>
      <c r="D37">
        <v>0.3874335039646693</v>
      </c>
      <c r="E37">
        <v>9.5399999999999991</v>
      </c>
      <c r="F37">
        <v>-128.29</v>
      </c>
      <c r="G37">
        <v>91.1</v>
      </c>
      <c r="H37">
        <v>3.3999999999999998E-3</v>
      </c>
      <c r="I37">
        <v>0</v>
      </c>
      <c r="J37">
        <v>7.9795242396868415E-3</v>
      </c>
      <c r="K37">
        <v>-0.10730536317708855</v>
      </c>
      <c r="L37">
        <v>7.6198601492187754E-2</v>
      </c>
      <c r="M37">
        <v>2.7130382414935258E-5</v>
      </c>
      <c r="N37">
        <v>-3.6483823480210108E-4</v>
      </c>
      <c r="O37">
        <v>2.5907524507343837E-4</v>
      </c>
      <c r="P37">
        <v>0</v>
      </c>
      <c r="Q37">
        <v>0</v>
      </c>
      <c r="R37">
        <v>0</v>
      </c>
    </row>
    <row r="38" spans="1:18">
      <c r="A38" t="s">
        <v>25</v>
      </c>
      <c r="B38">
        <v>2018</v>
      </c>
      <c r="C38">
        <v>-2.7359212083041906</v>
      </c>
      <c r="D38">
        <v>0.29134731825461935</v>
      </c>
      <c r="E38">
        <v>-265.98</v>
      </c>
      <c r="F38">
        <v>-820.3</v>
      </c>
      <c r="G38">
        <v>1082.6600000000001</v>
      </c>
      <c r="H38">
        <v>6.6E-3</v>
      </c>
      <c r="I38">
        <v>1.1999999999999999E-3</v>
      </c>
      <c r="J38">
        <v>-0.10390249619125748</v>
      </c>
      <c r="K38">
        <v>-0.32044220477362395</v>
      </c>
      <c r="L38">
        <v>0.42293058322590726</v>
      </c>
      <c r="M38">
        <v>-6.8575647486229937E-4</v>
      </c>
      <c r="N38">
        <v>-2.1149185515059181E-3</v>
      </c>
      <c r="O38">
        <v>2.7913418492909879E-3</v>
      </c>
      <c r="P38">
        <v>-1.2468299542950896E-4</v>
      </c>
      <c r="Q38">
        <v>-3.8453064572834873E-4</v>
      </c>
      <c r="R38">
        <v>5.0751669987108867E-4</v>
      </c>
    </row>
    <row r="39" spans="1:18">
      <c r="A39" t="s">
        <v>25</v>
      </c>
      <c r="B39">
        <v>2019</v>
      </c>
      <c r="C39">
        <v>-2.7439181476902612</v>
      </c>
      <c r="D39">
        <v>0.28486537768527576</v>
      </c>
      <c r="E39">
        <v>-374.9</v>
      </c>
      <c r="F39">
        <v>166.56</v>
      </c>
      <c r="G39">
        <v>183.06</v>
      </c>
      <c r="H39">
        <v>8.3000000000000001E-3</v>
      </c>
      <c r="I39">
        <v>0</v>
      </c>
      <c r="J39">
        <v>-0.1378582512704728</v>
      </c>
      <c r="K39">
        <v>6.1247453538570154E-2</v>
      </c>
      <c r="L39">
        <v>6.7314834562744078E-2</v>
      </c>
      <c r="M39">
        <v>-1.1442234855449241E-3</v>
      </c>
      <c r="N39">
        <v>5.0835386437013224E-4</v>
      </c>
      <c r="O39">
        <v>5.5871312687077589E-4</v>
      </c>
      <c r="P39">
        <v>0</v>
      </c>
      <c r="Q39">
        <v>0</v>
      </c>
      <c r="R39">
        <v>0</v>
      </c>
    </row>
    <row r="40" spans="1:18">
      <c r="A40" t="s">
        <v>25</v>
      </c>
      <c r="B40">
        <v>2020</v>
      </c>
      <c r="C40">
        <v>-2.784379413405337</v>
      </c>
      <c r="D40">
        <v>0.27498939681720114</v>
      </c>
      <c r="E40">
        <v>-134.13</v>
      </c>
      <c r="F40">
        <v>154.38</v>
      </c>
      <c r="G40">
        <v>-9.81</v>
      </c>
      <c r="H40">
        <v>8.3000000000000001E-3</v>
      </c>
      <c r="I40">
        <v>0</v>
      </c>
      <c r="J40">
        <v>-4.9467996828265318E-2</v>
      </c>
      <c r="K40">
        <v>5.693632558225304E-2</v>
      </c>
      <c r="L40">
        <v>-3.6179903741540508E-3</v>
      </c>
      <c r="M40">
        <v>-4.1058437367460214E-4</v>
      </c>
      <c r="N40">
        <v>4.7257150233270026E-4</v>
      </c>
      <c r="O40">
        <v>-3.0029320105478623E-5</v>
      </c>
      <c r="P40">
        <v>0</v>
      </c>
      <c r="Q40">
        <v>0</v>
      </c>
      <c r="R40">
        <v>0</v>
      </c>
    </row>
    <row r="41" spans="1:18">
      <c r="A41" t="s">
        <v>25</v>
      </c>
      <c r="B41">
        <v>2021</v>
      </c>
      <c r="C41">
        <v>-2.97154282081482</v>
      </c>
      <c r="D41">
        <v>0.2387972924062623</v>
      </c>
      <c r="E41">
        <v>-29.32</v>
      </c>
      <c r="F41">
        <v>31.1</v>
      </c>
      <c r="G41">
        <v>-6.85</v>
      </c>
      <c r="H41">
        <v>4.7000000000000002E-3</v>
      </c>
      <c r="I41">
        <v>0</v>
      </c>
      <c r="J41">
        <v>-1.1289341352410729E-2</v>
      </c>
      <c r="K41">
        <v>1.1974710643246034E-2</v>
      </c>
      <c r="L41">
        <v>-2.6375166529336116E-3</v>
      </c>
      <c r="M41">
        <v>-5.3059904356330424E-5</v>
      </c>
      <c r="N41">
        <v>5.6281140023256362E-5</v>
      </c>
      <c r="O41">
        <v>-1.2396328268787974E-5</v>
      </c>
      <c r="P41">
        <v>0</v>
      </c>
      <c r="Q41">
        <v>0</v>
      </c>
      <c r="R41">
        <v>0</v>
      </c>
    </row>
    <row r="42" spans="1:18">
      <c r="A42" t="s">
        <v>26</v>
      </c>
      <c r="B42">
        <v>2017</v>
      </c>
      <c r="C42">
        <v>-1.7843589380516209</v>
      </c>
      <c r="D42">
        <v>0.48415984842597626</v>
      </c>
      <c r="E42">
        <v>745.73</v>
      </c>
      <c r="F42">
        <v>-375.46</v>
      </c>
      <c r="G42">
        <v>-366.15</v>
      </c>
      <c r="H42">
        <v>1.41E-2</v>
      </c>
      <c r="I42">
        <v>0.72889999999999999</v>
      </c>
      <c r="J42">
        <v>0.27596019701662655</v>
      </c>
      <c r="K42">
        <v>-0.13894038803838196</v>
      </c>
      <c r="L42">
        <v>-0.13549518745073658</v>
      </c>
      <c r="M42">
        <v>3.8910387779344342E-3</v>
      </c>
      <c r="N42">
        <v>-1.9590594713411857E-3</v>
      </c>
      <c r="O42">
        <v>-1.9104821430553857E-3</v>
      </c>
      <c r="P42">
        <v>0.20114738760541909</v>
      </c>
      <c r="Q42">
        <v>-0.10127364884117661</v>
      </c>
      <c r="R42">
        <v>-9.8762442132841896E-2</v>
      </c>
    </row>
    <row r="43" spans="1:18">
      <c r="A43" t="s">
        <v>26</v>
      </c>
      <c r="B43">
        <v>2018</v>
      </c>
      <c r="C43">
        <v>-2.4743933378281429</v>
      </c>
      <c r="D43">
        <v>0.46045482282113936</v>
      </c>
      <c r="E43">
        <v>721.03</v>
      </c>
      <c r="F43">
        <v>-684.86</v>
      </c>
      <c r="G43">
        <v>7.12</v>
      </c>
      <c r="H43">
        <v>2.7099999999999999E-2</v>
      </c>
      <c r="I43">
        <v>0.77</v>
      </c>
      <c r="J43">
        <v>0.21051540552455861</v>
      </c>
      <c r="K43">
        <v>-0.19995503741529369</v>
      </c>
      <c r="L43">
        <v>2.0787896305768934E-3</v>
      </c>
      <c r="M43">
        <v>5.7049674897155381E-3</v>
      </c>
      <c r="N43">
        <v>-5.418781513954459E-3</v>
      </c>
      <c r="O43">
        <v>5.6335198988633807E-5</v>
      </c>
      <c r="P43">
        <v>0.16209686225391012</v>
      </c>
      <c r="Q43">
        <v>-0.15396537880977615</v>
      </c>
      <c r="R43">
        <v>1.600668015544208E-3</v>
      </c>
    </row>
    <row r="44" spans="1:18">
      <c r="A44" t="s">
        <v>26</v>
      </c>
      <c r="B44">
        <v>2019</v>
      </c>
      <c r="C44">
        <v>-2.6619330424954684</v>
      </c>
      <c r="D44">
        <v>0.42290427127170699</v>
      </c>
      <c r="E44">
        <v>327.79</v>
      </c>
      <c r="F44">
        <v>-252.09</v>
      </c>
      <c r="G44">
        <v>-120.14</v>
      </c>
      <c r="H44">
        <v>1.26E-2</v>
      </c>
      <c r="I44">
        <v>0.7833</v>
      </c>
      <c r="J44">
        <v>7.9279736854834804E-2</v>
      </c>
      <c r="K44">
        <v>-6.0970831519373089E-2</v>
      </c>
      <c r="L44">
        <v>-2.9057224398974506E-2</v>
      </c>
      <c r="M44">
        <v>9.9892468437091844E-4</v>
      </c>
      <c r="N44">
        <v>-7.6823247714410091E-4</v>
      </c>
      <c r="O44">
        <v>-3.661210274270788E-4</v>
      </c>
      <c r="P44">
        <v>6.2099817878392104E-2</v>
      </c>
      <c r="Q44">
        <v>-4.7758452329124942E-2</v>
      </c>
      <c r="R44">
        <v>-2.2760523871716731E-2</v>
      </c>
    </row>
    <row r="45" spans="1:18">
      <c r="A45" t="s">
        <v>26</v>
      </c>
      <c r="B45">
        <v>2020</v>
      </c>
      <c r="C45">
        <v>-1.5450086936827421</v>
      </c>
      <c r="D45">
        <v>0.51718424188263334</v>
      </c>
      <c r="E45">
        <v>-29.53</v>
      </c>
      <c r="F45">
        <v>-205.38</v>
      </c>
      <c r="G45">
        <v>254.26</v>
      </c>
      <c r="H45">
        <v>1.32E-2</v>
      </c>
      <c r="I45">
        <v>0.83640000000000003</v>
      </c>
      <c r="J45">
        <v>-6.1087114818124651E-3</v>
      </c>
      <c r="K45">
        <v>-4.2485850461721777E-2</v>
      </c>
      <c r="L45">
        <v>5.2597391851189883E-2</v>
      </c>
      <c r="M45">
        <v>-8.0634991559924542E-5</v>
      </c>
      <c r="N45">
        <v>-5.6081322609472743E-4</v>
      </c>
      <c r="O45">
        <v>6.9428557243570647E-4</v>
      </c>
      <c r="P45">
        <v>-5.1093262833879459E-3</v>
      </c>
      <c r="Q45">
        <v>-3.5535165326184094E-2</v>
      </c>
      <c r="R45">
        <v>4.3992458544335221E-2</v>
      </c>
    </row>
    <row r="46" spans="1:18">
      <c r="A46" t="s">
        <v>26</v>
      </c>
      <c r="B46">
        <v>2021</v>
      </c>
      <c r="C46">
        <v>-1.4450863812704831</v>
      </c>
      <c r="D46">
        <v>0.52316912642141566</v>
      </c>
      <c r="E46">
        <v>250.47</v>
      </c>
      <c r="F46">
        <v>-300.33</v>
      </c>
      <c r="G46">
        <v>48.83</v>
      </c>
      <c r="H46">
        <v>1.52E-2</v>
      </c>
      <c r="I46">
        <v>0.56740000000000002</v>
      </c>
      <c r="J46">
        <v>5.1355496413911315E-2</v>
      </c>
      <c r="K46">
        <v>-6.1578617151714712E-2</v>
      </c>
      <c r="L46">
        <v>1.0011933125289613E-2</v>
      </c>
      <c r="M46">
        <v>7.8060354549145197E-4</v>
      </c>
      <c r="N46">
        <v>-9.3599498070606366E-4</v>
      </c>
      <c r="O46">
        <v>1.521813835044021E-4</v>
      </c>
      <c r="P46">
        <v>2.913910866525328E-2</v>
      </c>
      <c r="Q46">
        <v>-3.4939707371882928E-2</v>
      </c>
      <c r="R46">
        <v>5.6807708552893263E-3</v>
      </c>
    </row>
    <row r="47" spans="1:18">
      <c r="A47" t="s">
        <v>27</v>
      </c>
      <c r="B47">
        <v>2017</v>
      </c>
      <c r="C47">
        <v>-4.7397039122586655</v>
      </c>
      <c r="D47">
        <v>9.977060407593337E-2</v>
      </c>
      <c r="E47">
        <v>9.52</v>
      </c>
      <c r="F47">
        <v>-1.74</v>
      </c>
      <c r="G47">
        <v>-9.9</v>
      </c>
      <c r="H47">
        <v>5.9400000000000001E-2</v>
      </c>
      <c r="I47">
        <v>0.30980000000000002</v>
      </c>
      <c r="J47">
        <v>3.1649988363974861E-2</v>
      </c>
      <c r="K47">
        <v>-5.7847667808105319E-3</v>
      </c>
      <c r="L47">
        <v>-3.2913328235646133E-2</v>
      </c>
      <c r="M47">
        <v>1.8800093088201068E-3</v>
      </c>
      <c r="N47">
        <v>-3.4361514678014562E-4</v>
      </c>
      <c r="O47">
        <v>-1.9550516971973803E-3</v>
      </c>
      <c r="P47">
        <v>9.8051663951594127E-3</v>
      </c>
      <c r="Q47">
        <v>-1.792120748695103E-3</v>
      </c>
      <c r="R47">
        <v>-1.0196549087403172E-2</v>
      </c>
    </row>
    <row r="48" spans="1:18">
      <c r="A48" t="s">
        <v>27</v>
      </c>
      <c r="B48">
        <v>2018</v>
      </c>
      <c r="C48">
        <v>-4.7434530543437861</v>
      </c>
      <c r="D48">
        <v>8.420655658217277E-2</v>
      </c>
      <c r="E48">
        <v>90</v>
      </c>
      <c r="F48">
        <v>-68.099999999999994</v>
      </c>
      <c r="G48">
        <v>-3.59</v>
      </c>
      <c r="H48">
        <v>0.10050000000000001</v>
      </c>
      <c r="I48">
        <v>0.375</v>
      </c>
      <c r="J48">
        <v>0.2424373030196913</v>
      </c>
      <c r="K48">
        <v>-0.1834442259515664</v>
      </c>
      <c r="L48">
        <v>-9.6705546426743526E-3</v>
      </c>
      <c r="M48">
        <v>2.4364948953478977E-2</v>
      </c>
      <c r="N48">
        <v>-1.8436144708132426E-2</v>
      </c>
      <c r="O48">
        <v>-9.7189074158877248E-4</v>
      </c>
      <c r="P48">
        <v>9.0913988632384229E-2</v>
      </c>
      <c r="Q48">
        <v>-6.8791584731837399E-2</v>
      </c>
      <c r="R48">
        <v>-3.6264579910028822E-3</v>
      </c>
    </row>
    <row r="49" spans="1:18">
      <c r="A49" t="s">
        <v>27</v>
      </c>
      <c r="B49">
        <v>2019</v>
      </c>
      <c r="C49">
        <v>-4.0256033652421559</v>
      </c>
      <c r="D49">
        <v>9.3265210425540229E-2</v>
      </c>
      <c r="E49">
        <v>42.34</v>
      </c>
      <c r="F49">
        <v>-443.62</v>
      </c>
      <c r="G49">
        <v>574.94000000000005</v>
      </c>
      <c r="H49">
        <v>0.16550000000000001</v>
      </c>
      <c r="I49">
        <v>0.43990000000000001</v>
      </c>
      <c r="J49">
        <v>4.1362197647610489E-2</v>
      </c>
      <c r="K49">
        <v>-0.43337501465358919</v>
      </c>
      <c r="L49">
        <v>0.56166230315345245</v>
      </c>
      <c r="M49">
        <v>6.8454437106795366E-3</v>
      </c>
      <c r="N49">
        <v>-7.1723564925169014E-2</v>
      </c>
      <c r="O49">
        <v>9.2955111171896379E-2</v>
      </c>
      <c r="P49">
        <v>1.8195230745183855E-2</v>
      </c>
      <c r="Q49">
        <v>-0.1906416689461139</v>
      </c>
      <c r="R49">
        <v>0.24707524715720375</v>
      </c>
    </row>
    <row r="50" spans="1:18">
      <c r="A50" t="s">
        <v>27</v>
      </c>
      <c r="B50">
        <v>2020</v>
      </c>
      <c r="C50">
        <v>-4.3257731240045061</v>
      </c>
      <c r="D50">
        <v>3.5055824523268449E-2</v>
      </c>
      <c r="E50">
        <v>23.8</v>
      </c>
      <c r="F50">
        <v>-116.6</v>
      </c>
      <c r="G50">
        <v>-35.92</v>
      </c>
      <c r="H50">
        <v>0.1419</v>
      </c>
      <c r="I50">
        <v>0.44479999999999997</v>
      </c>
      <c r="J50">
        <v>2.3515462898923031E-2</v>
      </c>
      <c r="K50">
        <v>-0.11520600731153047</v>
      </c>
      <c r="L50">
        <v>-3.549056417350064E-2</v>
      </c>
      <c r="M50">
        <v>3.3368441853571778E-3</v>
      </c>
      <c r="N50">
        <v>-1.6347732437506174E-2</v>
      </c>
      <c r="O50">
        <v>-5.0361110562197409E-3</v>
      </c>
      <c r="P50">
        <v>1.0459677897440964E-2</v>
      </c>
      <c r="Q50">
        <v>-5.1243632052168746E-2</v>
      </c>
      <c r="R50">
        <v>-1.5786202944373082E-2</v>
      </c>
    </row>
    <row r="51" spans="1:18">
      <c r="A51" t="s">
        <v>27</v>
      </c>
      <c r="B51">
        <v>2021</v>
      </c>
      <c r="C51">
        <v>-4.0667513207499413</v>
      </c>
      <c r="D51">
        <v>4.3226483972595889E-2</v>
      </c>
      <c r="E51">
        <v>-31.61</v>
      </c>
      <c r="F51">
        <v>-27.65</v>
      </c>
      <c r="G51">
        <v>0</v>
      </c>
      <c r="H51">
        <v>0.15659999999999999</v>
      </c>
      <c r="I51">
        <v>0.44479999999999997</v>
      </c>
      <c r="J51">
        <v>-3.1614742211331696E-2</v>
      </c>
      <c r="K51">
        <v>-2.7654148122218329E-2</v>
      </c>
      <c r="L51">
        <v>0</v>
      </c>
      <c r="M51">
        <v>-4.9508686302945437E-3</v>
      </c>
      <c r="N51">
        <v>-4.3306395959393897E-3</v>
      </c>
      <c r="O51">
        <v>0</v>
      </c>
      <c r="P51">
        <v>-1.4062237335600337E-2</v>
      </c>
      <c r="Q51">
        <v>-1.2300565084762712E-2</v>
      </c>
      <c r="R51">
        <v>0</v>
      </c>
    </row>
    <row r="52" spans="1:18">
      <c r="A52" t="s">
        <v>28</v>
      </c>
      <c r="B52">
        <v>2017</v>
      </c>
      <c r="C52">
        <v>-1.6282095842188564</v>
      </c>
      <c r="D52">
        <v>0.49356507728858146</v>
      </c>
      <c r="E52">
        <v>-329.81</v>
      </c>
      <c r="F52">
        <v>160.34</v>
      </c>
      <c r="G52">
        <v>211.17</v>
      </c>
      <c r="H52">
        <v>1.54E-2</v>
      </c>
      <c r="I52">
        <v>0.26519999999999999</v>
      </c>
      <c r="J52">
        <v>-5.878138372671228E-2</v>
      </c>
      <c r="K52">
        <v>2.8577080945820465E-2</v>
      </c>
      <c r="L52">
        <v>3.7636411271852979E-2</v>
      </c>
      <c r="M52">
        <v>-9.0523330939136916E-4</v>
      </c>
      <c r="N52">
        <v>4.4008704656563517E-4</v>
      </c>
      <c r="O52">
        <v>5.7960073358653591E-4</v>
      </c>
      <c r="P52">
        <v>-1.5588822964324097E-2</v>
      </c>
      <c r="Q52">
        <v>7.5786418668315871E-3</v>
      </c>
      <c r="R52">
        <v>9.9811762692954102E-3</v>
      </c>
    </row>
    <row r="53" spans="1:18">
      <c r="A53" t="s">
        <v>28</v>
      </c>
      <c r="B53">
        <v>2018</v>
      </c>
      <c r="C53">
        <v>-1.7864196379216564</v>
      </c>
      <c r="D53">
        <v>0.52090441619779115</v>
      </c>
      <c r="E53">
        <v>415.12</v>
      </c>
      <c r="F53">
        <v>-187.41</v>
      </c>
      <c r="G53">
        <v>7.51</v>
      </c>
      <c r="H53">
        <v>1.0999999999999999E-2</v>
      </c>
      <c r="I53">
        <v>0.2697</v>
      </c>
      <c r="J53">
        <v>3.4664221666641619E-2</v>
      </c>
      <c r="K53">
        <v>-1.5649503234113765E-2</v>
      </c>
      <c r="L53">
        <v>6.2711578511389125E-4</v>
      </c>
      <c r="M53">
        <v>3.8130643833305777E-4</v>
      </c>
      <c r="N53">
        <v>-1.7214453557525141E-4</v>
      </c>
      <c r="O53">
        <v>6.8982736362528031E-6</v>
      </c>
      <c r="P53">
        <v>9.3489405834932451E-3</v>
      </c>
      <c r="Q53">
        <v>-4.2206710222404825E-3</v>
      </c>
      <c r="R53">
        <v>1.6913312724521647E-4</v>
      </c>
    </row>
    <row r="54" spans="1:18">
      <c r="A54" t="s">
        <v>28</v>
      </c>
      <c r="B54">
        <v>2019</v>
      </c>
      <c r="C54">
        <v>-1.1453018995128914</v>
      </c>
      <c r="D54">
        <v>0.59593839824932959</v>
      </c>
      <c r="E54">
        <v>762.76</v>
      </c>
      <c r="F54">
        <v>-2794.2</v>
      </c>
      <c r="G54">
        <v>2352.61</v>
      </c>
      <c r="H54">
        <v>1.66E-2</v>
      </c>
      <c r="I54">
        <v>0.2114</v>
      </c>
      <c r="J54">
        <v>4.8906440048960297E-2</v>
      </c>
      <c r="K54">
        <v>-0.17915776231685571</v>
      </c>
      <c r="L54">
        <v>0.15084401374427669</v>
      </c>
      <c r="M54">
        <v>8.1184690481274097E-4</v>
      </c>
      <c r="N54">
        <v>-2.9740188544598047E-3</v>
      </c>
      <c r="O54">
        <v>2.504010628154993E-3</v>
      </c>
      <c r="P54">
        <v>1.0338821426350207E-2</v>
      </c>
      <c r="Q54">
        <v>-3.7873950953783299E-2</v>
      </c>
      <c r="R54">
        <v>3.1888424505540094E-2</v>
      </c>
    </row>
    <row r="55" spans="1:18">
      <c r="A55" t="s">
        <v>28</v>
      </c>
      <c r="B55">
        <v>2020</v>
      </c>
      <c r="C55">
        <v>-0.97644349331304703</v>
      </c>
      <c r="D55">
        <v>0.52795519352896414</v>
      </c>
      <c r="E55">
        <v>144.04</v>
      </c>
      <c r="F55">
        <v>-1502.5</v>
      </c>
      <c r="G55">
        <v>1318.21</v>
      </c>
      <c r="H55">
        <v>1.3100000000000001E-2</v>
      </c>
      <c r="I55">
        <v>0.21060000000000001</v>
      </c>
      <c r="J55">
        <v>8.1819524442475269E-3</v>
      </c>
      <c r="K55">
        <v>-8.5347011576519777E-2</v>
      </c>
      <c r="L55">
        <v>7.4878724878724892E-2</v>
      </c>
      <c r="M55">
        <v>1.071835770196426E-4</v>
      </c>
      <c r="N55">
        <v>-1.1180458516524092E-3</v>
      </c>
      <c r="O55">
        <v>9.8091129591129623E-4</v>
      </c>
      <c r="P55">
        <v>1.7231191847585292E-3</v>
      </c>
      <c r="Q55">
        <v>-1.7974080638015064E-2</v>
      </c>
      <c r="R55">
        <v>1.5769459459459463E-2</v>
      </c>
    </row>
    <row r="56" spans="1:18">
      <c r="A56" t="s">
        <v>28</v>
      </c>
      <c r="B56">
        <v>2021</v>
      </c>
      <c r="C56">
        <v>-1.1568608338828501</v>
      </c>
      <c r="D56">
        <v>0.58300984473097472</v>
      </c>
      <c r="E56">
        <v>1087.58</v>
      </c>
      <c r="F56">
        <v>-794.31</v>
      </c>
      <c r="G56">
        <v>-487.17</v>
      </c>
      <c r="H56">
        <v>2.3099999999999999E-2</v>
      </c>
      <c r="I56">
        <v>0.32319999999999999</v>
      </c>
      <c r="J56">
        <v>5.9858738265110394E-2</v>
      </c>
      <c r="K56">
        <v>-4.3717606421007957E-2</v>
      </c>
      <c r="L56">
        <v>-2.6813091009961411E-2</v>
      </c>
      <c r="M56">
        <v>1.38273685392405E-3</v>
      </c>
      <c r="N56">
        <v>-1.0098767083252837E-3</v>
      </c>
      <c r="O56">
        <v>-6.193824023301086E-4</v>
      </c>
      <c r="P56">
        <v>1.9346344207283678E-2</v>
      </c>
      <c r="Q56">
        <v>-1.4129530395269771E-2</v>
      </c>
      <c r="R56">
        <v>-8.6659910144195277E-3</v>
      </c>
    </row>
    <row r="57" spans="1:18">
      <c r="A57" t="s">
        <v>29</v>
      </c>
      <c r="B57">
        <v>2017</v>
      </c>
      <c r="C57">
        <v>-0.54615532868204542</v>
      </c>
      <c r="D57">
        <v>0.68496467914100856</v>
      </c>
      <c r="E57">
        <v>-115.02</v>
      </c>
      <c r="F57">
        <v>-235.5</v>
      </c>
      <c r="G57">
        <v>355.73</v>
      </c>
      <c r="H57">
        <v>0.49</v>
      </c>
      <c r="I57">
        <v>5.8599999999999999E-2</v>
      </c>
      <c r="J57">
        <v>-8.5438595188043642E-2</v>
      </c>
      <c r="K57">
        <v>-0.17493296093535279</v>
      </c>
      <c r="L57">
        <v>0.26424162290247583</v>
      </c>
      <c r="M57">
        <v>-4.1864911642141386E-2</v>
      </c>
      <c r="N57">
        <v>-8.5717150858322863E-2</v>
      </c>
      <c r="O57">
        <v>0.12947839522221316</v>
      </c>
      <c r="P57">
        <v>-5.0067016780193574E-3</v>
      </c>
      <c r="Q57">
        <v>-1.0251071510811673E-2</v>
      </c>
      <c r="R57">
        <v>1.5484559102085084E-2</v>
      </c>
    </row>
    <row r="58" spans="1:18">
      <c r="A58" t="s">
        <v>29</v>
      </c>
      <c r="B58">
        <v>2018</v>
      </c>
      <c r="C58">
        <v>-0.50678532793228914</v>
      </c>
      <c r="D58">
        <v>0.69359335022085311</v>
      </c>
      <c r="E58">
        <v>-52.4</v>
      </c>
      <c r="F58">
        <v>-25.13</v>
      </c>
      <c r="G58">
        <v>72.349999999999994</v>
      </c>
      <c r="H58">
        <v>0.49</v>
      </c>
      <c r="I58">
        <v>5.8599999999999999E-2</v>
      </c>
      <c r="J58">
        <v>-3.3350730024567524E-2</v>
      </c>
      <c r="K58">
        <v>-1.5994348196896598E-2</v>
      </c>
      <c r="L58">
        <v>4.6048193077814124E-2</v>
      </c>
      <c r="M58">
        <v>-1.6341857712038086E-2</v>
      </c>
      <c r="N58">
        <v>-7.8372306164793334E-3</v>
      </c>
      <c r="O58">
        <v>2.2563614608128921E-2</v>
      </c>
      <c r="P58">
        <v>-1.9543527794396568E-3</v>
      </c>
      <c r="Q58">
        <v>-9.3726880433814069E-4</v>
      </c>
      <c r="R58">
        <v>2.6984241143599074E-3</v>
      </c>
    </row>
    <row r="59" spans="1:18">
      <c r="A59" t="s">
        <v>29</v>
      </c>
      <c r="B59">
        <v>2019</v>
      </c>
      <c r="C59">
        <v>-0.44848022264829018</v>
      </c>
      <c r="D59">
        <v>0.69558884087989625</v>
      </c>
      <c r="E59">
        <v>268.3</v>
      </c>
      <c r="F59">
        <v>194.8</v>
      </c>
      <c r="G59">
        <v>-485.73</v>
      </c>
      <c r="H59">
        <v>0.49</v>
      </c>
      <c r="I59">
        <v>0.10850000000000001</v>
      </c>
      <c r="J59">
        <v>0.16490371909207688</v>
      </c>
      <c r="K59">
        <v>0.11972882772693469</v>
      </c>
      <c r="L59">
        <v>-0.29854149636449684</v>
      </c>
      <c r="M59">
        <v>8.0802822355117668E-2</v>
      </c>
      <c r="N59">
        <v>5.8667125586197993E-2</v>
      </c>
      <c r="O59">
        <v>-0.14628533321860346</v>
      </c>
      <c r="P59">
        <v>1.7892053521490342E-2</v>
      </c>
      <c r="Q59">
        <v>1.2990577808372416E-2</v>
      </c>
      <c r="R59">
        <v>-3.2391752355547913E-2</v>
      </c>
    </row>
    <row r="60" spans="1:18">
      <c r="A60" t="s">
        <v>29</v>
      </c>
      <c r="B60">
        <v>2020</v>
      </c>
      <c r="C60">
        <v>-0.29278069040396443</v>
      </c>
      <c r="D60">
        <v>0.71748159861029148</v>
      </c>
      <c r="E60">
        <v>40.700000000000003</v>
      </c>
      <c r="F60">
        <v>-191.93</v>
      </c>
      <c r="G60">
        <v>164.43</v>
      </c>
      <c r="H60">
        <v>0.49</v>
      </c>
      <c r="I60">
        <v>0.10850000000000001</v>
      </c>
      <c r="J60">
        <v>2.2660712893778606E-2</v>
      </c>
      <c r="K60">
        <v>-0.10686168613520707</v>
      </c>
      <c r="L60">
        <v>9.1550393639410713E-2</v>
      </c>
      <c r="M60">
        <v>1.1103749317951517E-2</v>
      </c>
      <c r="N60">
        <v>-5.2362226206251458E-2</v>
      </c>
      <c r="O60">
        <v>4.485969288331125E-2</v>
      </c>
      <c r="P60">
        <v>2.4586873489749789E-3</v>
      </c>
      <c r="Q60">
        <v>-1.1594492945669967E-2</v>
      </c>
      <c r="R60">
        <v>9.9332177098760636E-3</v>
      </c>
    </row>
    <row r="61" spans="1:18">
      <c r="A61" t="s">
        <v>29</v>
      </c>
      <c r="B61">
        <v>2021</v>
      </c>
      <c r="C61">
        <v>-4.0717475282147718E-2</v>
      </c>
      <c r="D61">
        <v>0.75763896079562543</v>
      </c>
      <c r="E61">
        <v>294.60000000000002</v>
      </c>
      <c r="F61">
        <v>-15.3</v>
      </c>
      <c r="G61">
        <v>-109.68</v>
      </c>
      <c r="H61">
        <v>0.49</v>
      </c>
      <c r="I61">
        <v>5.8599999999999999E-2</v>
      </c>
      <c r="J61">
        <v>0.14525982574737809</v>
      </c>
      <c r="K61">
        <v>-7.5440439033770696E-3</v>
      </c>
      <c r="L61">
        <v>-5.4080440217150132E-2</v>
      </c>
      <c r="M61">
        <v>7.1177314616215265E-2</v>
      </c>
      <c r="N61">
        <v>-3.6965815126547641E-3</v>
      </c>
      <c r="O61">
        <v>-2.6499415706403563E-2</v>
      </c>
      <c r="P61">
        <v>8.5122257887963564E-3</v>
      </c>
      <c r="Q61">
        <v>-4.4208097273789628E-4</v>
      </c>
      <c r="R61">
        <v>-3.1691137967249975E-3</v>
      </c>
    </row>
    <row r="62" spans="1:18">
      <c r="A62" t="s">
        <v>30</v>
      </c>
      <c r="B62">
        <v>2017</v>
      </c>
      <c r="C62">
        <v>-0.86146198056435264</v>
      </c>
      <c r="D62">
        <v>0.61743774749510283</v>
      </c>
      <c r="E62">
        <v>-996.01</v>
      </c>
      <c r="F62">
        <v>992.3</v>
      </c>
      <c r="G62">
        <v>136.58000000000001</v>
      </c>
      <c r="H62">
        <v>0.14560000000000001</v>
      </c>
      <c r="I62">
        <v>4.3799999999999999E-2</v>
      </c>
      <c r="J62">
        <v>-0.28072039571031976</v>
      </c>
      <c r="K62">
        <v>0.27967475091951916</v>
      </c>
      <c r="L62">
        <v>3.8494384239230003E-2</v>
      </c>
      <c r="M62">
        <v>-4.0872889615422556E-2</v>
      </c>
      <c r="N62">
        <v>4.0720643733881991E-2</v>
      </c>
      <c r="O62">
        <v>5.6047823452318891E-3</v>
      </c>
      <c r="P62">
        <v>-1.2295553332112005E-2</v>
      </c>
      <c r="Q62">
        <v>1.2249754090274938E-2</v>
      </c>
      <c r="R62">
        <v>1.6860540296782741E-3</v>
      </c>
    </row>
    <row r="63" spans="1:18">
      <c r="A63" t="s">
        <v>30</v>
      </c>
      <c r="B63">
        <v>2018</v>
      </c>
      <c r="C63">
        <v>-0.1203882569230884</v>
      </c>
      <c r="D63">
        <v>0.73542230901227856</v>
      </c>
      <c r="E63">
        <v>-1081</v>
      </c>
      <c r="F63">
        <v>-138.37</v>
      </c>
      <c r="G63">
        <v>1104.99</v>
      </c>
      <c r="H63">
        <v>0.20530000000000001</v>
      </c>
      <c r="I63">
        <v>4.2000000000000003E-2</v>
      </c>
      <c r="J63">
        <v>-0.2031714289473239</v>
      </c>
      <c r="K63">
        <v>-2.6006318800593162E-2</v>
      </c>
      <c r="L63">
        <v>0.20768029349907813</v>
      </c>
      <c r="M63">
        <v>-4.1711094362885601E-2</v>
      </c>
      <c r="N63">
        <v>-5.3390972497617765E-3</v>
      </c>
      <c r="O63">
        <v>4.263676425536074E-2</v>
      </c>
      <c r="P63">
        <v>-8.5332000157876051E-3</v>
      </c>
      <c r="Q63">
        <v>-1.0922653896249129E-3</v>
      </c>
      <c r="R63">
        <v>8.7225723269612823E-3</v>
      </c>
    </row>
    <row r="64" spans="1:18">
      <c r="A64" t="s">
        <v>30</v>
      </c>
      <c r="B64">
        <v>2019</v>
      </c>
      <c r="C64">
        <v>3.3510653505930112E-2</v>
      </c>
      <c r="D64">
        <v>0.77607159004444048</v>
      </c>
      <c r="E64">
        <v>-969.4</v>
      </c>
      <c r="F64">
        <v>182.26</v>
      </c>
      <c r="G64">
        <v>863.67</v>
      </c>
      <c r="H64">
        <v>0.20619999999999999</v>
      </c>
      <c r="I64">
        <v>4.7500000000000001E-2</v>
      </c>
      <c r="J64">
        <v>-0.13362482493962483</v>
      </c>
      <c r="K64">
        <v>2.5123231476682505E-2</v>
      </c>
      <c r="L64">
        <v>0.11905070410109943</v>
      </c>
      <c r="M64">
        <v>-2.7553438902550638E-2</v>
      </c>
      <c r="N64">
        <v>5.1804103304919323E-3</v>
      </c>
      <c r="O64">
        <v>2.4548255185646701E-2</v>
      </c>
      <c r="P64">
        <v>-6.347179184632179E-3</v>
      </c>
      <c r="Q64">
        <v>1.1933534951424191E-3</v>
      </c>
      <c r="R64">
        <v>5.654908444802223E-3</v>
      </c>
    </row>
    <row r="65" spans="1:18">
      <c r="A65" t="s">
        <v>30</v>
      </c>
      <c r="B65">
        <v>2020</v>
      </c>
      <c r="C65">
        <v>0.64623993552511194</v>
      </c>
      <c r="D65">
        <v>0.87722869987483854</v>
      </c>
      <c r="E65">
        <v>-2226</v>
      </c>
      <c r="F65">
        <v>-613.78</v>
      </c>
      <c r="G65">
        <v>3592.96</v>
      </c>
      <c r="H65">
        <v>0.14460000000000001</v>
      </c>
      <c r="I65">
        <v>8.3299999999999999E-2</v>
      </c>
      <c r="J65">
        <v>-9.2224206741316067E-2</v>
      </c>
      <c r="K65">
        <v>-2.5429188505698551E-2</v>
      </c>
      <c r="L65">
        <v>0.14885799005088904</v>
      </c>
      <c r="M65">
        <v>-1.3335620294794305E-2</v>
      </c>
      <c r="N65">
        <v>-3.6770606579240106E-3</v>
      </c>
      <c r="O65">
        <v>2.1524865361358555E-2</v>
      </c>
      <c r="P65">
        <v>-7.6822764215516287E-3</v>
      </c>
      <c r="Q65">
        <v>-2.1182514025246892E-3</v>
      </c>
      <c r="R65">
        <v>1.2399870571239056E-2</v>
      </c>
    </row>
    <row r="66" spans="1:18">
      <c r="A66" t="s">
        <v>30</v>
      </c>
      <c r="B66">
        <v>2021</v>
      </c>
      <c r="C66">
        <v>1.4409795092964583E-2</v>
      </c>
      <c r="D66">
        <v>0.77846329451863427</v>
      </c>
      <c r="E66">
        <v>-9012.08</v>
      </c>
      <c r="F66">
        <v>-971.01</v>
      </c>
      <c r="G66">
        <v>10123.52</v>
      </c>
      <c r="H66">
        <v>2.3800000000000002E-2</v>
      </c>
      <c r="I66">
        <v>0.1201</v>
      </c>
      <c r="J66">
        <v>-0.23911489007631601</v>
      </c>
      <c r="K66">
        <v>-2.5763525114402403E-2</v>
      </c>
      <c r="L66">
        <v>0.26860440342133968</v>
      </c>
      <c r="M66">
        <v>-5.6909343838163215E-3</v>
      </c>
      <c r="N66">
        <v>-6.1317189772277722E-4</v>
      </c>
      <c r="O66">
        <v>6.3927848014278844E-3</v>
      </c>
      <c r="P66">
        <v>-2.8717698298165551E-2</v>
      </c>
      <c r="Q66">
        <v>-3.0941993662397284E-3</v>
      </c>
      <c r="R66">
        <v>3.2259388850902897E-2</v>
      </c>
    </row>
    <row r="67" spans="1:18">
      <c r="A67" t="s">
        <v>31</v>
      </c>
      <c r="B67">
        <v>2017</v>
      </c>
      <c r="C67">
        <v>-3.664020053163044</v>
      </c>
      <c r="D67">
        <v>0.14854242373584345</v>
      </c>
      <c r="E67">
        <v>90.478999999999999</v>
      </c>
      <c r="F67">
        <v>-5.2309999999999999</v>
      </c>
      <c r="G67">
        <v>-12.223000000000001</v>
      </c>
      <c r="H67">
        <v>0.1077</v>
      </c>
      <c r="I67">
        <v>1.01E-2</v>
      </c>
      <c r="J67">
        <v>0.40028775448852444</v>
      </c>
      <c r="K67">
        <v>-2.3142444586362266E-2</v>
      </c>
      <c r="L67">
        <v>-5.4075721693577904E-2</v>
      </c>
      <c r="M67">
        <v>4.3110991158414082E-2</v>
      </c>
      <c r="N67">
        <v>-2.492441281951216E-3</v>
      </c>
      <c r="O67">
        <v>-5.8239552263983406E-3</v>
      </c>
      <c r="P67">
        <v>4.0429063203340967E-3</v>
      </c>
      <c r="Q67">
        <v>-2.3373869032225887E-4</v>
      </c>
      <c r="R67">
        <v>-5.4616478910513684E-4</v>
      </c>
    </row>
    <row r="68" spans="1:18">
      <c r="A68" t="s">
        <v>31</v>
      </c>
      <c r="B68">
        <v>2018</v>
      </c>
      <c r="C68">
        <v>-3.422702487432848</v>
      </c>
      <c r="D68">
        <v>0.19979061521907687</v>
      </c>
      <c r="E68">
        <v>-12.954000000000001</v>
      </c>
      <c r="F68">
        <v>-4.0659999999999998</v>
      </c>
      <c r="G68">
        <v>-8.4960000000000004</v>
      </c>
      <c r="H68">
        <v>0.15310000000000001</v>
      </c>
      <c r="I68">
        <v>1.01E-2</v>
      </c>
      <c r="J68">
        <v>-5.283687786359928E-2</v>
      </c>
      <c r="K68">
        <v>-1.6584433024038493E-2</v>
      </c>
      <c r="L68">
        <v>-3.4653552132865487E-2</v>
      </c>
      <c r="M68">
        <v>-8.0893260009170503E-3</v>
      </c>
      <c r="N68">
        <v>-2.5390766959802933E-3</v>
      </c>
      <c r="O68">
        <v>-5.3054588315417069E-3</v>
      </c>
      <c r="P68">
        <v>-5.3365246642235269E-4</v>
      </c>
      <c r="Q68">
        <v>-1.6750277354278878E-4</v>
      </c>
      <c r="R68">
        <v>-3.500008765419414E-4</v>
      </c>
    </row>
    <row r="69" spans="1:18">
      <c r="A69" t="s">
        <v>31</v>
      </c>
      <c r="B69">
        <v>2019</v>
      </c>
      <c r="C69">
        <v>-4.1387968183481165</v>
      </c>
      <c r="D69">
        <v>9.1176544270548013E-2</v>
      </c>
      <c r="E69">
        <v>-5.0869999999999997</v>
      </c>
      <c r="F69">
        <v>-34.115000000000002</v>
      </c>
      <c r="G69">
        <v>-9.9139999999999997</v>
      </c>
      <c r="H69">
        <v>0.2112</v>
      </c>
      <c r="I69">
        <v>1.01E-2</v>
      </c>
      <c r="J69">
        <v>-2.3015771478169085E-2</v>
      </c>
      <c r="K69">
        <v>-0.15435090308192223</v>
      </c>
      <c r="L69">
        <v>-4.4855191357296695E-2</v>
      </c>
      <c r="M69">
        <v>-4.8609309361893104E-3</v>
      </c>
      <c r="N69">
        <v>-3.2598910730901973E-2</v>
      </c>
      <c r="O69">
        <v>-9.4734164146610626E-3</v>
      </c>
      <c r="P69">
        <v>-2.3245929192950774E-4</v>
      </c>
      <c r="Q69">
        <v>-1.5589441211274146E-3</v>
      </c>
      <c r="R69">
        <v>-4.5303743270869661E-4</v>
      </c>
    </row>
    <row r="70" spans="1:18">
      <c r="A70" t="s">
        <v>31</v>
      </c>
      <c r="B70">
        <v>2020</v>
      </c>
      <c r="C70">
        <v>-3.9613107419457068</v>
      </c>
      <c r="D70">
        <v>0.11543777995520717</v>
      </c>
      <c r="E70">
        <v>-13.707000000000001</v>
      </c>
      <c r="F70">
        <v>23.664000000000001</v>
      </c>
      <c r="G70">
        <v>-9.9139999999999997</v>
      </c>
      <c r="H70">
        <v>0.2132</v>
      </c>
      <c r="I70">
        <v>1.01E-2</v>
      </c>
      <c r="J70">
        <v>-5.995853163493841E-2</v>
      </c>
      <c r="K70">
        <v>0.10351343784994402</v>
      </c>
      <c r="L70">
        <v>-4.3366811310190365E-2</v>
      </c>
      <c r="M70">
        <v>-1.2783158944568869E-2</v>
      </c>
      <c r="N70">
        <v>2.2069064949608065E-2</v>
      </c>
      <c r="O70">
        <v>-9.2458041713325851E-3</v>
      </c>
      <c r="P70">
        <v>-6.0558116951287791E-4</v>
      </c>
      <c r="Q70">
        <v>1.0454857222844346E-3</v>
      </c>
      <c r="R70">
        <v>-4.3800479423292268E-4</v>
      </c>
    </row>
    <row r="71" spans="1:18">
      <c r="A71" t="s">
        <v>31</v>
      </c>
      <c r="B71">
        <v>2021</v>
      </c>
      <c r="C71">
        <v>-3.8148869346924266</v>
      </c>
      <c r="D71">
        <v>0.14539033304587082</v>
      </c>
      <c r="E71">
        <v>80.171999999999997</v>
      </c>
      <c r="F71">
        <v>-3.5910000000000002</v>
      </c>
      <c r="G71">
        <v>0</v>
      </c>
      <c r="H71">
        <v>6.7299999999999999E-2</v>
      </c>
      <c r="I71">
        <v>1.01E-2</v>
      </c>
      <c r="J71">
        <v>0.32923493901687817</v>
      </c>
      <c r="K71">
        <v>-1.4746827645681904E-2</v>
      </c>
      <c r="L71">
        <v>0</v>
      </c>
      <c r="M71">
        <v>2.21575113958359E-2</v>
      </c>
      <c r="N71">
        <v>-9.9246150055439224E-4</v>
      </c>
      <c r="O71">
        <v>0</v>
      </c>
      <c r="P71">
        <v>3.3252728840704694E-3</v>
      </c>
      <c r="Q71">
        <v>-1.4894295922138724E-4</v>
      </c>
      <c r="R71">
        <v>0</v>
      </c>
    </row>
    <row r="72" spans="1:18">
      <c r="A72" t="s">
        <v>32</v>
      </c>
      <c r="B72">
        <v>2017</v>
      </c>
      <c r="C72">
        <v>-4.2054224767977821</v>
      </c>
      <c r="D72">
        <v>0.14732989630421886</v>
      </c>
      <c r="E72">
        <v>741.59400000000005</v>
      </c>
      <c r="F72">
        <v>-351.85700000000003</v>
      </c>
      <c r="G72">
        <v>-349.38499999999999</v>
      </c>
      <c r="H72">
        <v>0.42520000000000002</v>
      </c>
      <c r="I72">
        <v>7.9600000000000001E-3</v>
      </c>
      <c r="J72">
        <v>0.25819288585108252</v>
      </c>
      <c r="K72">
        <v>-0.12250230481490457</v>
      </c>
      <c r="L72">
        <v>-0.1216416548988806</v>
      </c>
      <c r="M72">
        <v>0.10978361506388029</v>
      </c>
      <c r="N72">
        <v>-5.2087980007297426E-2</v>
      </c>
      <c r="O72">
        <v>-5.1722031663004035E-2</v>
      </c>
      <c r="P72">
        <v>2.0552153713746168E-3</v>
      </c>
      <c r="Q72">
        <v>-9.751183463266404E-4</v>
      </c>
      <c r="R72">
        <v>-9.682675729950895E-4</v>
      </c>
    </row>
    <row r="73" spans="1:18">
      <c r="A73" t="s">
        <v>32</v>
      </c>
      <c r="B73">
        <v>2018</v>
      </c>
      <c r="C73">
        <v>-4.2776739295491586</v>
      </c>
      <c r="D73">
        <v>0.12749671253588829</v>
      </c>
      <c r="E73">
        <v>122.92700000000001</v>
      </c>
      <c r="F73">
        <v>175.58199999999999</v>
      </c>
      <c r="G73">
        <v>-331.69</v>
      </c>
      <c r="H73">
        <v>0.76900000000000002</v>
      </c>
      <c r="I73">
        <v>7.9600000000000001E-3</v>
      </c>
      <c r="J73">
        <v>4.3712071482875675E-2</v>
      </c>
      <c r="K73">
        <v>6.2435859779432314E-2</v>
      </c>
      <c r="L73">
        <v>-0.1179468870968545</v>
      </c>
      <c r="M73">
        <v>3.3614582970331396E-2</v>
      </c>
      <c r="N73">
        <v>4.8013176170383448E-2</v>
      </c>
      <c r="O73">
        <v>-9.0701156177481104E-2</v>
      </c>
      <c r="P73">
        <v>3.4794808900369037E-4</v>
      </c>
      <c r="Q73">
        <v>4.9698944384428119E-4</v>
      </c>
      <c r="R73">
        <v>-9.3885722129096176E-4</v>
      </c>
    </row>
    <row r="74" spans="1:18">
      <c r="A74" t="s">
        <v>32</v>
      </c>
      <c r="B74">
        <v>2019</v>
      </c>
      <c r="C74">
        <v>-4.2230778202950914</v>
      </c>
      <c r="D74">
        <v>0.13355628797711644</v>
      </c>
      <c r="E74">
        <v>963.76300000000003</v>
      </c>
      <c r="F74">
        <v>-691.31700000000001</v>
      </c>
      <c r="G74">
        <v>-371.22899999999998</v>
      </c>
      <c r="H74">
        <v>0.80489999999999995</v>
      </c>
      <c r="I74">
        <v>7.9600000000000001E-3</v>
      </c>
      <c r="J74">
        <v>0.33817349127532931</v>
      </c>
      <c r="K74">
        <v>-0.24257528403558432</v>
      </c>
      <c r="L74">
        <v>-0.13026004006446526</v>
      </c>
      <c r="M74">
        <v>0.27219584312751255</v>
      </c>
      <c r="N74">
        <v>-0.19524884612024179</v>
      </c>
      <c r="O74">
        <v>-0.10484630624788809</v>
      </c>
      <c r="P74">
        <v>2.6918609905516211E-3</v>
      </c>
      <c r="Q74">
        <v>-1.9308992609232511E-3</v>
      </c>
      <c r="R74">
        <v>-1.0368699189131434E-3</v>
      </c>
    </row>
    <row r="75" spans="1:18">
      <c r="A75" t="s">
        <v>32</v>
      </c>
      <c r="B75">
        <v>2020</v>
      </c>
      <c r="C75">
        <v>-4.0546778969980695</v>
      </c>
      <c r="D75">
        <v>0.18235742677599337</v>
      </c>
      <c r="E75">
        <v>918.57799999999997</v>
      </c>
      <c r="F75">
        <v>-557.928</v>
      </c>
      <c r="G75">
        <v>-478.52699999999999</v>
      </c>
      <c r="H75">
        <v>0.81701999999999997</v>
      </c>
      <c r="I75">
        <v>7.9600000000000001E-3</v>
      </c>
      <c r="J75">
        <v>0.30388868396110158</v>
      </c>
      <c r="K75">
        <v>-0.18457660173120791</v>
      </c>
      <c r="L75">
        <v>-0.15830875578323675</v>
      </c>
      <c r="M75">
        <v>0.2482831325698992</v>
      </c>
      <c r="N75">
        <v>-0.15080277514643148</v>
      </c>
      <c r="O75">
        <v>-0.12934141965002008</v>
      </c>
      <c r="P75">
        <v>2.4189539243303685E-3</v>
      </c>
      <c r="Q75">
        <v>-1.4692297497804149E-3</v>
      </c>
      <c r="R75">
        <v>-1.2601376960345646E-3</v>
      </c>
    </row>
    <row r="76" spans="1:18">
      <c r="A76" t="s">
        <v>32</v>
      </c>
      <c r="B76">
        <v>2021</v>
      </c>
      <c r="C76">
        <v>-3.5615950026788434</v>
      </c>
      <c r="D76">
        <v>0.1918752539181352</v>
      </c>
      <c r="E76">
        <v>-30.689</v>
      </c>
      <c r="F76">
        <v>290.822</v>
      </c>
      <c r="G76">
        <v>-282.911</v>
      </c>
      <c r="H76">
        <v>0.84589999999999999</v>
      </c>
      <c r="I76">
        <v>7.7000000000000002E-3</v>
      </c>
      <c r="J76">
        <v>-1.0813521112070699E-2</v>
      </c>
      <c r="K76">
        <v>0.10247351939960979</v>
      </c>
      <c r="L76">
        <v>-9.9686013598912757E-2</v>
      </c>
      <c r="M76">
        <v>-9.1471575087006037E-3</v>
      </c>
      <c r="N76">
        <v>8.668235006012992E-2</v>
      </c>
      <c r="O76">
        <v>-8.4324398903320302E-2</v>
      </c>
      <c r="P76">
        <v>-8.3264112562944393E-5</v>
      </c>
      <c r="Q76">
        <v>7.8904609937699541E-4</v>
      </c>
      <c r="R76">
        <v>-7.6758230471162827E-4</v>
      </c>
    </row>
    <row r="77" spans="1:18">
      <c r="A77" t="s">
        <v>33</v>
      </c>
      <c r="B77">
        <v>2017</v>
      </c>
      <c r="C77">
        <v>-3.2275209546143406</v>
      </c>
      <c r="D77">
        <v>0.23735710058250009</v>
      </c>
      <c r="E77">
        <v>21.972999999999999</v>
      </c>
      <c r="F77">
        <v>1.776</v>
      </c>
      <c r="G77">
        <v>-24.806000000000001</v>
      </c>
      <c r="H77">
        <v>3.5699999999999998E-3</v>
      </c>
      <c r="I77">
        <v>1.3849999999999999E-3</v>
      </c>
      <c r="J77">
        <v>8.5556645796343006E-2</v>
      </c>
      <c r="K77">
        <v>6.9152415662087656E-3</v>
      </c>
      <c r="L77">
        <v>-9.6587546335233462E-2</v>
      </c>
      <c r="M77">
        <v>3.054372254929445E-4</v>
      </c>
      <c r="N77">
        <v>2.4687412391365291E-5</v>
      </c>
      <c r="O77">
        <v>-3.4481754041678346E-4</v>
      </c>
      <c r="P77">
        <v>1.1849595442793506E-4</v>
      </c>
      <c r="Q77">
        <v>9.5776095691991399E-6</v>
      </c>
      <c r="R77">
        <v>-1.3377375167429833E-4</v>
      </c>
    </row>
    <row r="78" spans="1:18">
      <c r="A78" t="s">
        <v>33</v>
      </c>
      <c r="B78">
        <v>2018</v>
      </c>
      <c r="C78">
        <v>-3.1606735571362905</v>
      </c>
      <c r="D78">
        <v>0.25179556456152202</v>
      </c>
      <c r="E78">
        <v>22.004999999999999</v>
      </c>
      <c r="F78">
        <v>-3.3479999999999999</v>
      </c>
      <c r="G78">
        <v>-12.294</v>
      </c>
      <c r="H78">
        <v>3.2000000000000002E-3</v>
      </c>
      <c r="I78">
        <v>1.3849999999999999E-3</v>
      </c>
      <c r="J78">
        <v>8.2573454913880434E-2</v>
      </c>
      <c r="K78">
        <v>-1.2563323201621074E-2</v>
      </c>
      <c r="L78">
        <v>-4.6133063154339751E-2</v>
      </c>
      <c r="M78">
        <v>2.6423505572441741E-4</v>
      </c>
      <c r="N78">
        <v>-4.0202634245187436E-5</v>
      </c>
      <c r="O78">
        <v>-1.4762580209388721E-4</v>
      </c>
      <c r="P78">
        <v>1.143642350557244E-4</v>
      </c>
      <c r="Q78">
        <v>-1.7400202634245185E-5</v>
      </c>
      <c r="R78">
        <v>-6.3894292468760549E-5</v>
      </c>
    </row>
    <row r="79" spans="1:18">
      <c r="A79" t="s">
        <v>33</v>
      </c>
      <c r="B79">
        <v>2019</v>
      </c>
      <c r="C79">
        <v>-3.255750315098481</v>
      </c>
      <c r="D79">
        <v>0.24216963771214006</v>
      </c>
      <c r="E79">
        <v>31.21</v>
      </c>
      <c r="F79">
        <v>-2.9430000000000001</v>
      </c>
      <c r="G79">
        <v>-31.558</v>
      </c>
      <c r="H79">
        <v>4.4000000000000003E-3</v>
      </c>
      <c r="I79">
        <v>1.3849999999999999E-3</v>
      </c>
      <c r="J79">
        <v>0.11602877483874566</v>
      </c>
      <c r="K79">
        <v>-1.0941130546312992E-2</v>
      </c>
      <c r="L79">
        <v>-0.11732252727847277</v>
      </c>
      <c r="M79">
        <v>5.1052660929048089E-4</v>
      </c>
      <c r="N79">
        <v>-4.8140974403777165E-5</v>
      </c>
      <c r="O79">
        <v>-5.1621912002528024E-4</v>
      </c>
      <c r="P79">
        <v>1.6069985315166272E-4</v>
      </c>
      <c r="Q79">
        <v>-1.5153465806643493E-5</v>
      </c>
      <c r="R79">
        <v>-1.6249170028068477E-4</v>
      </c>
    </row>
    <row r="80" spans="1:18">
      <c r="A80" t="s">
        <v>33</v>
      </c>
      <c r="B80">
        <v>2020</v>
      </c>
      <c r="C80">
        <v>-2.9368970341197165</v>
      </c>
      <c r="D80">
        <v>0.29728443087302181</v>
      </c>
      <c r="E80">
        <v>-6.258</v>
      </c>
      <c r="F80">
        <v>-2.4729999999999999</v>
      </c>
      <c r="G80">
        <v>8.31</v>
      </c>
      <c r="H80">
        <v>3.8E-3</v>
      </c>
      <c r="I80">
        <v>1.58E-3</v>
      </c>
      <c r="J80">
        <v>-2.1279779109228038E-2</v>
      </c>
      <c r="K80">
        <v>-8.409219197366721E-3</v>
      </c>
      <c r="L80">
        <v>2.8257424799885748E-2</v>
      </c>
      <c r="M80">
        <v>-8.086316061506655E-5</v>
      </c>
      <c r="N80">
        <v>-3.1955032949993538E-5</v>
      </c>
      <c r="O80">
        <v>1.0737821423956584E-4</v>
      </c>
      <c r="P80">
        <v>-3.36220509925803E-5</v>
      </c>
      <c r="Q80">
        <v>-1.3286566331839419E-5</v>
      </c>
      <c r="R80">
        <v>4.4646731183819484E-5</v>
      </c>
    </row>
    <row r="81" spans="1:18">
      <c r="A81" t="s">
        <v>33</v>
      </c>
      <c r="B81">
        <v>2021</v>
      </c>
      <c r="C81">
        <v>-2.7944410400289525</v>
      </c>
      <c r="D81">
        <v>0.3205632210488451</v>
      </c>
      <c r="E81">
        <v>14.21</v>
      </c>
      <c r="F81">
        <v>-15.085000000000001</v>
      </c>
      <c r="G81">
        <v>2.0179999999999998</v>
      </c>
      <c r="H81">
        <v>0.01</v>
      </c>
      <c r="I81">
        <v>1.5900000000000001E-3</v>
      </c>
      <c r="J81">
        <v>4.5639661861815575E-2</v>
      </c>
      <c r="K81">
        <v>-4.8449985868085001E-2</v>
      </c>
      <c r="L81">
        <v>6.481410108173386E-3</v>
      </c>
      <c r="M81">
        <v>4.5639661861815575E-4</v>
      </c>
      <c r="N81">
        <v>-4.8449985868085E-4</v>
      </c>
      <c r="O81">
        <v>6.4814101081733864E-5</v>
      </c>
      <c r="P81">
        <v>7.2567062360286773E-5</v>
      </c>
      <c r="Q81">
        <v>-7.7035477530255149E-5</v>
      </c>
      <c r="R81">
        <v>1.0305442071995684E-5</v>
      </c>
    </row>
    <row r="82" spans="1:18">
      <c r="A82" t="s">
        <v>34</v>
      </c>
      <c r="B82">
        <v>2017</v>
      </c>
      <c r="C82">
        <v>-0.41428627179681149</v>
      </c>
      <c r="D82">
        <v>0.69702243295390365</v>
      </c>
      <c r="E82">
        <v>1887.7670000000001</v>
      </c>
      <c r="F82">
        <v>-1916.769</v>
      </c>
      <c r="G82">
        <v>85.162000000000006</v>
      </c>
      <c r="H82">
        <v>6.9999999999999999E-4</v>
      </c>
      <c r="I82">
        <v>2.32E-3</v>
      </c>
      <c r="J82">
        <v>0.17068931641431881</v>
      </c>
      <c r="K82">
        <v>-0.17331163768312374</v>
      </c>
      <c r="L82">
        <v>7.7002318424234661E-3</v>
      </c>
      <c r="M82">
        <v>1.1948252149002317E-4</v>
      </c>
      <c r="N82">
        <v>-1.2131814637818662E-4</v>
      </c>
      <c r="O82">
        <v>5.3901622896964266E-6</v>
      </c>
      <c r="P82">
        <v>3.9599921408121962E-4</v>
      </c>
      <c r="Q82">
        <v>-4.0208299942484708E-4</v>
      </c>
      <c r="R82">
        <v>1.7864537874422441E-5</v>
      </c>
    </row>
    <row r="83" spans="1:18">
      <c r="A83" t="s">
        <v>34</v>
      </c>
      <c r="B83">
        <v>2018</v>
      </c>
      <c r="C83">
        <v>-0.4156734250828511</v>
      </c>
      <c r="D83">
        <v>0.70050950128186396</v>
      </c>
      <c r="E83">
        <v>3381.078</v>
      </c>
      <c r="F83">
        <v>-3466.3409999999999</v>
      </c>
      <c r="G83">
        <v>-17.456</v>
      </c>
      <c r="H83">
        <v>1.4E-3</v>
      </c>
      <c r="I83">
        <v>2.4979999999999998E-3</v>
      </c>
      <c r="J83">
        <v>0.24539716735025729</v>
      </c>
      <c r="K83">
        <v>-0.25158551872215257</v>
      </c>
      <c r="L83">
        <v>-1.2669488705277106E-3</v>
      </c>
      <c r="M83">
        <v>3.4355603429036023E-4</v>
      </c>
      <c r="N83">
        <v>-3.522197262110136E-4</v>
      </c>
      <c r="O83">
        <v>-1.7737284187387949E-6</v>
      </c>
      <c r="P83">
        <v>6.1300212404094263E-4</v>
      </c>
      <c r="Q83">
        <v>-6.284606257679371E-4</v>
      </c>
      <c r="R83">
        <v>-3.164838278578221E-6</v>
      </c>
    </row>
    <row r="84" spans="1:18">
      <c r="A84" t="s">
        <v>34</v>
      </c>
      <c r="B84">
        <v>2019</v>
      </c>
      <c r="C84">
        <v>-0.9696888969616908</v>
      </c>
      <c r="D84">
        <v>0.64562732521818023</v>
      </c>
      <c r="E84">
        <v>462.89699999999999</v>
      </c>
      <c r="F84">
        <v>-701.79700000000003</v>
      </c>
      <c r="G84">
        <v>146.548</v>
      </c>
      <c r="H84">
        <v>0.1002</v>
      </c>
      <c r="I84">
        <v>2.47E-3</v>
      </c>
      <c r="J84">
        <v>7.4570816314892249E-2</v>
      </c>
      <c r="K84">
        <v>-0.11305663069180064</v>
      </c>
      <c r="L84">
        <v>2.3608284325270699E-2</v>
      </c>
      <c r="M84">
        <v>7.4719957947522028E-3</v>
      </c>
      <c r="N84">
        <v>-1.1328274395318423E-2</v>
      </c>
      <c r="O84">
        <v>2.365550089392124E-3</v>
      </c>
      <c r="P84">
        <v>1.8418991629778385E-4</v>
      </c>
      <c r="Q84">
        <v>-2.7924987780874759E-4</v>
      </c>
      <c r="R84">
        <v>5.8312462283418624E-5</v>
      </c>
    </row>
    <row r="85" spans="1:18">
      <c r="A85" t="s">
        <v>34</v>
      </c>
      <c r="B85">
        <v>2020</v>
      </c>
      <c r="C85">
        <v>-1.253893658775513</v>
      </c>
      <c r="D85">
        <v>0.58653602791127601</v>
      </c>
      <c r="E85">
        <v>1149.9760000000001</v>
      </c>
      <c r="F85">
        <v>-1887.691</v>
      </c>
      <c r="G85">
        <v>1391.001</v>
      </c>
      <c r="H85">
        <v>0.15260000000000001</v>
      </c>
      <c r="I85">
        <v>9.0399999999999994E-3</v>
      </c>
      <c r="J85">
        <v>0.13946130189478503</v>
      </c>
      <c r="K85">
        <v>-0.2289263814506291</v>
      </c>
      <c r="L85">
        <v>0.16869118172635592</v>
      </c>
      <c r="M85">
        <v>2.1281794669144198E-2</v>
      </c>
      <c r="N85">
        <v>-3.4934165809366001E-2</v>
      </c>
      <c r="O85">
        <v>2.5742274331441915E-2</v>
      </c>
      <c r="P85">
        <v>1.2607301691288566E-3</v>
      </c>
      <c r="Q85">
        <v>-2.0694944883136871E-3</v>
      </c>
      <c r="R85">
        <v>1.5249682828062574E-3</v>
      </c>
    </row>
    <row r="86" spans="1:18">
      <c r="A86" t="s">
        <v>34</v>
      </c>
      <c r="B86">
        <v>2021</v>
      </c>
      <c r="C86">
        <v>-1.4457258585155954</v>
      </c>
      <c r="D86">
        <v>0.56740141150622569</v>
      </c>
      <c r="E86">
        <v>892.22400000000005</v>
      </c>
      <c r="F86">
        <v>-1080.8520000000001</v>
      </c>
      <c r="G86">
        <v>-63.332999999999998</v>
      </c>
      <c r="H86">
        <v>0.19109999999999999</v>
      </c>
      <c r="I86">
        <v>1.34E-2</v>
      </c>
      <c r="J86">
        <v>9.8329122149102499E-2</v>
      </c>
      <c r="K86">
        <v>-0.11911720412486297</v>
      </c>
      <c r="L86">
        <v>-6.9797251509364326E-3</v>
      </c>
      <c r="M86">
        <v>1.8790695242693486E-2</v>
      </c>
      <c r="N86">
        <v>-2.2763297708261312E-2</v>
      </c>
      <c r="O86">
        <v>-1.3338254763439522E-3</v>
      </c>
      <c r="P86">
        <v>1.3176102367979735E-3</v>
      </c>
      <c r="Q86">
        <v>-1.596170535273164E-3</v>
      </c>
      <c r="R86">
        <v>-9.3528317022548204E-5</v>
      </c>
    </row>
    <row r="87" spans="1:18">
      <c r="A87" t="s">
        <v>35</v>
      </c>
      <c r="B87">
        <v>2017</v>
      </c>
      <c r="C87">
        <v>-2.5119160168086472</v>
      </c>
      <c r="D87">
        <v>0.41151057967525351</v>
      </c>
      <c r="E87">
        <v>44.027000000000001</v>
      </c>
      <c r="F87">
        <v>-118.803</v>
      </c>
      <c r="G87">
        <v>99.227000000000004</v>
      </c>
      <c r="H87">
        <v>0.317</v>
      </c>
      <c r="I87">
        <v>2.3799999999999998E-2</v>
      </c>
      <c r="J87">
        <v>5.8886392210363001E-2</v>
      </c>
      <c r="K87">
        <v>-0.15889976727389454</v>
      </c>
      <c r="L87">
        <v>0.13271674290452881</v>
      </c>
      <c r="M87">
        <v>1.8666986330685073E-2</v>
      </c>
      <c r="N87">
        <v>-5.0371226225824572E-2</v>
      </c>
      <c r="O87">
        <v>4.2071207500735633E-2</v>
      </c>
      <c r="P87">
        <v>1.4014961346066393E-3</v>
      </c>
      <c r="Q87">
        <v>-3.7818144611186898E-3</v>
      </c>
      <c r="R87">
        <v>3.1586584811277856E-3</v>
      </c>
    </row>
    <row r="88" spans="1:18">
      <c r="A88" t="s">
        <v>35</v>
      </c>
      <c r="B88">
        <v>2018</v>
      </c>
      <c r="C88">
        <v>-2.7181253700001142</v>
      </c>
      <c r="D88">
        <v>0.37191667582326321</v>
      </c>
      <c r="E88">
        <v>71.287999999999997</v>
      </c>
      <c r="F88">
        <v>-25.872</v>
      </c>
      <c r="G88">
        <v>-57.591000000000001</v>
      </c>
      <c r="H88">
        <v>0.30659999999999998</v>
      </c>
      <c r="I88">
        <v>2.3699999999999999E-2</v>
      </c>
      <c r="J88">
        <v>9.1082156391261798E-2</v>
      </c>
      <c r="K88">
        <v>-3.3055739397300041E-2</v>
      </c>
      <c r="L88">
        <v>-7.358198390653628E-2</v>
      </c>
      <c r="M88">
        <v>2.7925789149560867E-2</v>
      </c>
      <c r="N88">
        <v>-1.0134889699212193E-2</v>
      </c>
      <c r="O88">
        <v>-2.2560236265744021E-2</v>
      </c>
      <c r="P88">
        <v>2.1586471064729044E-3</v>
      </c>
      <c r="Q88">
        <v>-7.8342102371601089E-4</v>
      </c>
      <c r="R88">
        <v>-1.7438930185849097E-3</v>
      </c>
    </row>
    <row r="89" spans="1:18">
      <c r="A89" t="s">
        <v>35</v>
      </c>
      <c r="B89">
        <v>2019</v>
      </c>
      <c r="C89">
        <v>-2.2437906730478443</v>
      </c>
      <c r="D89">
        <v>0.42847284644717526</v>
      </c>
      <c r="E89">
        <v>62.805</v>
      </c>
      <c r="F89">
        <v>-90.504000000000005</v>
      </c>
      <c r="G89">
        <v>56.23</v>
      </c>
      <c r="H89">
        <v>0.27487</v>
      </c>
      <c r="I89">
        <v>2.3699999999999999E-2</v>
      </c>
      <c r="J89">
        <v>7.0129696110233328E-2</v>
      </c>
      <c r="K89">
        <v>-0.10105911976372195</v>
      </c>
      <c r="L89">
        <v>6.2787880141364855E-2</v>
      </c>
      <c r="M89">
        <v>1.9276549569819834E-2</v>
      </c>
      <c r="N89">
        <v>-2.7778120249454252E-2</v>
      </c>
      <c r="O89">
        <v>1.7258504614456958E-2</v>
      </c>
      <c r="P89">
        <v>1.6620737978125298E-3</v>
      </c>
      <c r="Q89">
        <v>-2.3951011384002103E-3</v>
      </c>
      <c r="R89">
        <v>1.4880727593503469E-3</v>
      </c>
    </row>
    <row r="90" spans="1:18">
      <c r="A90" t="s">
        <v>35</v>
      </c>
      <c r="B90">
        <v>2020</v>
      </c>
      <c r="C90">
        <v>-2.2023910824374946</v>
      </c>
      <c r="D90">
        <v>0.4361341188116174</v>
      </c>
      <c r="E90">
        <v>59.665999999999997</v>
      </c>
      <c r="F90">
        <v>-38.386000000000003</v>
      </c>
      <c r="G90">
        <v>1.643</v>
      </c>
      <c r="H90">
        <v>0.13450999999999999</v>
      </c>
      <c r="I90">
        <v>2.3519999999999996E-2</v>
      </c>
      <c r="J90">
        <v>6.114065137040274E-2</v>
      </c>
      <c r="K90">
        <v>-3.9334713966149563E-2</v>
      </c>
      <c r="L90">
        <v>1.6836069151874051E-3</v>
      </c>
      <c r="M90">
        <v>8.2240290158328722E-3</v>
      </c>
      <c r="N90">
        <v>-5.290912375586777E-3</v>
      </c>
      <c r="O90">
        <v>2.2646196616185783E-4</v>
      </c>
      <c r="P90">
        <v>1.4380281202318723E-3</v>
      </c>
      <c r="Q90">
        <v>-9.2515247248383759E-4</v>
      </c>
      <c r="R90">
        <v>3.9598434645207761E-5</v>
      </c>
    </row>
    <row r="91" spans="1:18">
      <c r="A91" t="s">
        <v>35</v>
      </c>
      <c r="B91">
        <v>2021</v>
      </c>
      <c r="C91">
        <v>-2.3748474753065612</v>
      </c>
      <c r="D91">
        <v>0.39991511087998977</v>
      </c>
      <c r="E91">
        <v>-13.403</v>
      </c>
      <c r="F91">
        <v>129.637</v>
      </c>
      <c r="G91">
        <v>-92.899000000000001</v>
      </c>
      <c r="H91">
        <v>4.104E-2</v>
      </c>
      <c r="I91">
        <v>2.3539999999999998E-2</v>
      </c>
      <c r="J91">
        <v>-1.3774441591969038E-2</v>
      </c>
      <c r="K91">
        <v>0.13322967131672686</v>
      </c>
      <c r="L91">
        <v>-9.5473539465219096E-2</v>
      </c>
      <c r="M91">
        <v>-5.653030829344093E-4</v>
      </c>
      <c r="N91">
        <v>5.4677457108384701E-3</v>
      </c>
      <c r="O91">
        <v>-3.9182340596525915E-3</v>
      </c>
      <c r="P91">
        <v>-3.2425035507495115E-4</v>
      </c>
      <c r="Q91">
        <v>3.1362264627957503E-3</v>
      </c>
      <c r="R91">
        <v>-2.2474471190112575E-3</v>
      </c>
    </row>
    <row r="92" spans="1:18">
      <c r="A92" t="s">
        <v>36</v>
      </c>
      <c r="B92">
        <v>2017</v>
      </c>
      <c r="C92">
        <v>-1.5638391011976287</v>
      </c>
      <c r="D92">
        <v>0.56776866449122243</v>
      </c>
      <c r="E92">
        <v>95.266999999999996</v>
      </c>
      <c r="F92">
        <v>-472.84100000000001</v>
      </c>
      <c r="G92">
        <v>388.065</v>
      </c>
      <c r="H92">
        <v>1.1013437500000001E-2</v>
      </c>
      <c r="I92">
        <v>1.99E-3</v>
      </c>
      <c r="J92">
        <v>3.2151418476696322E-2</v>
      </c>
      <c r="K92">
        <v>-0.15957791117532374</v>
      </c>
      <c r="L92">
        <v>0.13096707371030009</v>
      </c>
      <c r="M92">
        <v>3.5409763792944017E-4</v>
      </c>
      <c r="N92">
        <v>-1.7575013511099797E-3</v>
      </c>
      <c r="O92">
        <v>1.4423976808662833E-3</v>
      </c>
      <c r="P92">
        <v>6.3981322768625679E-5</v>
      </c>
      <c r="Q92">
        <v>-3.1756004323889428E-4</v>
      </c>
      <c r="R92">
        <v>2.6062447668349719E-4</v>
      </c>
    </row>
    <row r="93" spans="1:18">
      <c r="A93" t="s">
        <v>36</v>
      </c>
      <c r="B93">
        <v>2018</v>
      </c>
      <c r="C93">
        <v>-1.5417426189000301</v>
      </c>
      <c r="D93">
        <v>0.57795527752469644</v>
      </c>
      <c r="E93">
        <v>74.034000000000006</v>
      </c>
      <c r="F93">
        <v>39.081000000000003</v>
      </c>
      <c r="G93">
        <v>-18.016999999999999</v>
      </c>
      <c r="H93">
        <v>1.9E-3</v>
      </c>
      <c r="I93">
        <v>1.99E-3</v>
      </c>
      <c r="J93">
        <v>2.1244682301119859E-2</v>
      </c>
      <c r="K93">
        <v>1.1214623402896848E-2</v>
      </c>
      <c r="L93">
        <v>-5.1701304943576791E-3</v>
      </c>
      <c r="M93">
        <v>4.036489637212773E-5</v>
      </c>
      <c r="N93">
        <v>2.1307784465504011E-5</v>
      </c>
      <c r="O93">
        <v>-9.8232479392795901E-6</v>
      </c>
      <c r="P93">
        <v>4.2276917779228517E-5</v>
      </c>
      <c r="Q93">
        <v>2.2317100571764726E-5</v>
      </c>
      <c r="R93">
        <v>-1.0288559683771781E-5</v>
      </c>
    </row>
    <row r="94" spans="1:18">
      <c r="A94" t="s">
        <v>36</v>
      </c>
      <c r="B94">
        <v>2019</v>
      </c>
      <c r="C94">
        <v>-1.3999889288222962</v>
      </c>
      <c r="D94">
        <v>0.60585769539214551</v>
      </c>
      <c r="E94">
        <v>-175.80699999999999</v>
      </c>
      <c r="F94">
        <v>-252.429</v>
      </c>
      <c r="G94">
        <v>342.036</v>
      </c>
      <c r="H94">
        <v>1.9E-3</v>
      </c>
      <c r="I94">
        <v>1.99E-3</v>
      </c>
      <c r="J94">
        <v>-4.3354797789239952E-2</v>
      </c>
      <c r="K94">
        <v>-6.2250127987736853E-2</v>
      </c>
      <c r="L94">
        <v>8.4347617652542145E-2</v>
      </c>
      <c r="M94">
        <v>-8.2374115799555906E-5</v>
      </c>
      <c r="N94">
        <v>-1.1827524317670002E-4</v>
      </c>
      <c r="O94">
        <v>1.6026047353983008E-4</v>
      </c>
      <c r="P94">
        <v>-8.6276047600587506E-5</v>
      </c>
      <c r="Q94">
        <v>-1.2387775469559635E-4</v>
      </c>
      <c r="R94">
        <v>1.6785175912855887E-4</v>
      </c>
    </row>
    <row r="95" spans="1:18">
      <c r="A95" t="s">
        <v>36</v>
      </c>
      <c r="B95">
        <v>2020</v>
      </c>
      <c r="C95">
        <v>-0.70779683098529456</v>
      </c>
      <c r="D95">
        <v>0.6864456749169342</v>
      </c>
      <c r="E95">
        <v>215.10900000000001</v>
      </c>
      <c r="F95">
        <v>-182.23599999999999</v>
      </c>
      <c r="G95">
        <v>-70.453000000000003</v>
      </c>
      <c r="H95">
        <v>3.0000000000000001E-3</v>
      </c>
      <c r="I95">
        <v>1.99E-3</v>
      </c>
      <c r="J95">
        <v>3.8354071182962308E-2</v>
      </c>
      <c r="K95">
        <v>-3.2492794425608963E-2</v>
      </c>
      <c r="L95">
        <v>-1.2561814601217259E-2</v>
      </c>
      <c r="M95">
        <v>1.1506221354888692E-4</v>
      </c>
      <c r="N95">
        <v>-9.7478383276826893E-5</v>
      </c>
      <c r="O95">
        <v>-3.7685443803651776E-5</v>
      </c>
      <c r="P95">
        <v>7.632460165409499E-5</v>
      </c>
      <c r="Q95">
        <v>-6.4660660906961843E-5</v>
      </c>
      <c r="R95">
        <v>-2.4998011056422346E-5</v>
      </c>
    </row>
    <row r="96" spans="1:18">
      <c r="A96" t="s">
        <v>36</v>
      </c>
      <c r="B96">
        <v>2021</v>
      </c>
      <c r="C96">
        <v>-0.37426917965226114</v>
      </c>
      <c r="D96">
        <v>0.72940970145751682</v>
      </c>
      <c r="E96">
        <v>-603.55999999999995</v>
      </c>
      <c r="F96">
        <v>-80.001999999999995</v>
      </c>
      <c r="G96">
        <v>654.471</v>
      </c>
      <c r="H96">
        <v>1.9E-3</v>
      </c>
      <c r="I96">
        <v>1.99E-3</v>
      </c>
      <c r="J96">
        <v>-9.0780450767744256E-2</v>
      </c>
      <c r="K96">
        <v>-1.2032967099080583E-2</v>
      </c>
      <c r="L96">
        <v>9.8437889181550067E-2</v>
      </c>
      <c r="M96">
        <v>-1.724828564587141E-4</v>
      </c>
      <c r="N96">
        <v>-2.2862637488253106E-5</v>
      </c>
      <c r="O96">
        <v>1.8703198944494513E-4</v>
      </c>
      <c r="P96">
        <v>-1.8065309702781107E-4</v>
      </c>
      <c r="Q96">
        <v>-2.3945604527170359E-5</v>
      </c>
      <c r="R96">
        <v>1.9589139947128462E-4</v>
      </c>
    </row>
    <row r="97" spans="1:18">
      <c r="A97" t="s">
        <v>37</v>
      </c>
      <c r="B97">
        <v>2017</v>
      </c>
      <c r="C97">
        <v>-2.5492737619356407</v>
      </c>
      <c r="D97">
        <v>0.32296060401552223</v>
      </c>
      <c r="E97">
        <v>104.316</v>
      </c>
      <c r="F97">
        <v>-6.7859999999999996</v>
      </c>
      <c r="G97">
        <v>-89.444999999999993</v>
      </c>
      <c r="H97">
        <v>4.6100000000000002E-2</v>
      </c>
      <c r="I97">
        <v>9.4820000000000002E-2</v>
      </c>
      <c r="J97">
        <v>0.18333473932849673</v>
      </c>
      <c r="K97">
        <v>-1.1926353973342331E-2</v>
      </c>
      <c r="L97">
        <v>-0.15719904673527924</v>
      </c>
      <c r="M97">
        <v>8.4517314830436993E-3</v>
      </c>
      <c r="N97">
        <v>-5.4980491817108147E-4</v>
      </c>
      <c r="O97">
        <v>-7.2468760544963729E-3</v>
      </c>
      <c r="P97">
        <v>1.738379998312806E-2</v>
      </c>
      <c r="Q97">
        <v>-1.1308568837523198E-3</v>
      </c>
      <c r="R97">
        <v>-1.4905613611439177E-2</v>
      </c>
    </row>
    <row r="98" spans="1:18">
      <c r="A98" t="s">
        <v>37</v>
      </c>
      <c r="B98">
        <v>2018</v>
      </c>
      <c r="C98">
        <v>-2.599962698032261</v>
      </c>
      <c r="D98">
        <v>0.33124135703713309</v>
      </c>
      <c r="E98">
        <v>-16.922999999999998</v>
      </c>
      <c r="F98">
        <v>-19.181000000000001</v>
      </c>
      <c r="G98">
        <v>37.332999999999998</v>
      </c>
      <c r="H98">
        <v>4.1000000000000002E-2</v>
      </c>
      <c r="I98">
        <v>0.13403999999999999</v>
      </c>
      <c r="J98">
        <v>-2.1102234170830458E-2</v>
      </c>
      <c r="K98">
        <v>-2.3917860522998234E-2</v>
      </c>
      <c r="L98">
        <v>4.6552603456811059E-2</v>
      </c>
      <c r="M98">
        <v>-8.6519160100404879E-4</v>
      </c>
      <c r="N98">
        <v>-9.8063228144292772E-4</v>
      </c>
      <c r="O98">
        <v>1.9086567417292534E-3</v>
      </c>
      <c r="P98">
        <v>-2.8285434682581143E-3</v>
      </c>
      <c r="Q98">
        <v>-3.2059500245026832E-3</v>
      </c>
      <c r="R98">
        <v>6.2399109673509541E-3</v>
      </c>
    </row>
    <row r="99" spans="1:18">
      <c r="A99" t="s">
        <v>37</v>
      </c>
      <c r="B99">
        <v>2019</v>
      </c>
      <c r="C99">
        <v>-2.1083735666370274</v>
      </c>
      <c r="D99">
        <v>0.42131012149036445</v>
      </c>
      <c r="E99">
        <v>330.77</v>
      </c>
      <c r="F99">
        <v>-12.061</v>
      </c>
      <c r="G99">
        <v>-318.76100000000002</v>
      </c>
      <c r="H99">
        <v>4.6600000000000003E-2</v>
      </c>
      <c r="I99">
        <v>0.17613999999999999</v>
      </c>
      <c r="J99">
        <v>0.35340223236274237</v>
      </c>
      <c r="K99">
        <v>-1.2886248222411453E-2</v>
      </c>
      <c r="L99">
        <v>-0.3405715421295164</v>
      </c>
      <c r="M99">
        <v>1.6468544028103795E-2</v>
      </c>
      <c r="N99">
        <v>-6.004991671643737E-4</v>
      </c>
      <c r="O99">
        <v>-1.5870633863235464E-2</v>
      </c>
      <c r="P99">
        <v>6.2248269208373438E-2</v>
      </c>
      <c r="Q99">
        <v>-2.2697837618955532E-3</v>
      </c>
      <c r="R99">
        <v>-5.9988271430693019E-2</v>
      </c>
    </row>
    <row r="100" spans="1:18">
      <c r="A100" t="s">
        <v>37</v>
      </c>
      <c r="B100">
        <v>2020</v>
      </c>
      <c r="C100">
        <v>-1.7452972033318048</v>
      </c>
      <c r="D100">
        <v>0.49834815508575253</v>
      </c>
      <c r="E100">
        <v>-23.838999999999999</v>
      </c>
      <c r="F100">
        <v>-7.7409999999999997</v>
      </c>
      <c r="G100">
        <v>40.363999999999997</v>
      </c>
      <c r="H100">
        <v>2.3599999999999999E-2</v>
      </c>
      <c r="I100">
        <v>6.3339999999999994E-2</v>
      </c>
      <c r="J100">
        <v>-2.1103071227623522E-2</v>
      </c>
      <c r="K100">
        <v>-6.8525892182152636E-3</v>
      </c>
      <c r="L100">
        <v>3.5731547759209524E-2</v>
      </c>
      <c r="M100">
        <v>-4.9803248097191511E-4</v>
      </c>
      <c r="N100">
        <v>-1.6172110554988023E-4</v>
      </c>
      <c r="O100">
        <v>8.4326452711734471E-4</v>
      </c>
      <c r="P100">
        <v>-1.3366685315576738E-3</v>
      </c>
      <c r="Q100">
        <v>-4.3404300108175475E-4</v>
      </c>
      <c r="R100">
        <v>2.2632362350683312E-3</v>
      </c>
    </row>
    <row r="101" spans="1:18">
      <c r="A101" t="s">
        <v>37</v>
      </c>
      <c r="B101">
        <v>2021</v>
      </c>
      <c r="C101">
        <v>-1.6976948338340194</v>
      </c>
      <c r="D101">
        <v>0.50932883810950869</v>
      </c>
      <c r="E101">
        <v>39.353999999999999</v>
      </c>
      <c r="F101">
        <v>-18.777000000000001</v>
      </c>
      <c r="G101">
        <v>-25.864999999999998</v>
      </c>
      <c r="H101">
        <v>1.6400000000000001E-2</v>
      </c>
      <c r="I101">
        <v>6.3339999999999994E-2</v>
      </c>
      <c r="J101">
        <v>3.276019229568583E-2</v>
      </c>
      <c r="K101">
        <v>-1.5630892177061873E-2</v>
      </c>
      <c r="L101">
        <v>-2.153128967139081E-2</v>
      </c>
      <c r="M101">
        <v>5.3726715364924764E-4</v>
      </c>
      <c r="N101">
        <v>-2.5634663170381471E-4</v>
      </c>
      <c r="O101">
        <v>-3.5311315061080931E-4</v>
      </c>
      <c r="P101">
        <v>2.0750305800087401E-3</v>
      </c>
      <c r="Q101">
        <v>-9.9006071049509881E-4</v>
      </c>
      <c r="R101">
        <v>-1.3637918877858937E-3</v>
      </c>
    </row>
    <row r="102" spans="1:18">
      <c r="A102" t="s">
        <v>38</v>
      </c>
      <c r="B102">
        <v>2017</v>
      </c>
      <c r="C102">
        <v>-0.40310184749176436</v>
      </c>
      <c r="D102">
        <v>0.70915431893705339</v>
      </c>
      <c r="E102">
        <v>-28.363</v>
      </c>
      <c r="F102">
        <v>128.239</v>
      </c>
      <c r="G102">
        <v>46.366</v>
      </c>
      <c r="H102">
        <v>3.5999999999999999E-3</v>
      </c>
      <c r="I102">
        <v>3.7100000000000001E-2</v>
      </c>
      <c r="J102">
        <v>-3.0102599099352478E-2</v>
      </c>
      <c r="K102">
        <v>0.13610433331812088</v>
      </c>
      <c r="L102">
        <v>4.9209784220307341E-2</v>
      </c>
      <c r="M102">
        <v>-1.0836935675766892E-4</v>
      </c>
      <c r="N102">
        <v>4.8997559994523523E-4</v>
      </c>
      <c r="O102">
        <v>1.7715522319310643E-4</v>
      </c>
      <c r="P102">
        <v>-1.116806426585977E-3</v>
      </c>
      <c r="Q102">
        <v>5.0494707661022853E-3</v>
      </c>
      <c r="R102">
        <v>1.8256829945734025E-3</v>
      </c>
    </row>
    <row r="103" spans="1:18">
      <c r="A103" t="s">
        <v>38</v>
      </c>
      <c r="B103">
        <v>2018</v>
      </c>
      <c r="C103">
        <v>-0.30570294722384433</v>
      </c>
      <c r="D103">
        <v>0.72802620080521829</v>
      </c>
      <c r="E103">
        <v>157.238</v>
      </c>
      <c r="F103">
        <v>-232.97499999999999</v>
      </c>
      <c r="G103">
        <v>-40.981000000000002</v>
      </c>
      <c r="H103">
        <v>3.46E-3</v>
      </c>
      <c r="I103">
        <v>3.2300000000000002E-2</v>
      </c>
      <c r="J103">
        <v>0.15335624668393621</v>
      </c>
      <c r="K103">
        <v>-0.22722351830467216</v>
      </c>
      <c r="L103">
        <v>-3.9969297150525891E-2</v>
      </c>
      <c r="M103">
        <v>5.3061261352641931E-4</v>
      </c>
      <c r="N103">
        <v>-7.8619337333416569E-4</v>
      </c>
      <c r="O103">
        <v>-1.3829376814081959E-4</v>
      </c>
      <c r="P103">
        <v>4.95340676789114E-3</v>
      </c>
      <c r="Q103">
        <v>-7.3393196412409115E-3</v>
      </c>
      <c r="R103">
        <v>-1.2910082979619864E-3</v>
      </c>
    </row>
    <row r="104" spans="1:18">
      <c r="A104" t="s">
        <v>38</v>
      </c>
      <c r="B104">
        <v>2019</v>
      </c>
      <c r="C104">
        <v>-0.70211975718299469</v>
      </c>
      <c r="D104">
        <v>0.66404048333681975</v>
      </c>
      <c r="E104">
        <v>135.86699999999999</v>
      </c>
      <c r="F104">
        <v>-47.305999999999997</v>
      </c>
      <c r="G104">
        <v>-86.585999999999999</v>
      </c>
      <c r="H104">
        <v>3.5000000000000001E-3</v>
      </c>
      <c r="I104">
        <v>3.2599999999999997E-2</v>
      </c>
      <c r="J104">
        <v>0.15967108464035312</v>
      </c>
      <c r="K104">
        <v>-5.5594076044930295E-2</v>
      </c>
      <c r="L104">
        <v>-0.10175598588818194</v>
      </c>
      <c r="M104">
        <v>5.5884879624123595E-4</v>
      </c>
      <c r="N104">
        <v>-1.9457926615725605E-4</v>
      </c>
      <c r="O104">
        <v>-3.5614595060863677E-4</v>
      </c>
      <c r="P104">
        <v>5.2052773592755116E-3</v>
      </c>
      <c r="Q104">
        <v>-1.8123668790647274E-3</v>
      </c>
      <c r="R104">
        <v>-3.3172451399547309E-3</v>
      </c>
    </row>
    <row r="105" spans="1:18">
      <c r="A105" t="s">
        <v>38</v>
      </c>
      <c r="B105">
        <v>2020</v>
      </c>
      <c r="C105">
        <v>-0.48210830868175114</v>
      </c>
      <c r="D105">
        <v>0.69740592568784832</v>
      </c>
      <c r="E105">
        <v>13.436</v>
      </c>
      <c r="F105">
        <v>15.791</v>
      </c>
      <c r="G105">
        <v>-30.202999999999999</v>
      </c>
      <c r="H105">
        <v>4.0000000000000001E-3</v>
      </c>
      <c r="I105">
        <v>3.3099999999999997E-2</v>
      </c>
      <c r="J105">
        <v>1.6234562605649715E-2</v>
      </c>
      <c r="K105">
        <v>1.9080081728625683E-2</v>
      </c>
      <c r="L105">
        <v>-3.6493933788213632E-2</v>
      </c>
      <c r="M105">
        <v>6.4938250422598857E-5</v>
      </c>
      <c r="N105">
        <v>7.632032691450274E-5</v>
      </c>
      <c r="O105">
        <v>-1.4597573515285454E-4</v>
      </c>
      <c r="P105">
        <v>5.3736402224700559E-4</v>
      </c>
      <c r="Q105">
        <v>6.3155070521751008E-4</v>
      </c>
      <c r="R105">
        <v>-1.2079492083898712E-3</v>
      </c>
    </row>
    <row r="106" spans="1:18">
      <c r="A106" t="s">
        <v>38</v>
      </c>
      <c r="B106">
        <v>2021</v>
      </c>
      <c r="C106">
        <v>-8.9654323904244493E-2</v>
      </c>
      <c r="D106">
        <v>0.75830330267331147</v>
      </c>
      <c r="E106">
        <v>-206.11</v>
      </c>
      <c r="F106">
        <v>-86.088999999999999</v>
      </c>
      <c r="G106">
        <v>268.57600000000002</v>
      </c>
      <c r="H106">
        <v>4.5999999999999999E-3</v>
      </c>
      <c r="I106">
        <v>3.2300000000000002E-2</v>
      </c>
      <c r="J106">
        <v>-0.1601453903519609</v>
      </c>
      <c r="K106">
        <v>-6.6890284362767269E-2</v>
      </c>
      <c r="L106">
        <v>0.20868084207058488</v>
      </c>
      <c r="M106">
        <v>-7.366687956190201E-4</v>
      </c>
      <c r="N106">
        <v>-3.0769530806872941E-4</v>
      </c>
      <c r="O106">
        <v>9.5993187352469043E-4</v>
      </c>
      <c r="P106">
        <v>-5.1726961083683378E-3</v>
      </c>
      <c r="Q106">
        <v>-2.1605561849173827E-3</v>
      </c>
      <c r="R106">
        <v>6.7403911988798918E-3</v>
      </c>
    </row>
    <row r="107" spans="1:18">
      <c r="A107" t="s">
        <v>39</v>
      </c>
      <c r="B107">
        <v>2017</v>
      </c>
      <c r="C107">
        <v>-1.0563460003804854</v>
      </c>
      <c r="D107">
        <v>0.6315226972223823</v>
      </c>
      <c r="E107">
        <v>-608.31200000000001</v>
      </c>
      <c r="F107">
        <v>-998.79</v>
      </c>
      <c r="G107">
        <v>2172.6390000000001</v>
      </c>
      <c r="H107">
        <v>0.623</v>
      </c>
      <c r="I107">
        <v>6.1999999999999998E-3</v>
      </c>
      <c r="J107">
        <v>-2.9374017887521024E-2</v>
      </c>
      <c r="K107">
        <v>-4.8229322002323022E-2</v>
      </c>
      <c r="L107">
        <v>0.10491184926341383</v>
      </c>
      <c r="M107">
        <v>-1.8300013143925598E-2</v>
      </c>
      <c r="N107">
        <v>-3.0046867607447243E-2</v>
      </c>
      <c r="O107">
        <v>6.5360082091106816E-2</v>
      </c>
      <c r="P107">
        <v>-1.8211891090263034E-4</v>
      </c>
      <c r="Q107">
        <v>-2.9902179641440275E-4</v>
      </c>
      <c r="R107">
        <v>6.504534654331657E-4</v>
      </c>
    </row>
    <row r="108" spans="1:18">
      <c r="A108" t="s">
        <v>39</v>
      </c>
      <c r="B108">
        <v>2018</v>
      </c>
      <c r="C108">
        <v>-0.62120492580579989</v>
      </c>
      <c r="D108">
        <v>0.65366520542859829</v>
      </c>
      <c r="E108">
        <v>715.61599999999999</v>
      </c>
      <c r="F108">
        <v>-2551.1729999999998</v>
      </c>
      <c r="G108">
        <v>1008.78</v>
      </c>
      <c r="H108">
        <v>0.5806</v>
      </c>
      <c r="I108">
        <v>1.2800000000000001E-2</v>
      </c>
      <c r="J108">
        <v>3.2131103465452407E-2</v>
      </c>
      <c r="K108">
        <v>-0.11454747185818735</v>
      </c>
      <c r="L108">
        <v>4.5294144560601039E-2</v>
      </c>
      <c r="M108">
        <v>1.8655318672041666E-2</v>
      </c>
      <c r="N108">
        <v>-6.6506262160863583E-2</v>
      </c>
      <c r="O108">
        <v>2.6297780331884964E-2</v>
      </c>
      <c r="P108">
        <v>4.1127812435779083E-4</v>
      </c>
      <c r="Q108">
        <v>-1.4662076397847982E-3</v>
      </c>
      <c r="R108">
        <v>5.797650503756933E-4</v>
      </c>
    </row>
    <row r="109" spans="1:18">
      <c r="A109" t="s">
        <v>39</v>
      </c>
      <c r="B109">
        <v>2019</v>
      </c>
      <c r="C109">
        <v>-0.38081291332643075</v>
      </c>
      <c r="D109">
        <v>0.70234650080325478</v>
      </c>
      <c r="E109">
        <v>135.18100000000001</v>
      </c>
      <c r="F109">
        <v>-1045.7139999999999</v>
      </c>
      <c r="G109">
        <v>1064.0139999999999</v>
      </c>
      <c r="H109">
        <v>0.4985</v>
      </c>
      <c r="I109">
        <v>2.9899999999999999E-2</v>
      </c>
      <c r="J109">
        <v>4.6217105898579474E-3</v>
      </c>
      <c r="K109">
        <v>-3.5751973041793686E-2</v>
      </c>
      <c r="L109">
        <v>3.6377632740970348E-2</v>
      </c>
      <c r="M109">
        <v>2.3039227290441869E-3</v>
      </c>
      <c r="N109">
        <v>-1.7822358561334153E-2</v>
      </c>
      <c r="O109">
        <v>1.8134249921373718E-2</v>
      </c>
      <c r="P109">
        <v>1.3818914663675261E-4</v>
      </c>
      <c r="Q109">
        <v>-1.0689839939496313E-3</v>
      </c>
      <c r="R109">
        <v>1.0876912189550134E-3</v>
      </c>
    </row>
    <row r="110" spans="1:18">
      <c r="A110" t="s">
        <v>39</v>
      </c>
      <c r="B110">
        <v>2020</v>
      </c>
      <c r="C110">
        <v>-0.17911777322788136</v>
      </c>
      <c r="D110">
        <v>0.73650106470923604</v>
      </c>
      <c r="E110">
        <v>-1393.9190000000001</v>
      </c>
      <c r="F110">
        <v>-720.18899999999996</v>
      </c>
      <c r="G110">
        <v>1916.33</v>
      </c>
      <c r="H110">
        <v>0.3155</v>
      </c>
      <c r="I110">
        <v>3.0300000000000001E-2</v>
      </c>
      <c r="J110">
        <v>-4.7176274951996874E-2</v>
      </c>
      <c r="K110">
        <v>-2.4374324678409345E-2</v>
      </c>
      <c r="L110">
        <v>6.4856932848149834E-2</v>
      </c>
      <c r="M110">
        <v>-1.4884114747355013E-2</v>
      </c>
      <c r="N110">
        <v>-7.6900994360381489E-3</v>
      </c>
      <c r="O110">
        <v>2.0462362313591272E-2</v>
      </c>
      <c r="P110">
        <v>-1.4294411310455052E-3</v>
      </c>
      <c r="Q110">
        <v>-7.3854203775580317E-4</v>
      </c>
      <c r="R110">
        <v>1.9651650652989399E-3</v>
      </c>
    </row>
    <row r="111" spans="1:18">
      <c r="A111" t="s">
        <v>39</v>
      </c>
      <c r="B111">
        <v>2021</v>
      </c>
      <c r="C111">
        <v>-0.11639021604524069</v>
      </c>
      <c r="D111">
        <v>0.72858010870233869</v>
      </c>
      <c r="E111">
        <v>-881.65700000000004</v>
      </c>
      <c r="F111">
        <v>737</v>
      </c>
      <c r="G111">
        <v>395.14100000000002</v>
      </c>
      <c r="H111">
        <v>0.10440000000000001</v>
      </c>
      <c r="I111">
        <v>2.46E-2</v>
      </c>
      <c r="J111">
        <v>-2.8560157405013574E-2</v>
      </c>
      <c r="K111">
        <v>2.3874177835025417E-2</v>
      </c>
      <c r="L111">
        <v>1.2800090235969848E-2</v>
      </c>
      <c r="M111">
        <v>-2.9816804330834172E-3</v>
      </c>
      <c r="N111">
        <v>2.4924641659766537E-3</v>
      </c>
      <c r="O111">
        <v>1.3363294206352521E-3</v>
      </c>
      <c r="P111">
        <v>-7.025798721633339E-4</v>
      </c>
      <c r="Q111">
        <v>5.8730477474162521E-4</v>
      </c>
      <c r="R111">
        <v>3.1488221980485829E-4</v>
      </c>
    </row>
    <row r="112" spans="1:18">
      <c r="A112" t="s">
        <v>40</v>
      </c>
      <c r="B112">
        <v>2017</v>
      </c>
      <c r="C112">
        <v>-2.5022094762249765</v>
      </c>
      <c r="D112">
        <v>0.42498714043164315</v>
      </c>
      <c r="E112">
        <v>131.76300000000001</v>
      </c>
      <c r="F112">
        <v>-11.532</v>
      </c>
      <c r="G112">
        <v>-127.44499999999999</v>
      </c>
      <c r="H112">
        <v>5.8099999999999999E-2</v>
      </c>
      <c r="I112">
        <v>1.33E-3</v>
      </c>
      <c r="J112">
        <v>0.16986619603009978</v>
      </c>
      <c r="K112">
        <v>-1.4866821282295564E-2</v>
      </c>
      <c r="L112">
        <v>-0.16429951771784237</v>
      </c>
      <c r="M112">
        <v>9.8692259893487979E-3</v>
      </c>
      <c r="N112">
        <v>-8.6376231650137222E-4</v>
      </c>
      <c r="O112">
        <v>-9.5458019794066422E-3</v>
      </c>
      <c r="P112">
        <v>2.2592204072003272E-4</v>
      </c>
      <c r="Q112">
        <v>-1.97728723054531E-5</v>
      </c>
      <c r="R112">
        <v>-2.1851835856473035E-4</v>
      </c>
    </row>
    <row r="113" spans="1:18">
      <c r="A113" t="s">
        <v>40</v>
      </c>
      <c r="B113">
        <v>2018</v>
      </c>
      <c r="C113">
        <v>-2.8502368772194839</v>
      </c>
      <c r="D113">
        <v>0.37179812250575922</v>
      </c>
      <c r="E113">
        <v>69.959999999999994</v>
      </c>
      <c r="F113">
        <v>-17.501000000000001</v>
      </c>
      <c r="G113">
        <v>45.972999999999999</v>
      </c>
      <c r="H113">
        <v>4.5400000000000003E-2</v>
      </c>
      <c r="I113">
        <v>2.5000000000000001E-3</v>
      </c>
      <c r="J113">
        <v>6.9022331624876046E-2</v>
      </c>
      <c r="K113">
        <v>-1.7266435474084563E-2</v>
      </c>
      <c r="L113">
        <v>4.5356827498433776E-2</v>
      </c>
      <c r="M113">
        <v>3.1336138557693728E-3</v>
      </c>
      <c r="N113">
        <v>-7.8389617052343919E-4</v>
      </c>
      <c r="O113">
        <v>2.0591999684288933E-3</v>
      </c>
      <c r="P113">
        <v>1.7255582906219012E-4</v>
      </c>
      <c r="Q113">
        <v>-4.316608868521141E-5</v>
      </c>
      <c r="R113">
        <v>1.1339206874608444E-4</v>
      </c>
    </row>
    <row r="114" spans="1:18">
      <c r="A114" t="s">
        <v>40</v>
      </c>
      <c r="B114">
        <v>2019</v>
      </c>
      <c r="C114">
        <v>-3.084334815192157</v>
      </c>
      <c r="D114">
        <v>0.32352341095169618</v>
      </c>
      <c r="E114">
        <v>144.75</v>
      </c>
      <c r="F114">
        <v>-88.747</v>
      </c>
      <c r="G114">
        <v>-126.21899999999999</v>
      </c>
      <c r="H114">
        <v>4.3400000000000001E-2</v>
      </c>
      <c r="I114">
        <v>2.5000000000000001E-3</v>
      </c>
      <c r="J114">
        <v>0.14130622596695921</v>
      </c>
      <c r="K114">
        <v>-8.6635603702174296E-2</v>
      </c>
      <c r="L114">
        <v>-0.12321610041674352</v>
      </c>
      <c r="M114">
        <v>6.1326902069660299E-3</v>
      </c>
      <c r="N114">
        <v>-3.7599852006743647E-3</v>
      </c>
      <c r="O114">
        <v>-5.3475787580866694E-3</v>
      </c>
      <c r="P114">
        <v>3.5326556491739803E-4</v>
      </c>
      <c r="Q114">
        <v>-2.1658900925543574E-4</v>
      </c>
      <c r="R114">
        <v>-3.0804025104185884E-4</v>
      </c>
    </row>
    <row r="115" spans="1:18">
      <c r="A115" t="s">
        <v>40</v>
      </c>
      <c r="B115">
        <v>2020</v>
      </c>
      <c r="C115">
        <v>-3.8235092938048445</v>
      </c>
      <c r="D115">
        <v>0.19852701622059216</v>
      </c>
      <c r="E115">
        <v>227.571</v>
      </c>
      <c r="F115">
        <v>-4</v>
      </c>
      <c r="G115">
        <v>-212.36099999999999</v>
      </c>
      <c r="H115">
        <v>2.1600000000000001E-2</v>
      </c>
      <c r="I115">
        <v>2.5000000000000001E-3</v>
      </c>
      <c r="J115">
        <v>0.24963389310665968</v>
      </c>
      <c r="K115">
        <v>-4.3877979726179468E-3</v>
      </c>
      <c r="L115">
        <v>-0.23294929131577993</v>
      </c>
      <c r="M115">
        <v>5.3920920911038495E-3</v>
      </c>
      <c r="N115">
        <v>-9.4776436208547651E-5</v>
      </c>
      <c r="O115">
        <v>-5.0317046924208469E-3</v>
      </c>
      <c r="P115">
        <v>6.2408473276664924E-4</v>
      </c>
      <c r="Q115">
        <v>-1.0969494931544868E-5</v>
      </c>
      <c r="R115">
        <v>-5.8237322828944981E-4</v>
      </c>
    </row>
    <row r="116" spans="1:18">
      <c r="A116" t="s">
        <v>40</v>
      </c>
      <c r="B116">
        <v>2021</v>
      </c>
      <c r="C116">
        <v>-3.3958783457968376</v>
      </c>
      <c r="D116">
        <v>0.26298433871119786</v>
      </c>
      <c r="E116">
        <v>-14.25</v>
      </c>
      <c r="F116">
        <v>10.057</v>
      </c>
      <c r="G116">
        <v>10.346</v>
      </c>
      <c r="H116">
        <v>1.9400000000000001E-2</v>
      </c>
      <c r="I116">
        <v>1.1999999999999999E-3</v>
      </c>
      <c r="J116">
        <v>-1.3569244569207431E-2</v>
      </c>
      <c r="K116">
        <v>9.5765538689487114E-3</v>
      </c>
      <c r="L116">
        <v>9.851747671089128E-3</v>
      </c>
      <c r="M116">
        <v>-2.6324334464262415E-4</v>
      </c>
      <c r="N116">
        <v>1.85785145057605E-4</v>
      </c>
      <c r="O116">
        <v>1.9112390481912909E-4</v>
      </c>
      <c r="P116">
        <v>-1.6283093483048915E-5</v>
      </c>
      <c r="Q116">
        <v>1.1491864642738452E-5</v>
      </c>
      <c r="R116">
        <v>1.1822097205306953E-5</v>
      </c>
    </row>
    <row r="117" spans="1:18">
      <c r="A117" t="s">
        <v>41</v>
      </c>
      <c r="B117">
        <v>2017</v>
      </c>
      <c r="C117">
        <v>-4.7304449742768888</v>
      </c>
      <c r="D117">
        <v>3.918471818785739E-2</v>
      </c>
      <c r="E117">
        <v>113.386</v>
      </c>
      <c r="F117">
        <v>-99.23</v>
      </c>
      <c r="G117">
        <v>-126.791</v>
      </c>
      <c r="H117">
        <v>7.2599999999999998E-2</v>
      </c>
      <c r="I117">
        <v>2.6900000000000001E-3</v>
      </c>
      <c r="J117">
        <v>0.1846172382800797</v>
      </c>
      <c r="K117">
        <v>-0.16156817027262899</v>
      </c>
      <c r="L117">
        <v>-0.20644351382683565</v>
      </c>
      <c r="M117">
        <v>1.3403211499133786E-2</v>
      </c>
      <c r="N117">
        <v>-1.1729849161792864E-2</v>
      </c>
      <c r="O117">
        <v>-1.4987799103828268E-2</v>
      </c>
      <c r="P117">
        <v>4.9662037097341445E-4</v>
      </c>
      <c r="Q117">
        <v>-4.3461837803337197E-4</v>
      </c>
      <c r="R117">
        <v>-5.5533305219418797E-4</v>
      </c>
    </row>
    <row r="118" spans="1:18">
      <c r="A118" t="s">
        <v>41</v>
      </c>
      <c r="B118">
        <v>2018</v>
      </c>
      <c r="C118">
        <v>-4.2596096317543495</v>
      </c>
      <c r="D118">
        <v>0.11331361829661514</v>
      </c>
      <c r="E118">
        <v>181.25299999999999</v>
      </c>
      <c r="F118">
        <v>44.877000000000002</v>
      </c>
      <c r="G118">
        <v>-79.036000000000001</v>
      </c>
      <c r="H118">
        <v>7.2700000000000001E-2</v>
      </c>
      <c r="I118">
        <v>1.47E-3</v>
      </c>
      <c r="J118">
        <v>0.25757397046723501</v>
      </c>
      <c r="K118">
        <v>6.3773548976613387E-2</v>
      </c>
      <c r="L118">
        <v>-0.1123160241753151</v>
      </c>
      <c r="M118">
        <v>1.8725627652967987E-2</v>
      </c>
      <c r="N118">
        <v>4.6363370105997935E-3</v>
      </c>
      <c r="O118">
        <v>-8.1653749575454071E-3</v>
      </c>
      <c r="P118">
        <v>3.7863373658683544E-4</v>
      </c>
      <c r="Q118">
        <v>9.3747116995621682E-5</v>
      </c>
      <c r="R118">
        <v>-1.6510455553771317E-4</v>
      </c>
    </row>
    <row r="119" spans="1:18">
      <c r="A119" t="s">
        <v>41</v>
      </c>
      <c r="B119">
        <v>2019</v>
      </c>
      <c r="C119">
        <v>-4.3535530632315904</v>
      </c>
      <c r="D119">
        <v>9.5575507586050878E-2</v>
      </c>
      <c r="E119">
        <v>107.351</v>
      </c>
      <c r="F119">
        <v>-206.292</v>
      </c>
      <c r="G119">
        <v>-82.792000000000002</v>
      </c>
      <c r="H119">
        <v>7.2700000000000001E-2</v>
      </c>
      <c r="I119">
        <v>3.0899999999999998E-4</v>
      </c>
      <c r="J119">
        <v>0.15369824454902478</v>
      </c>
      <c r="K119">
        <v>-0.29535559300339465</v>
      </c>
      <c r="L119">
        <v>-0.11853625082861696</v>
      </c>
      <c r="M119">
        <v>1.1173862378714101E-2</v>
      </c>
      <c r="N119">
        <v>-2.147235161134679E-2</v>
      </c>
      <c r="O119">
        <v>-8.6175854352404536E-3</v>
      </c>
      <c r="P119">
        <v>4.7492757565648652E-5</v>
      </c>
      <c r="Q119">
        <v>-9.1264878238048934E-5</v>
      </c>
      <c r="R119">
        <v>-3.6627701506042641E-5</v>
      </c>
    </row>
    <row r="120" spans="1:18">
      <c r="A120" t="s">
        <v>41</v>
      </c>
      <c r="B120">
        <v>2020</v>
      </c>
      <c r="C120">
        <v>-4.4761310222495112</v>
      </c>
      <c r="D120">
        <v>8.2981060149789912E-2</v>
      </c>
      <c r="E120">
        <v>156.66399999999999</v>
      </c>
      <c r="F120">
        <v>56.39</v>
      </c>
      <c r="G120">
        <v>-91.885999999999996</v>
      </c>
      <c r="H120">
        <v>7.2700000000000001E-2</v>
      </c>
      <c r="I120">
        <v>8.4000000000000003E-4</v>
      </c>
      <c r="J120">
        <v>0.22201217308741522</v>
      </c>
      <c r="K120">
        <v>7.9911571518659977E-2</v>
      </c>
      <c r="L120">
        <v>-0.13021377301939333</v>
      </c>
      <c r="M120">
        <v>1.6140284983455086E-2</v>
      </c>
      <c r="N120">
        <v>5.8095712494065799E-3</v>
      </c>
      <c r="O120">
        <v>-9.4665412985098941E-3</v>
      </c>
      <c r="P120">
        <v>1.8649022539342879E-4</v>
      </c>
      <c r="Q120">
        <v>6.7125720075674386E-5</v>
      </c>
      <c r="R120">
        <v>-1.093795693362904E-4</v>
      </c>
    </row>
    <row r="121" spans="1:18">
      <c r="A121" t="s">
        <v>41</v>
      </c>
      <c r="B121">
        <v>2021</v>
      </c>
      <c r="C121">
        <v>-4.6530524331309593</v>
      </c>
      <c r="D121">
        <v>4.4648146783582643E-2</v>
      </c>
      <c r="E121">
        <v>103.432</v>
      </c>
      <c r="F121">
        <v>21.311</v>
      </c>
      <c r="G121">
        <v>-77.786000000000001</v>
      </c>
      <c r="H121">
        <v>7.2499999999999995E-2</v>
      </c>
      <c r="I121">
        <v>8.4000000000000003E-4</v>
      </c>
      <c r="J121">
        <v>0.15243091887112226</v>
      </c>
      <c r="K121">
        <v>3.1406676000294745E-2</v>
      </c>
      <c r="L121">
        <v>-0.11463562007221281</v>
      </c>
      <c r="M121">
        <v>1.1051241618156363E-2</v>
      </c>
      <c r="N121">
        <v>2.2769840100213688E-3</v>
      </c>
      <c r="O121">
        <v>-8.3110824552354284E-3</v>
      </c>
      <c r="P121">
        <v>1.2804197185174271E-4</v>
      </c>
      <c r="Q121">
        <v>2.6381607840247587E-5</v>
      </c>
      <c r="R121">
        <v>-9.6293920860658771E-5</v>
      </c>
    </row>
    <row r="122" spans="1:18">
      <c r="A122" t="s">
        <v>42</v>
      </c>
      <c r="B122">
        <v>2017</v>
      </c>
      <c r="C122">
        <v>-1.2045219720474889</v>
      </c>
      <c r="D122">
        <v>0.56699837568379985</v>
      </c>
      <c r="E122">
        <v>54.784999999999997</v>
      </c>
      <c r="F122">
        <v>-38.892000000000003</v>
      </c>
      <c r="G122">
        <v>-11.266999999999999</v>
      </c>
      <c r="H122">
        <v>5.3900000000000003E-2</v>
      </c>
      <c r="I122">
        <v>8.1999999999999998E-4</v>
      </c>
      <c r="J122">
        <v>0.11365027206777734</v>
      </c>
      <c r="K122">
        <v>-8.0680594711326034E-2</v>
      </c>
      <c r="L122">
        <v>-2.3373142564345119E-2</v>
      </c>
      <c r="M122">
        <v>6.1257496644531988E-3</v>
      </c>
      <c r="N122">
        <v>-4.3486840549404734E-3</v>
      </c>
      <c r="O122">
        <v>-1.2598123842182021E-3</v>
      </c>
      <c r="P122">
        <v>9.3193223095577413E-5</v>
      </c>
      <c r="Q122">
        <v>-6.6158087663287341E-5</v>
      </c>
      <c r="R122">
        <v>-1.9165976902762996E-5</v>
      </c>
    </row>
    <row r="123" spans="1:18">
      <c r="A123" t="s">
        <v>42</v>
      </c>
      <c r="B123">
        <v>2018</v>
      </c>
      <c r="C123">
        <v>-1.5852410597293347</v>
      </c>
      <c r="D123">
        <v>0.50209342437917914</v>
      </c>
      <c r="E123">
        <v>71.424000000000007</v>
      </c>
      <c r="F123">
        <v>-101.863</v>
      </c>
      <c r="G123">
        <v>12.54</v>
      </c>
      <c r="H123">
        <v>5.4399999999999997E-2</v>
      </c>
      <c r="I123">
        <v>2.1000000000000001E-4</v>
      </c>
      <c r="J123">
        <v>0.16875930345202372</v>
      </c>
      <c r="K123">
        <v>-0.24068000850601326</v>
      </c>
      <c r="L123">
        <v>2.962927958793091E-2</v>
      </c>
      <c r="M123">
        <v>9.1805061077900908E-3</v>
      </c>
      <c r="N123">
        <v>-1.309299246272712E-2</v>
      </c>
      <c r="O123">
        <v>1.6118328095834414E-3</v>
      </c>
      <c r="P123">
        <v>3.5439453724924986E-5</v>
      </c>
      <c r="Q123">
        <v>-5.0542801786262788E-5</v>
      </c>
      <c r="R123">
        <v>6.2221487134654913E-6</v>
      </c>
    </row>
    <row r="124" spans="1:18">
      <c r="A124" t="s">
        <v>42</v>
      </c>
      <c r="B124">
        <v>2019</v>
      </c>
      <c r="C124">
        <v>-1.8767620864492953</v>
      </c>
      <c r="D124">
        <v>0.47394971625567311</v>
      </c>
      <c r="E124">
        <v>36.262999999999998</v>
      </c>
      <c r="F124">
        <v>-4.5830000000000002</v>
      </c>
      <c r="G124">
        <v>52</v>
      </c>
      <c r="H124">
        <v>4.8500000000000001E-2</v>
      </c>
      <c r="I124">
        <v>3.4000000000000002E-4</v>
      </c>
      <c r="J124">
        <v>8.6574846668242361E-2</v>
      </c>
      <c r="K124">
        <v>-1.094152503324476E-2</v>
      </c>
      <c r="L124">
        <v>0.1241456036938092</v>
      </c>
      <c r="M124">
        <v>4.1988800634097543E-3</v>
      </c>
      <c r="N124">
        <v>-5.306639641123709E-4</v>
      </c>
      <c r="O124">
        <v>6.0210617791497459E-3</v>
      </c>
      <c r="P124">
        <v>2.9435447867202406E-5</v>
      </c>
      <c r="Q124">
        <v>-3.7201185113032188E-6</v>
      </c>
      <c r="R124">
        <v>4.2209505255895128E-5</v>
      </c>
    </row>
    <row r="125" spans="1:18">
      <c r="A125" t="s">
        <v>42</v>
      </c>
      <c r="B125">
        <v>2020</v>
      </c>
      <c r="C125">
        <v>-1.4717048349991113</v>
      </c>
      <c r="D125">
        <v>0.54178809738319778</v>
      </c>
      <c r="E125">
        <v>87.168999999999997</v>
      </c>
      <c r="F125">
        <v>-126.011</v>
      </c>
      <c r="G125">
        <v>1.1319999999999999</v>
      </c>
      <c r="H125">
        <v>4.8500000000000001E-2</v>
      </c>
      <c r="I125">
        <v>2.3000000000000001E-4</v>
      </c>
      <c r="J125">
        <v>0.17727833852273814</v>
      </c>
      <c r="K125">
        <v>-0.25627253628685376</v>
      </c>
      <c r="L125">
        <v>2.3021840242258089E-3</v>
      </c>
      <c r="M125">
        <v>8.5979994183528006E-3</v>
      </c>
      <c r="N125">
        <v>-1.2429218009912408E-2</v>
      </c>
      <c r="O125">
        <v>1.1165592517495173E-4</v>
      </c>
      <c r="P125">
        <v>4.0774017860229774E-5</v>
      </c>
      <c r="Q125">
        <v>-5.8942683345976368E-5</v>
      </c>
      <c r="R125">
        <v>5.2950232557193606E-7</v>
      </c>
    </row>
    <row r="126" spans="1:18">
      <c r="A126" t="s">
        <v>42</v>
      </c>
      <c r="B126">
        <v>2021</v>
      </c>
      <c r="C126">
        <v>-1.6847388081071923</v>
      </c>
      <c r="D126">
        <v>0.50742856145525628</v>
      </c>
      <c r="E126">
        <v>30.300999999999998</v>
      </c>
      <c r="F126">
        <v>32.881999999999998</v>
      </c>
      <c r="G126">
        <v>-10.43</v>
      </c>
      <c r="H126">
        <v>4.7899999999999998E-2</v>
      </c>
      <c r="I126">
        <v>2.3000000000000001E-4</v>
      </c>
      <c r="J126">
        <v>6.6106561132370206E-2</v>
      </c>
      <c r="K126">
        <v>7.1737432532081341E-2</v>
      </c>
      <c r="L126">
        <v>-2.2754741843854037E-2</v>
      </c>
      <c r="M126">
        <v>3.1665042782405327E-3</v>
      </c>
      <c r="N126">
        <v>3.4362230182866959E-3</v>
      </c>
      <c r="O126">
        <v>-1.0899521343206084E-3</v>
      </c>
      <c r="P126">
        <v>1.5204509060445148E-5</v>
      </c>
      <c r="Q126">
        <v>1.6499609482378709E-5</v>
      </c>
      <c r="R126">
        <v>-5.2335906240864287E-6</v>
      </c>
    </row>
    <row r="127" spans="1:18">
      <c r="A127" t="s">
        <v>50</v>
      </c>
      <c r="B127">
        <v>2017</v>
      </c>
      <c r="C127">
        <v>-1.2344148726739275</v>
      </c>
      <c r="D127">
        <v>0.59326518586968124</v>
      </c>
      <c r="E127">
        <v>187.81700000000001</v>
      </c>
      <c r="F127">
        <v>-146.15</v>
      </c>
      <c r="G127">
        <v>154.72200000000001</v>
      </c>
      <c r="H127">
        <v>8.2000000000000003E-2</v>
      </c>
      <c r="I127">
        <v>4.6600000000000003E-2</v>
      </c>
      <c r="J127">
        <v>6.0178911924054557E-2</v>
      </c>
      <c r="K127">
        <v>-4.6828284860798403E-2</v>
      </c>
      <c r="L127">
        <v>4.9574860692661309E-2</v>
      </c>
      <c r="M127">
        <v>4.9346707777724735E-3</v>
      </c>
      <c r="N127">
        <v>-3.8399193585854693E-3</v>
      </c>
      <c r="O127">
        <v>4.0651385767982275E-3</v>
      </c>
      <c r="P127">
        <v>2.8043372956609424E-3</v>
      </c>
      <c r="Q127">
        <v>-2.1821980745132057E-3</v>
      </c>
      <c r="R127">
        <v>2.3101885082780172E-3</v>
      </c>
    </row>
    <row r="128" spans="1:18">
      <c r="A128" t="s">
        <v>50</v>
      </c>
      <c r="B128">
        <v>2018</v>
      </c>
      <c r="C128">
        <v>-1.0138556408627211</v>
      </c>
      <c r="D128">
        <v>0.61861985040248957</v>
      </c>
      <c r="E128">
        <v>279.07</v>
      </c>
      <c r="F128">
        <v>-403.05700000000002</v>
      </c>
      <c r="G128">
        <v>-39.094000000000001</v>
      </c>
      <c r="H128">
        <v>8.8599999999999998E-2</v>
      </c>
      <c r="I128">
        <v>4.6399999999999997E-2</v>
      </c>
      <c r="J128">
        <v>7.7659468781071647E-2</v>
      </c>
      <c r="K128">
        <v>-0.11216251302000357</v>
      </c>
      <c r="L128">
        <v>-1.0879059994005858E-2</v>
      </c>
      <c r="M128">
        <v>6.8806289340029476E-3</v>
      </c>
      <c r="N128">
        <v>-9.9375986535723167E-3</v>
      </c>
      <c r="O128">
        <v>-9.6388471546891906E-4</v>
      </c>
      <c r="P128">
        <v>3.603399351441724E-3</v>
      </c>
      <c r="Q128">
        <v>-5.204340604128165E-3</v>
      </c>
      <c r="R128">
        <v>-5.0478838372187182E-4</v>
      </c>
    </row>
    <row r="129" spans="1:18">
      <c r="A129" t="s">
        <v>50</v>
      </c>
      <c r="B129">
        <v>2019</v>
      </c>
      <c r="C129">
        <v>-1.5460488788641638</v>
      </c>
      <c r="D129">
        <v>0.52094349886650593</v>
      </c>
      <c r="E129">
        <v>184.96</v>
      </c>
      <c r="F129">
        <v>-1286.5409999999999</v>
      </c>
      <c r="G129">
        <v>1178.6420000000001</v>
      </c>
      <c r="H129">
        <v>0.37380000000000002</v>
      </c>
      <c r="I129">
        <v>3.4200000000000001E-2</v>
      </c>
      <c r="J129">
        <v>3.9150525047996224E-2</v>
      </c>
      <c r="K129">
        <v>-0.27232242455543959</v>
      </c>
      <c r="L129">
        <v>0.24948341881282637</v>
      </c>
      <c r="M129">
        <v>1.4634466262940989E-2</v>
      </c>
      <c r="N129">
        <v>-0.10179412229882333</v>
      </c>
      <c r="O129">
        <v>9.3256901952234503E-2</v>
      </c>
      <c r="P129">
        <v>1.338947956641471E-3</v>
      </c>
      <c r="Q129">
        <v>-9.3134269197960341E-3</v>
      </c>
      <c r="R129">
        <v>8.5323329233986615E-3</v>
      </c>
    </row>
    <row r="130" spans="1:18">
      <c r="A130" t="s">
        <v>50</v>
      </c>
      <c r="B130">
        <v>2020</v>
      </c>
      <c r="C130">
        <v>-1.4351264615327846</v>
      </c>
      <c r="D130">
        <v>0.54028649603772483</v>
      </c>
      <c r="E130">
        <v>447.899</v>
      </c>
      <c r="F130">
        <v>-326.63</v>
      </c>
      <c r="G130">
        <v>-29.885000000000002</v>
      </c>
      <c r="H130">
        <v>0.61829000000000001</v>
      </c>
      <c r="I130">
        <v>3.4700000000000002E-2</v>
      </c>
      <c r="J130">
        <v>8.77998855991792E-2</v>
      </c>
      <c r="K130">
        <v>-6.402799879718396E-2</v>
      </c>
      <c r="L130">
        <v>-5.8582394270392888E-3</v>
      </c>
      <c r="M130">
        <v>5.4285791267116509E-2</v>
      </c>
      <c r="N130">
        <v>-3.9587871376310868E-2</v>
      </c>
      <c r="O130">
        <v>-3.622090855344122E-3</v>
      </c>
      <c r="P130">
        <v>3.0466560302915184E-3</v>
      </c>
      <c r="Q130">
        <v>-2.2217715582622836E-3</v>
      </c>
      <c r="R130">
        <v>-2.0328090811826333E-4</v>
      </c>
    </row>
    <row r="131" spans="1:18">
      <c r="A131" t="s">
        <v>50</v>
      </c>
      <c r="B131">
        <v>2021</v>
      </c>
      <c r="C131">
        <v>-1.3032225607308963</v>
      </c>
      <c r="D131">
        <v>0.56799526765531805</v>
      </c>
      <c r="E131">
        <v>547.12</v>
      </c>
      <c r="F131">
        <v>-662.93700000000001</v>
      </c>
      <c r="G131">
        <v>143.69900000000001</v>
      </c>
      <c r="H131">
        <v>0.39340000000000003</v>
      </c>
      <c r="I131">
        <v>3.2399999999999998E-2</v>
      </c>
      <c r="J131">
        <v>9.1244728729047916E-2</v>
      </c>
      <c r="K131">
        <v>-0.11055985291974127</v>
      </c>
      <c r="L131">
        <v>2.3965083114555231E-2</v>
      </c>
      <c r="M131">
        <v>3.5895676282007453E-2</v>
      </c>
      <c r="N131">
        <v>-4.3494246138626215E-2</v>
      </c>
      <c r="O131">
        <v>9.4278636972660295E-3</v>
      </c>
      <c r="P131">
        <v>2.9563292108211524E-3</v>
      </c>
      <c r="Q131">
        <v>-3.5821392345996169E-3</v>
      </c>
      <c r="R131">
        <v>7.7646869291158943E-4</v>
      </c>
    </row>
    <row r="132" spans="1:18">
      <c r="A132" t="s">
        <v>43</v>
      </c>
      <c r="B132">
        <v>2017</v>
      </c>
      <c r="C132">
        <v>0.76948194310354667</v>
      </c>
      <c r="D132">
        <v>0.91856939528948556</v>
      </c>
      <c r="E132">
        <v>52.975999999999999</v>
      </c>
      <c r="F132">
        <v>-32.531999999999996</v>
      </c>
      <c r="G132">
        <v>-22.273</v>
      </c>
      <c r="H132">
        <v>5.1000000000000004E-3</v>
      </c>
      <c r="I132">
        <v>0.26989999999999997</v>
      </c>
      <c r="J132">
        <v>7.2222797842695641E-2</v>
      </c>
      <c r="K132">
        <v>-4.4351254519378103E-2</v>
      </c>
      <c r="L132">
        <v>-3.0365040326758533E-2</v>
      </c>
      <c r="M132">
        <v>3.6833626899774777E-4</v>
      </c>
      <c r="N132">
        <v>-2.2619139804882834E-4</v>
      </c>
      <c r="O132">
        <v>-1.5486170566646852E-4</v>
      </c>
      <c r="P132">
        <v>1.9492933137743553E-2</v>
      </c>
      <c r="Q132">
        <v>-1.1970403594780148E-2</v>
      </c>
      <c r="R132">
        <v>-8.1955243841921269E-3</v>
      </c>
    </row>
    <row r="133" spans="1:18">
      <c r="A133" t="s">
        <v>43</v>
      </c>
      <c r="B133">
        <v>2018</v>
      </c>
      <c r="C133">
        <v>8.1587060282961407E-2</v>
      </c>
      <c r="D133">
        <v>0.84204303995654461</v>
      </c>
      <c r="E133">
        <v>28.667000000000002</v>
      </c>
      <c r="F133">
        <v>-28.271999999999998</v>
      </c>
      <c r="G133">
        <v>-5.0709999999999997</v>
      </c>
      <c r="H133">
        <v>4.0599999999999997E-2</v>
      </c>
      <c r="I133">
        <v>0.26989999999999997</v>
      </c>
      <c r="J133">
        <v>3.2713607865781431E-2</v>
      </c>
      <c r="K133">
        <v>-3.2262850022024371E-2</v>
      </c>
      <c r="L133">
        <v>-5.7868177865621666E-3</v>
      </c>
      <c r="M133">
        <v>1.3281724793507261E-3</v>
      </c>
      <c r="N133">
        <v>-1.3098717108941894E-3</v>
      </c>
      <c r="O133">
        <v>-2.3494480213442394E-4</v>
      </c>
      <c r="P133">
        <v>8.8294027629744077E-3</v>
      </c>
      <c r="Q133">
        <v>-8.7077432209443761E-3</v>
      </c>
      <c r="R133">
        <v>-1.5618621205931286E-3</v>
      </c>
    </row>
    <row r="134" spans="1:18">
      <c r="A134" t="s">
        <v>43</v>
      </c>
      <c r="B134">
        <v>2019</v>
      </c>
      <c r="C134">
        <v>-0.22846911496626776</v>
      </c>
      <c r="D134">
        <v>0.75806348526297673</v>
      </c>
      <c r="E134">
        <v>-80.992000000000004</v>
      </c>
      <c r="F134">
        <v>-163.87299999999999</v>
      </c>
      <c r="G134">
        <v>280.92899999999997</v>
      </c>
      <c r="H134">
        <v>1.61E-2</v>
      </c>
      <c r="I134">
        <v>0.26989999999999997</v>
      </c>
      <c r="J134">
        <v>-5.6884593638831436E-2</v>
      </c>
      <c r="K134">
        <v>-0.11509592321928366</v>
      </c>
      <c r="L134">
        <v>0.19731000600507795</v>
      </c>
      <c r="M134">
        <v>-9.1584195758518609E-4</v>
      </c>
      <c r="N134">
        <v>-1.8530443638304669E-3</v>
      </c>
      <c r="O134">
        <v>3.1766910966817548E-3</v>
      </c>
      <c r="P134">
        <v>-1.5353151823120604E-2</v>
      </c>
      <c r="Q134">
        <v>-3.1064389676884657E-2</v>
      </c>
      <c r="R134">
        <v>5.325397062077053E-2</v>
      </c>
    </row>
    <row r="135" spans="1:18">
      <c r="A135" t="s">
        <v>43</v>
      </c>
      <c r="B135">
        <v>2020</v>
      </c>
      <c r="C135">
        <v>-0.91508685807573287</v>
      </c>
      <c r="D135">
        <v>0.62637748406041005</v>
      </c>
      <c r="E135">
        <v>-12.819000000000001</v>
      </c>
      <c r="F135">
        <v>-139.27000000000001</v>
      </c>
      <c r="G135">
        <v>118.661</v>
      </c>
      <c r="H135">
        <v>0.14149999999999999</v>
      </c>
      <c r="I135">
        <v>0.13589999999999999</v>
      </c>
      <c r="J135">
        <v>-8.5879837900884794E-3</v>
      </c>
      <c r="K135">
        <v>-9.330279292032316E-2</v>
      </c>
      <c r="L135">
        <v>7.9495962595810057E-2</v>
      </c>
      <c r="M135">
        <v>-1.2151997062975197E-3</v>
      </c>
      <c r="N135">
        <v>-1.3202345198225727E-2</v>
      </c>
      <c r="O135">
        <v>1.1248678707307122E-2</v>
      </c>
      <c r="P135">
        <v>-1.1671069970730242E-3</v>
      </c>
      <c r="Q135">
        <v>-1.2679849557871917E-2</v>
      </c>
      <c r="R135">
        <v>1.0803501316770586E-2</v>
      </c>
    </row>
    <row r="136" spans="1:18">
      <c r="A136" t="s">
        <v>43</v>
      </c>
      <c r="B136">
        <v>2021</v>
      </c>
      <c r="C136">
        <v>-1.8138606348796518</v>
      </c>
      <c r="D136">
        <v>0.46474869341720138</v>
      </c>
      <c r="E136">
        <v>-357.45</v>
      </c>
      <c r="F136">
        <v>-421.04</v>
      </c>
      <c r="G136">
        <v>798.70899999999995</v>
      </c>
      <c r="H136">
        <v>7.7899999999999997E-2</v>
      </c>
      <c r="I136">
        <v>4.3999999999999997E-2</v>
      </c>
      <c r="J136">
        <v>-0.1476099941195515</v>
      </c>
      <c r="K136">
        <v>-0.17386966547516008</v>
      </c>
      <c r="L136">
        <v>0.32982915314934358</v>
      </c>
      <c r="M136">
        <v>-1.1498818541913062E-2</v>
      </c>
      <c r="N136">
        <v>-1.354444694051497E-2</v>
      </c>
      <c r="O136">
        <v>2.5693691030333865E-2</v>
      </c>
      <c r="P136">
        <v>-6.4948397412602655E-3</v>
      </c>
      <c r="Q136">
        <v>-7.6502652809070431E-3</v>
      </c>
      <c r="R136">
        <v>1.4512482738571116E-2</v>
      </c>
    </row>
    <row r="137" spans="1:18">
      <c r="A137" t="s">
        <v>44</v>
      </c>
      <c r="B137">
        <v>2017</v>
      </c>
      <c r="C137">
        <v>-4.4525138202468559</v>
      </c>
      <c r="D137">
        <v>0.11842142545462789</v>
      </c>
      <c r="E137">
        <v>129.66200000000001</v>
      </c>
      <c r="F137">
        <v>-19.606999999999999</v>
      </c>
      <c r="G137">
        <v>-85.272000000000006</v>
      </c>
      <c r="H137">
        <v>4.4999999999999997E-3</v>
      </c>
      <c r="I137">
        <v>2.06E-2</v>
      </c>
      <c r="J137">
        <v>0.24492764299976011</v>
      </c>
      <c r="K137">
        <v>-3.7037037037037035E-2</v>
      </c>
      <c r="L137">
        <v>-0.16107625961249669</v>
      </c>
      <c r="M137">
        <v>1.1021743934989203E-3</v>
      </c>
      <c r="N137">
        <v>-1.6666666666666663E-4</v>
      </c>
      <c r="O137">
        <v>-7.2484316825623509E-4</v>
      </c>
      <c r="P137">
        <v>5.0455094457950581E-3</v>
      </c>
      <c r="Q137">
        <v>-7.629629629629629E-4</v>
      </c>
      <c r="R137">
        <v>-3.318170948017432E-3</v>
      </c>
    </row>
    <row r="138" spans="1:18">
      <c r="A138" t="s">
        <v>44</v>
      </c>
      <c r="B138">
        <v>2018</v>
      </c>
      <c r="C138">
        <v>-4.3783745318443161</v>
      </c>
      <c r="D138">
        <v>0.11555168196578434</v>
      </c>
      <c r="E138">
        <v>163.577</v>
      </c>
      <c r="F138">
        <v>-17.381</v>
      </c>
      <c r="G138">
        <v>-28.024000000000001</v>
      </c>
      <c r="H138">
        <v>4.4000000000000003E-3</v>
      </c>
      <c r="I138">
        <v>2.06E-2</v>
      </c>
      <c r="J138">
        <v>0.28743305171710926</v>
      </c>
      <c r="K138">
        <v>-3.0541420076753308E-2</v>
      </c>
      <c r="L138">
        <v>-4.9243009966684008E-2</v>
      </c>
      <c r="M138">
        <v>1.2647054275552808E-3</v>
      </c>
      <c r="N138">
        <v>-1.3438224833771457E-4</v>
      </c>
      <c r="O138">
        <v>-2.1666924385340964E-4</v>
      </c>
      <c r="P138">
        <v>5.921120865372451E-3</v>
      </c>
      <c r="Q138">
        <v>-6.2915325358111815E-4</v>
      </c>
      <c r="R138">
        <v>-1.0144060053136905E-3</v>
      </c>
    </row>
    <row r="139" spans="1:18">
      <c r="A139" t="s">
        <v>44</v>
      </c>
      <c r="B139">
        <v>2019</v>
      </c>
      <c r="C139">
        <v>-3.9792230694596116</v>
      </c>
      <c r="D139">
        <v>0.13707617909150185</v>
      </c>
      <c r="E139">
        <v>-48.264000000000003</v>
      </c>
      <c r="F139">
        <v>-25.74</v>
      </c>
      <c r="G139">
        <v>-84.849000000000004</v>
      </c>
      <c r="H139">
        <v>4.4999999999999997E-3</v>
      </c>
      <c r="I139">
        <v>2.06E-2</v>
      </c>
      <c r="J139">
        <v>-9.3659763405470858E-2</v>
      </c>
      <c r="K139">
        <v>-4.9950321358710838E-2</v>
      </c>
      <c r="L139">
        <v>-0.16465558729468749</v>
      </c>
      <c r="M139">
        <v>-4.2146893532461885E-4</v>
      </c>
      <c r="N139">
        <v>-2.2477644611419874E-4</v>
      </c>
      <c r="O139">
        <v>-7.409501428260936E-4</v>
      </c>
      <c r="P139">
        <v>-1.9293911261526998E-3</v>
      </c>
      <c r="Q139">
        <v>-1.0289766199894433E-3</v>
      </c>
      <c r="R139">
        <v>-3.3919050982705624E-3</v>
      </c>
    </row>
    <row r="140" spans="1:18">
      <c r="A140" t="s">
        <v>44</v>
      </c>
      <c r="B140">
        <v>2020</v>
      </c>
      <c r="C140">
        <v>-4.0115346523427133</v>
      </c>
      <c r="D140">
        <v>0.11228818233417101</v>
      </c>
      <c r="E140">
        <v>91.475999999999999</v>
      </c>
      <c r="F140">
        <v>-1.046</v>
      </c>
      <c r="G140">
        <v>-42.241</v>
      </c>
      <c r="H140">
        <v>3.8999999999999998E-3</v>
      </c>
      <c r="I140">
        <v>2.0299999999999999E-2</v>
      </c>
      <c r="J140">
        <v>0.18346533601015641</v>
      </c>
      <c r="K140">
        <v>-2.0978698398117935E-3</v>
      </c>
      <c r="L140">
        <v>-8.4719043884789638E-2</v>
      </c>
      <c r="M140">
        <v>7.1551481043960995E-4</v>
      </c>
      <c r="N140">
        <v>-8.1816923752659937E-6</v>
      </c>
      <c r="O140">
        <v>-3.3040427115067956E-4</v>
      </c>
      <c r="P140">
        <v>3.7243463210061747E-3</v>
      </c>
      <c r="Q140">
        <v>-4.2586757748179404E-5</v>
      </c>
      <c r="R140">
        <v>-1.7197965908612295E-3</v>
      </c>
    </row>
    <row r="141" spans="1:18">
      <c r="A141" t="s">
        <v>44</v>
      </c>
      <c r="B141">
        <v>2021</v>
      </c>
      <c r="C141">
        <v>-3.9873071724354823</v>
      </c>
      <c r="D141">
        <v>0.11744390747115482</v>
      </c>
      <c r="E141">
        <v>29.466999999999999</v>
      </c>
      <c r="F141">
        <v>-3.0550000000000002</v>
      </c>
      <c r="G141">
        <v>0</v>
      </c>
      <c r="H141">
        <v>4.0000000000000001E-3</v>
      </c>
      <c r="I141">
        <v>1.95E-2</v>
      </c>
      <c r="J141">
        <v>5.5068417374013731E-2</v>
      </c>
      <c r="K141">
        <v>-5.7092345701161293E-3</v>
      </c>
      <c r="L141">
        <v>0</v>
      </c>
      <c r="M141">
        <v>2.2027366949605492E-4</v>
      </c>
      <c r="N141">
        <v>-2.2836938280464517E-5</v>
      </c>
      <c r="O141">
        <v>0</v>
      </c>
      <c r="P141">
        <v>1.0738341387932678E-3</v>
      </c>
      <c r="Q141">
        <v>-1.1133007411726452E-4</v>
      </c>
      <c r="R141">
        <v>0</v>
      </c>
    </row>
    <row r="142" spans="1:18">
      <c r="A142" t="s">
        <v>45</v>
      </c>
      <c r="B142">
        <v>2017</v>
      </c>
      <c r="C142">
        <v>-1.865532755782372</v>
      </c>
      <c r="D142">
        <v>0.45825446317706459</v>
      </c>
      <c r="E142">
        <v>4.3490000000000002</v>
      </c>
      <c r="F142">
        <v>-48.476999999999997</v>
      </c>
      <c r="G142">
        <v>60.935000000000002</v>
      </c>
      <c r="H142">
        <v>0</v>
      </c>
      <c r="I142">
        <v>0.1033</v>
      </c>
      <c r="J142">
        <v>1.2000220744460693E-2</v>
      </c>
      <c r="K142">
        <v>-0.13376286526309977</v>
      </c>
      <c r="L142">
        <v>0.1681382964046246</v>
      </c>
      <c r="M142">
        <v>0</v>
      </c>
      <c r="N142">
        <v>0</v>
      </c>
      <c r="O142">
        <v>0</v>
      </c>
      <c r="P142">
        <v>1.2396228029027897E-3</v>
      </c>
      <c r="Q142">
        <v>-1.3817703981678206E-2</v>
      </c>
      <c r="R142">
        <v>1.7368686018597722E-2</v>
      </c>
    </row>
    <row r="143" spans="1:18">
      <c r="A143" t="s">
        <v>45</v>
      </c>
      <c r="B143">
        <v>2018</v>
      </c>
      <c r="C143">
        <v>-1.9283305181286963</v>
      </c>
      <c r="D143">
        <v>0.44621115153955676</v>
      </c>
      <c r="E143">
        <v>-50.192999999999998</v>
      </c>
      <c r="F143">
        <v>19.061</v>
      </c>
      <c r="G143">
        <v>31.984999999999999</v>
      </c>
      <c r="H143">
        <v>0</v>
      </c>
      <c r="I143">
        <v>0.1033</v>
      </c>
      <c r="J143">
        <v>-0.14437173716077256</v>
      </c>
      <c r="K143">
        <v>5.4825766182963483E-2</v>
      </c>
      <c r="L143">
        <v>9.1999482260221754E-2</v>
      </c>
      <c r="M143">
        <v>0</v>
      </c>
      <c r="N143">
        <v>0</v>
      </c>
      <c r="O143">
        <v>0</v>
      </c>
      <c r="P143">
        <v>-1.4913600448707806E-2</v>
      </c>
      <c r="Q143">
        <v>5.6635016467001279E-3</v>
      </c>
      <c r="R143">
        <v>9.503546517480907E-3</v>
      </c>
    </row>
    <row r="144" spans="1:18">
      <c r="A144" t="s">
        <v>45</v>
      </c>
      <c r="B144">
        <v>2019</v>
      </c>
      <c r="C144">
        <v>-1.1090491734039725</v>
      </c>
      <c r="D144">
        <v>0.57125101617729557</v>
      </c>
      <c r="E144">
        <v>-2.0529999999999999</v>
      </c>
      <c r="F144">
        <v>-32.392000000000003</v>
      </c>
      <c r="G144">
        <v>24.497</v>
      </c>
      <c r="H144">
        <v>1.2999999999999999E-4</v>
      </c>
      <c r="I144">
        <v>0.1033</v>
      </c>
      <c r="J144">
        <v>-5.0728558967934514E-3</v>
      </c>
      <c r="K144">
        <v>-8.003894213781465E-2</v>
      </c>
      <c r="L144">
        <v>6.0530809013029312E-2</v>
      </c>
      <c r="M144">
        <v>-6.5947126658314857E-7</v>
      </c>
      <c r="N144">
        <v>-1.0405062477915903E-5</v>
      </c>
      <c r="O144">
        <v>7.8690051716938095E-6</v>
      </c>
      <c r="P144">
        <v>-5.2402601413876354E-4</v>
      </c>
      <c r="Q144">
        <v>-8.2680227228362543E-3</v>
      </c>
      <c r="R144">
        <v>6.2528325710459283E-3</v>
      </c>
    </row>
    <row r="145" spans="1:18">
      <c r="A145" t="s">
        <v>45</v>
      </c>
      <c r="B145">
        <v>2020</v>
      </c>
      <c r="C145">
        <v>-0.26905440951718912</v>
      </c>
      <c r="D145">
        <v>0.71421356306039929</v>
      </c>
      <c r="E145">
        <v>209.29499999999999</v>
      </c>
      <c r="F145">
        <v>-102.83499999999999</v>
      </c>
      <c r="G145">
        <v>-80.748999999999995</v>
      </c>
      <c r="H145">
        <v>6.1999999999999998E-3</v>
      </c>
      <c r="I145">
        <v>4.3299999999999998E-2</v>
      </c>
      <c r="J145">
        <v>0.33451340163344895</v>
      </c>
      <c r="K145">
        <v>-0.16435980628765964</v>
      </c>
      <c r="L145">
        <v>-0.12906004762894177</v>
      </c>
      <c r="M145">
        <v>2.0739830901273836E-3</v>
      </c>
      <c r="N145">
        <v>-1.0190307989834898E-3</v>
      </c>
      <c r="O145">
        <v>-8.0017229529943891E-4</v>
      </c>
      <c r="P145">
        <v>1.4484430290728339E-2</v>
      </c>
      <c r="Q145">
        <v>-7.1167796122556621E-3</v>
      </c>
      <c r="R145">
        <v>-5.5883000623331786E-3</v>
      </c>
    </row>
    <row r="146" spans="1:18">
      <c r="A146" t="s">
        <v>45</v>
      </c>
      <c r="B146">
        <v>2021</v>
      </c>
      <c r="C146">
        <v>-1.8663688943304986</v>
      </c>
      <c r="D146">
        <v>0.45573211905266175</v>
      </c>
      <c r="E146">
        <v>-117.539</v>
      </c>
      <c r="F146">
        <v>-73.811000000000007</v>
      </c>
      <c r="G146">
        <v>191.90899999999999</v>
      </c>
      <c r="H146">
        <v>1.0710000000000001E-2</v>
      </c>
      <c r="I146">
        <v>4.3299999999999998E-2</v>
      </c>
      <c r="J146">
        <v>-0.18304377888796144</v>
      </c>
      <c r="K146">
        <v>-0.11494605504129968</v>
      </c>
      <c r="L146">
        <v>0.29886036602838029</v>
      </c>
      <c r="M146">
        <v>-1.960398871890067E-3</v>
      </c>
      <c r="N146">
        <v>-1.2310722494923195E-3</v>
      </c>
      <c r="O146">
        <v>3.200794520163953E-3</v>
      </c>
      <c r="P146">
        <v>-7.9257956258487298E-3</v>
      </c>
      <c r="Q146">
        <v>-4.9771641832882761E-3</v>
      </c>
      <c r="R146">
        <v>1.2940653849028866E-2</v>
      </c>
    </row>
    <row r="147" spans="1:18">
      <c r="A147" t="s">
        <v>46</v>
      </c>
      <c r="B147">
        <v>2017</v>
      </c>
      <c r="C147">
        <v>-0.40821788963384059</v>
      </c>
      <c r="D147">
        <v>0.69429728592965068</v>
      </c>
      <c r="E147">
        <v>-284.65100000000001</v>
      </c>
      <c r="F147">
        <v>-215.56299999999999</v>
      </c>
      <c r="G147">
        <v>502.71800000000002</v>
      </c>
      <c r="H147">
        <v>6.8000000000000005E-2</v>
      </c>
      <c r="I147">
        <v>2.3E-3</v>
      </c>
      <c r="J147">
        <v>-7.0801326926372601E-2</v>
      </c>
      <c r="K147">
        <v>-5.3617048372321389E-2</v>
      </c>
      <c r="L147">
        <v>0.12504119595494897</v>
      </c>
      <c r="M147">
        <v>-4.8144902309933376E-3</v>
      </c>
      <c r="N147">
        <v>-3.6459592893178547E-3</v>
      </c>
      <c r="O147">
        <v>8.5028013249365316E-3</v>
      </c>
      <c r="P147">
        <v>-1.6284305193065699E-4</v>
      </c>
      <c r="Q147">
        <v>-1.2331921125633921E-4</v>
      </c>
      <c r="R147">
        <v>2.8759475069638262E-4</v>
      </c>
    </row>
    <row r="148" spans="1:18">
      <c r="A148" t="s">
        <v>46</v>
      </c>
      <c r="B148">
        <v>2018</v>
      </c>
      <c r="C148">
        <v>-0.36634602872606181</v>
      </c>
      <c r="D148">
        <v>0.69203017858215343</v>
      </c>
      <c r="E148">
        <v>323.608</v>
      </c>
      <c r="F148">
        <v>-179.232</v>
      </c>
      <c r="G148">
        <v>-99.997</v>
      </c>
      <c r="H148">
        <v>0.04</v>
      </c>
      <c r="I148">
        <v>2.0479999999999999E-3</v>
      </c>
      <c r="J148">
        <v>8.377393814757518E-2</v>
      </c>
      <c r="K148">
        <v>-4.6398638111746909E-2</v>
      </c>
      <c r="L148">
        <v>-2.5886697773055904E-2</v>
      </c>
      <c r="M148">
        <v>3.3509575259030072E-3</v>
      </c>
      <c r="N148">
        <v>-1.8559455244698765E-3</v>
      </c>
      <c r="O148">
        <v>-1.0354679109222363E-3</v>
      </c>
      <c r="P148">
        <v>1.7156902532623397E-4</v>
      </c>
      <c r="Q148">
        <v>-9.5024410852857666E-5</v>
      </c>
      <c r="R148">
        <v>-5.301595703921849E-5</v>
      </c>
    </row>
    <row r="149" spans="1:18">
      <c r="A149" t="s">
        <v>46</v>
      </c>
      <c r="B149">
        <v>2019</v>
      </c>
      <c r="C149">
        <v>-0.51947744292319564</v>
      </c>
      <c r="D149">
        <v>0.67480690624949224</v>
      </c>
      <c r="E149">
        <v>129.309</v>
      </c>
      <c r="F149">
        <v>-46.939</v>
      </c>
      <c r="G149">
        <v>-96.659000000000006</v>
      </c>
      <c r="H149">
        <v>0.04</v>
      </c>
      <c r="I149">
        <v>1.2639999999999999E-3</v>
      </c>
      <c r="J149">
        <v>3.3885810930859413E-2</v>
      </c>
      <c r="K149">
        <v>-1.2300505605051543E-2</v>
      </c>
      <c r="L149">
        <v>-2.532978059350811E-2</v>
      </c>
      <c r="M149">
        <v>1.3554324372343765E-3</v>
      </c>
      <c r="N149">
        <v>-4.9202022420206178E-4</v>
      </c>
      <c r="O149">
        <v>-1.0131912237403245E-3</v>
      </c>
      <c r="P149">
        <v>4.2831665016606294E-5</v>
      </c>
      <c r="Q149">
        <v>-1.5547839084785149E-5</v>
      </c>
      <c r="R149">
        <v>-3.201684267019425E-5</v>
      </c>
    </row>
    <row r="150" spans="1:18">
      <c r="A150" t="s">
        <v>46</v>
      </c>
      <c r="B150">
        <v>2020</v>
      </c>
      <c r="C150">
        <v>-0.6176497702300302</v>
      </c>
      <c r="D150">
        <v>0.66552223576273151</v>
      </c>
      <c r="E150">
        <v>316.58</v>
      </c>
      <c r="F150">
        <v>-88.936000000000007</v>
      </c>
      <c r="G150">
        <v>-134.87899999999999</v>
      </c>
      <c r="H150">
        <v>1.9E-2</v>
      </c>
      <c r="I150">
        <v>0</v>
      </c>
      <c r="J150">
        <v>8.3021066812054498E-2</v>
      </c>
      <c r="K150">
        <v>-2.3322893417135889E-2</v>
      </c>
      <c r="L150">
        <v>-3.5371149379439949E-2</v>
      </c>
      <c r="M150">
        <v>1.5774002694290354E-3</v>
      </c>
      <c r="N150">
        <v>-4.4313497492558186E-4</v>
      </c>
      <c r="O150">
        <v>-6.7205183820935903E-4</v>
      </c>
      <c r="P150">
        <v>0</v>
      </c>
      <c r="Q150">
        <v>0</v>
      </c>
      <c r="R150">
        <v>0</v>
      </c>
    </row>
    <row r="151" spans="1:18">
      <c r="A151" t="s">
        <v>46</v>
      </c>
      <c r="B151">
        <v>2021</v>
      </c>
      <c r="C151">
        <v>-0.42426914071061378</v>
      </c>
      <c r="D151">
        <v>0.68859526221115519</v>
      </c>
      <c r="E151">
        <v>-271.428</v>
      </c>
      <c r="F151">
        <v>-8.7579999999999991</v>
      </c>
      <c r="G151">
        <v>206.72800000000001</v>
      </c>
      <c r="H151">
        <v>1.9E-2</v>
      </c>
      <c r="I151">
        <v>0</v>
      </c>
      <c r="J151">
        <v>-6.4565729648312448E-2</v>
      </c>
      <c r="K151">
        <v>-2.0833026079104602E-3</v>
      </c>
      <c r="L151">
        <v>4.9175266216957482E-2</v>
      </c>
      <c r="M151">
        <v>-1.2267488633179364E-3</v>
      </c>
      <c r="N151">
        <v>-3.9582749550298743E-5</v>
      </c>
      <c r="O151">
        <v>9.343300581221921E-4</v>
      </c>
      <c r="P151">
        <v>0</v>
      </c>
      <c r="Q151">
        <v>0</v>
      </c>
      <c r="R151">
        <v>0</v>
      </c>
    </row>
    <row r="152" spans="1:18">
      <c r="A152" t="s">
        <v>47</v>
      </c>
      <c r="B152">
        <v>2017</v>
      </c>
      <c r="C152">
        <v>-3.9175611252288554</v>
      </c>
      <c r="D152">
        <v>0.2479330949114</v>
      </c>
      <c r="E152">
        <v>253.673</v>
      </c>
      <c r="F152">
        <v>-98.567999999999998</v>
      </c>
      <c r="G152">
        <v>-152.935</v>
      </c>
      <c r="H152">
        <v>0.2034</v>
      </c>
      <c r="I152">
        <v>1.83E-3</v>
      </c>
      <c r="J152">
        <v>0.23297845569448195</v>
      </c>
      <c r="K152">
        <v>-9.0526861041158091E-2</v>
      </c>
      <c r="L152">
        <v>-0.1404586224061512</v>
      </c>
      <c r="M152">
        <v>4.7387817888257626E-2</v>
      </c>
      <c r="N152">
        <v>-1.8413163535771555E-2</v>
      </c>
      <c r="O152">
        <v>-2.8569283797411155E-2</v>
      </c>
      <c r="P152">
        <v>4.2635057392090194E-4</v>
      </c>
      <c r="Q152">
        <v>-1.6566415570531932E-4</v>
      </c>
      <c r="R152">
        <v>-2.5703927900325673E-4</v>
      </c>
    </row>
    <row r="153" spans="1:18">
      <c r="A153" t="s">
        <v>47</v>
      </c>
      <c r="B153">
        <v>2018</v>
      </c>
      <c r="C153">
        <v>-3.8870050248166628</v>
      </c>
      <c r="D153">
        <v>0.25303934321280591</v>
      </c>
      <c r="E153">
        <v>106.911</v>
      </c>
      <c r="F153">
        <v>-200.08099999999999</v>
      </c>
      <c r="G153">
        <v>-222.136</v>
      </c>
      <c r="H153">
        <v>0.20130000000000001</v>
      </c>
      <c r="I153">
        <v>1.7899999999999999E-3</v>
      </c>
      <c r="J153">
        <v>9.4796651513176636E-2</v>
      </c>
      <c r="K153">
        <v>-0.17740932954895092</v>
      </c>
      <c r="L153">
        <v>-0.19696522322802146</v>
      </c>
      <c r="M153">
        <v>1.9082565949602458E-2</v>
      </c>
      <c r="N153">
        <v>-3.5712498038203817E-2</v>
      </c>
      <c r="O153">
        <v>-3.9649099435800722E-2</v>
      </c>
      <c r="P153">
        <v>1.6968600620858616E-4</v>
      </c>
      <c r="Q153">
        <v>-3.1756269989262212E-4</v>
      </c>
      <c r="R153">
        <v>-3.5256774957815841E-4</v>
      </c>
    </row>
    <row r="154" spans="1:18">
      <c r="A154" t="s">
        <v>47</v>
      </c>
      <c r="B154">
        <v>2019</v>
      </c>
      <c r="C154">
        <v>-3.7234841165649235</v>
      </c>
      <c r="D154">
        <v>0.26027554280889875</v>
      </c>
      <c r="E154">
        <v>-119.383</v>
      </c>
      <c r="F154">
        <v>134.107</v>
      </c>
      <c r="G154">
        <v>-30.242000000000001</v>
      </c>
      <c r="H154">
        <v>0.152</v>
      </c>
      <c r="I154">
        <v>5.0000000000000001E-4</v>
      </c>
      <c r="J154">
        <v>-9.4374360668904367E-2</v>
      </c>
      <c r="K154">
        <v>0.1060139415681023</v>
      </c>
      <c r="L154">
        <v>-2.3906832759681074E-2</v>
      </c>
      <c r="M154">
        <v>-1.4344902821673463E-2</v>
      </c>
      <c r="N154">
        <v>1.611411911835155E-2</v>
      </c>
      <c r="O154">
        <v>-3.6338385794715232E-3</v>
      </c>
      <c r="P154">
        <v>-4.7187180334452185E-5</v>
      </c>
      <c r="Q154">
        <v>5.3006970784051149E-5</v>
      </c>
      <c r="R154">
        <v>-1.1953416379840538E-5</v>
      </c>
    </row>
    <row r="155" spans="1:18">
      <c r="A155" t="s">
        <v>47</v>
      </c>
      <c r="B155">
        <v>2020</v>
      </c>
      <c r="C155">
        <v>-3.6444595594330065</v>
      </c>
      <c r="D155">
        <v>0.22681606734731424</v>
      </c>
      <c r="E155">
        <v>290.39699999999999</v>
      </c>
      <c r="F155">
        <v>-158.76499999999999</v>
      </c>
      <c r="G155">
        <v>-170.85900000000001</v>
      </c>
      <c r="H155">
        <v>0.1181</v>
      </c>
      <c r="I155">
        <v>8.7000000000000001E-5</v>
      </c>
      <c r="J155">
        <v>0.22354446340691747</v>
      </c>
      <c r="K155">
        <v>-0.12221557637578642</v>
      </c>
      <c r="L155">
        <v>-0.13152540650641195</v>
      </c>
      <c r="M155">
        <v>2.6400601128356953E-2</v>
      </c>
      <c r="N155">
        <v>-1.4433659569980377E-2</v>
      </c>
      <c r="O155">
        <v>-1.5533150508407251E-2</v>
      </c>
      <c r="P155">
        <v>1.944836831640182E-5</v>
      </c>
      <c r="Q155">
        <v>-1.0632755144693418E-5</v>
      </c>
      <c r="R155">
        <v>-1.144271036605784E-5</v>
      </c>
    </row>
    <row r="156" spans="1:18">
      <c r="A156" t="s">
        <v>47</v>
      </c>
      <c r="B156">
        <v>2021</v>
      </c>
      <c r="C156">
        <v>-3.8272102451663144</v>
      </c>
      <c r="D156">
        <v>0.20340874902633663</v>
      </c>
      <c r="E156">
        <v>141.88999999999999</v>
      </c>
      <c r="F156">
        <v>24.15</v>
      </c>
      <c r="G156">
        <v>-98.981999999999999</v>
      </c>
      <c r="H156">
        <v>8.8999999999999999E-3</v>
      </c>
      <c r="I156">
        <v>9.3999999999999994E-5</v>
      </c>
      <c r="J156">
        <v>9.7462499364628835E-2</v>
      </c>
      <c r="K156">
        <v>1.6588338569707425E-2</v>
      </c>
      <c r="L156">
        <v>-6.7989520840860476E-2</v>
      </c>
      <c r="M156">
        <v>8.6741624434519661E-4</v>
      </c>
      <c r="N156">
        <v>1.4763621327039609E-4</v>
      </c>
      <c r="O156">
        <v>-6.0510673548365825E-4</v>
      </c>
      <c r="P156">
        <v>9.1614749402751091E-6</v>
      </c>
      <c r="Q156">
        <v>1.5593038255524978E-6</v>
      </c>
      <c r="R156">
        <v>-6.3910149590408846E-6</v>
      </c>
    </row>
    <row r="157" spans="1:18">
      <c r="A157" t="s">
        <v>48</v>
      </c>
      <c r="B157">
        <v>2017</v>
      </c>
      <c r="C157">
        <v>-1.6982214814656564</v>
      </c>
      <c r="D157">
        <v>0.53980338492936908</v>
      </c>
      <c r="E157">
        <v>1107.559</v>
      </c>
      <c r="F157">
        <v>-1059.2460000000001</v>
      </c>
      <c r="G157">
        <v>-403.82499999999999</v>
      </c>
      <c r="H157">
        <v>0.42399999999999999</v>
      </c>
      <c r="I157">
        <v>2.7300000000000001E-2</v>
      </c>
      <c r="J157">
        <v>6.9757310397133829E-2</v>
      </c>
      <c r="K157">
        <v>-6.6714416124940001E-2</v>
      </c>
      <c r="L157">
        <v>-2.5434081499154958E-2</v>
      </c>
      <c r="M157">
        <v>2.9577099608384741E-2</v>
      </c>
      <c r="N157">
        <v>-2.8286912436974558E-2</v>
      </c>
      <c r="O157">
        <v>-1.0784050555641701E-2</v>
      </c>
      <c r="P157">
        <v>1.9043745738417535E-3</v>
      </c>
      <c r="Q157">
        <v>-1.8213035602108621E-3</v>
      </c>
      <c r="R157">
        <v>-6.9435042492693038E-4</v>
      </c>
    </row>
    <row r="158" spans="1:18">
      <c r="A158" t="s">
        <v>48</v>
      </c>
      <c r="B158">
        <v>2018</v>
      </c>
      <c r="C158">
        <v>-1.7088003341101203</v>
      </c>
      <c r="D158">
        <v>0.52669178337996858</v>
      </c>
      <c r="E158">
        <v>-933.89</v>
      </c>
      <c r="F158">
        <v>1021.147</v>
      </c>
      <c r="G158">
        <v>-755.53399999999999</v>
      </c>
      <c r="H158">
        <v>0.4713</v>
      </c>
      <c r="I158">
        <v>4.65E-2</v>
      </c>
      <c r="J158">
        <v>-5.5512489671172199E-2</v>
      </c>
      <c r="K158">
        <v>6.0699238979160804E-2</v>
      </c>
      <c r="L158">
        <v>-4.4910614067202155E-2</v>
      </c>
      <c r="M158">
        <v>-2.6163036382023459E-2</v>
      </c>
      <c r="N158">
        <v>2.8607551330878486E-2</v>
      </c>
      <c r="O158">
        <v>-2.1166372409872375E-2</v>
      </c>
      <c r="P158">
        <v>-2.5813307697095072E-3</v>
      </c>
      <c r="Q158">
        <v>2.8225146125309773E-3</v>
      </c>
      <c r="R158">
        <v>-2.0883435541249004E-3</v>
      </c>
    </row>
    <row r="159" spans="1:18">
      <c r="A159" t="s">
        <v>48</v>
      </c>
      <c r="B159">
        <v>2019</v>
      </c>
      <c r="C159">
        <v>-1.7853624289365051</v>
      </c>
      <c r="D159">
        <v>0.47715242961314375</v>
      </c>
      <c r="E159">
        <v>-338.91300000000001</v>
      </c>
      <c r="F159">
        <v>769.16499999999996</v>
      </c>
      <c r="G159">
        <v>-182.548</v>
      </c>
      <c r="H159">
        <v>0.47599999999999998</v>
      </c>
      <c r="I159">
        <v>3.6900000000000002E-2</v>
      </c>
      <c r="J159">
        <v>-2.0922061427384217E-2</v>
      </c>
      <c r="K159">
        <v>4.7482738572418234E-2</v>
      </c>
      <c r="L159">
        <v>-1.1269206166320366E-2</v>
      </c>
      <c r="M159">
        <v>-9.958901239434886E-3</v>
      </c>
      <c r="N159">
        <v>2.260178356047108E-2</v>
      </c>
      <c r="O159">
        <v>-5.3641421351684941E-3</v>
      </c>
      <c r="P159">
        <v>-7.7202406667047768E-4</v>
      </c>
      <c r="Q159">
        <v>1.7521130533222329E-3</v>
      </c>
      <c r="R159">
        <v>-4.1583370753722152E-4</v>
      </c>
    </row>
    <row r="160" spans="1:18">
      <c r="A160" t="s">
        <v>48</v>
      </c>
      <c r="B160">
        <v>2020</v>
      </c>
      <c r="C160">
        <v>-2.0967240264722404</v>
      </c>
      <c r="D160">
        <v>0.40676527554857655</v>
      </c>
      <c r="E160">
        <v>-566.84400000000005</v>
      </c>
      <c r="F160">
        <v>1391.605</v>
      </c>
      <c r="G160">
        <v>-229.107</v>
      </c>
      <c r="H160">
        <v>0.46200000000000002</v>
      </c>
      <c r="I160">
        <v>2.4000000000000001E-4</v>
      </c>
      <c r="J160">
        <v>-4.003867090689521E-2</v>
      </c>
      <c r="K160">
        <v>9.8295147566861266E-2</v>
      </c>
      <c r="L160">
        <v>-1.6182829447724666E-2</v>
      </c>
      <c r="M160">
        <v>-1.8497865958985588E-2</v>
      </c>
      <c r="N160">
        <v>4.5412358175889907E-2</v>
      </c>
      <c r="O160">
        <v>-7.4764672048487956E-3</v>
      </c>
      <c r="P160">
        <v>-9.609281017654851E-6</v>
      </c>
      <c r="Q160">
        <v>2.3590835416046704E-5</v>
      </c>
      <c r="R160">
        <v>-3.8838790674539196E-6</v>
      </c>
    </row>
    <row r="161" spans="1:18">
      <c r="A161" t="s">
        <v>48</v>
      </c>
      <c r="B161">
        <v>2021</v>
      </c>
      <c r="C161">
        <v>-1.9928953603076702</v>
      </c>
      <c r="D161">
        <v>0.40769904396618023</v>
      </c>
      <c r="E161">
        <v>421.16399999999999</v>
      </c>
      <c r="F161">
        <v>-680.53399999999999</v>
      </c>
      <c r="G161">
        <v>-252.73599999999999</v>
      </c>
      <c r="H161">
        <v>0.46500000000000002</v>
      </c>
      <c r="I161">
        <v>2.2899999999999999E-3</v>
      </c>
      <c r="J161">
        <v>3.0246013318001249E-2</v>
      </c>
      <c r="K161">
        <v>-4.887274417412852E-2</v>
      </c>
      <c r="L161">
        <v>-1.815030824557266E-2</v>
      </c>
      <c r="M161">
        <v>1.4064396192870582E-2</v>
      </c>
      <c r="N161">
        <v>-2.2725826040969763E-2</v>
      </c>
      <c r="O161">
        <v>-8.4398933341912879E-3</v>
      </c>
      <c r="P161">
        <v>6.9263370498222858E-5</v>
      </c>
      <c r="Q161">
        <v>-1.1191858415875431E-4</v>
      </c>
      <c r="R161">
        <v>-4.1564205882361388E-5</v>
      </c>
    </row>
    <row r="162" spans="1:18">
      <c r="A162" t="s">
        <v>49</v>
      </c>
      <c r="B162">
        <v>2017</v>
      </c>
      <c r="C162">
        <v>-0.63166118804274618</v>
      </c>
      <c r="D162">
        <v>0.67250222206520049</v>
      </c>
      <c r="E162">
        <v>143.18</v>
      </c>
      <c r="F162">
        <v>-613.06500000000005</v>
      </c>
      <c r="G162">
        <v>487.10700000000003</v>
      </c>
      <c r="H162">
        <v>0.27950000000000003</v>
      </c>
      <c r="I162">
        <v>9.9570000000000006E-2</v>
      </c>
      <c r="J162">
        <v>3.3279842614561871E-2</v>
      </c>
      <c r="K162">
        <v>-0.14249690398446974</v>
      </c>
      <c r="L162">
        <v>0.11322003280102941</v>
      </c>
      <c r="M162">
        <v>9.3017160107700444E-3</v>
      </c>
      <c r="N162">
        <v>-3.9827884663659295E-2</v>
      </c>
      <c r="O162">
        <v>3.1644999167887725E-2</v>
      </c>
      <c r="P162">
        <v>3.3136739291319255E-3</v>
      </c>
      <c r="Q162">
        <v>-1.4188416729733653E-2</v>
      </c>
      <c r="R162">
        <v>1.1273318665998499E-2</v>
      </c>
    </row>
    <row r="163" spans="1:18">
      <c r="A163" t="s">
        <v>49</v>
      </c>
      <c r="B163">
        <v>2018</v>
      </c>
      <c r="C163">
        <v>-0.62590826663755217</v>
      </c>
      <c r="D163">
        <v>0.66816792618073806</v>
      </c>
      <c r="E163">
        <v>97.391000000000005</v>
      </c>
      <c r="F163">
        <v>-19.923999999999999</v>
      </c>
      <c r="G163">
        <v>-23.949000000000002</v>
      </c>
      <c r="H163">
        <v>0.28560000000000002</v>
      </c>
      <c r="I163">
        <v>0.1002</v>
      </c>
      <c r="J163">
        <v>2.1983034932329337E-2</v>
      </c>
      <c r="K163">
        <v>-4.4972326805529225E-3</v>
      </c>
      <c r="L163">
        <v>-5.4057531352420174E-3</v>
      </c>
      <c r="M163">
        <v>6.2783547766732594E-3</v>
      </c>
      <c r="N163">
        <v>-1.2844096535659147E-3</v>
      </c>
      <c r="O163">
        <v>-1.5438830954251203E-3</v>
      </c>
      <c r="P163">
        <v>2.2027001002193993E-3</v>
      </c>
      <c r="Q163">
        <v>-4.5062271459140284E-4</v>
      </c>
      <c r="R163">
        <v>-5.4165646415125016E-4</v>
      </c>
    </row>
    <row r="164" spans="1:18">
      <c r="A164" t="s">
        <v>49</v>
      </c>
      <c r="B164">
        <v>2019</v>
      </c>
      <c r="C164">
        <v>-0.52031513224365789</v>
      </c>
      <c r="D164">
        <v>0.67820531060096623</v>
      </c>
      <c r="E164">
        <v>101.977</v>
      </c>
      <c r="F164">
        <v>-283.322</v>
      </c>
      <c r="G164">
        <v>-59.716000000000001</v>
      </c>
      <c r="H164">
        <v>0.18770000000000001</v>
      </c>
      <c r="I164">
        <v>8.5870000000000002E-2</v>
      </c>
      <c r="J164">
        <v>2.2528168771390019E-2</v>
      </c>
      <c r="K164">
        <v>-6.2589856856426082E-2</v>
      </c>
      <c r="L164">
        <v>-1.3192113185839223E-2</v>
      </c>
      <c r="M164">
        <v>4.2285372783899067E-3</v>
      </c>
      <c r="N164">
        <v>-1.1748116131951177E-2</v>
      </c>
      <c r="O164">
        <v>-2.4761596449820221E-3</v>
      </c>
      <c r="P164">
        <v>1.934493852399261E-3</v>
      </c>
      <c r="Q164">
        <v>-5.374591008261308E-3</v>
      </c>
      <c r="R164">
        <v>-1.132806759268014E-3</v>
      </c>
    </row>
    <row r="165" spans="1:18">
      <c r="A165" t="s">
        <v>49</v>
      </c>
      <c r="B165">
        <v>2020</v>
      </c>
      <c r="C165">
        <v>-0.40173784918644656</v>
      </c>
      <c r="D165">
        <v>0.70225199289111506</v>
      </c>
      <c r="E165">
        <v>302.05</v>
      </c>
      <c r="F165">
        <v>-111.843</v>
      </c>
      <c r="G165">
        <v>-89.411000000000001</v>
      </c>
      <c r="H165">
        <v>5.0500000000000003E-2</v>
      </c>
      <c r="I165">
        <v>8.5870000000000002E-2</v>
      </c>
      <c r="J165">
        <v>6.6659589855383672E-2</v>
      </c>
      <c r="K165">
        <v>-2.4682696600548507E-2</v>
      </c>
      <c r="L165">
        <v>-1.973216549763188E-2</v>
      </c>
      <c r="M165">
        <v>3.3663092876968755E-3</v>
      </c>
      <c r="N165">
        <v>-1.2464761783276997E-3</v>
      </c>
      <c r="O165">
        <v>-9.9647435763040989E-4</v>
      </c>
      <c r="P165">
        <v>5.7240589808817957E-3</v>
      </c>
      <c r="Q165">
        <v>-2.1195031570891004E-3</v>
      </c>
      <c r="R165">
        <v>-1.6944010512816496E-3</v>
      </c>
    </row>
    <row r="166" spans="1:18">
      <c r="A166" t="s">
        <v>49</v>
      </c>
      <c r="B166">
        <v>2021</v>
      </c>
      <c r="C166">
        <v>-9.5359676726775991E-2</v>
      </c>
      <c r="D166">
        <v>0.73607458208658005</v>
      </c>
      <c r="E166">
        <v>257.916</v>
      </c>
      <c r="F166">
        <v>-383.84100000000001</v>
      </c>
      <c r="G166">
        <v>159.41300000000001</v>
      </c>
      <c r="H166">
        <v>1.21E-2</v>
      </c>
      <c r="I166">
        <v>5.2699999999999997E-2</v>
      </c>
      <c r="J166">
        <v>5.4237005848779621E-2</v>
      </c>
      <c r="K166">
        <v>-8.071770096466066E-2</v>
      </c>
      <c r="L166">
        <v>3.3522867186880634E-2</v>
      </c>
      <c r="M166">
        <v>6.5626777077023343E-4</v>
      </c>
      <c r="N166">
        <v>-9.7668418167239394E-4</v>
      </c>
      <c r="O166">
        <v>4.0562669296125567E-4</v>
      </c>
      <c r="P166">
        <v>2.858290208230686E-3</v>
      </c>
      <c r="Q166">
        <v>-4.2538228408376165E-3</v>
      </c>
      <c r="R166">
        <v>1.7666551007486093E-3</v>
      </c>
    </row>
    <row r="167" spans="1:18">
      <c r="A167" t="s">
        <v>51</v>
      </c>
      <c r="B167">
        <v>2017</v>
      </c>
      <c r="C167">
        <v>-0.83042038552727238</v>
      </c>
      <c r="D167">
        <v>0.6587309750727246</v>
      </c>
      <c r="E167">
        <v>-79.686999999999998</v>
      </c>
      <c r="F167">
        <v>-199.85599999999999</v>
      </c>
      <c r="G167">
        <v>-16.035</v>
      </c>
      <c r="H167">
        <v>9.5500000000000002E-2</v>
      </c>
      <c r="I167">
        <v>6.4999999999999997E-3</v>
      </c>
      <c r="J167">
        <v>-6.4035454267851691E-2</v>
      </c>
      <c r="K167">
        <v>-0.16060172610533419</v>
      </c>
      <c r="L167">
        <v>-1.2885520965590395E-2</v>
      </c>
      <c r="M167">
        <v>-6.1153858825798366E-3</v>
      </c>
      <c r="N167">
        <v>-1.5337464843059414E-2</v>
      </c>
      <c r="O167">
        <v>-1.2305672522138827E-3</v>
      </c>
      <c r="P167">
        <v>-4.1623045274103598E-4</v>
      </c>
      <c r="Q167">
        <v>-1.0439112196846722E-3</v>
      </c>
      <c r="R167">
        <v>-8.3755886276337571E-5</v>
      </c>
    </row>
    <row r="168" spans="1:18">
      <c r="A168" t="s">
        <v>51</v>
      </c>
      <c r="B168">
        <v>2018</v>
      </c>
      <c r="C168">
        <v>-0.5757538084413123</v>
      </c>
      <c r="D168">
        <v>0.70177303782912415</v>
      </c>
      <c r="E168">
        <v>458.03399999999999</v>
      </c>
      <c r="F168">
        <v>-422.71300000000002</v>
      </c>
      <c r="G168">
        <v>-47.671999999999997</v>
      </c>
      <c r="H168">
        <v>1.72E-2</v>
      </c>
      <c r="I168">
        <v>6.6E-3</v>
      </c>
      <c r="J168">
        <v>0.28797262828448328</v>
      </c>
      <c r="K168">
        <v>-0.26576580258238203</v>
      </c>
      <c r="L168">
        <v>-2.9972078787989288E-2</v>
      </c>
      <c r="M168">
        <v>4.9531292064931122E-3</v>
      </c>
      <c r="N168">
        <v>-4.5711718044169711E-3</v>
      </c>
      <c r="O168">
        <v>-5.155197551534158E-4</v>
      </c>
      <c r="P168">
        <v>1.9006193466775897E-3</v>
      </c>
      <c r="Q168">
        <v>-1.7540542970437213E-3</v>
      </c>
      <c r="R168">
        <v>-1.9781572000072929E-4</v>
      </c>
    </row>
    <row r="169" spans="1:18">
      <c r="A169" t="s">
        <v>51</v>
      </c>
      <c r="B169">
        <v>2019</v>
      </c>
      <c r="C169">
        <v>-1.5783001789590394</v>
      </c>
      <c r="D169">
        <v>0.62016854692839762</v>
      </c>
      <c r="E169">
        <v>540.56899999999996</v>
      </c>
      <c r="F169">
        <v>-558.83399999999995</v>
      </c>
      <c r="G169">
        <v>-16.062000000000001</v>
      </c>
      <c r="H169">
        <v>5.91E-2</v>
      </c>
      <c r="I169">
        <v>6.7000000000000002E-3</v>
      </c>
      <c r="J169">
        <v>0.25758013269520702</v>
      </c>
      <c r="K169">
        <v>-0.26628337154848558</v>
      </c>
      <c r="L169">
        <v>-7.6535134115171526E-3</v>
      </c>
      <c r="M169">
        <v>1.5222985842286735E-2</v>
      </c>
      <c r="N169">
        <v>-1.5737347258515499E-2</v>
      </c>
      <c r="O169">
        <v>-4.5232264262066372E-4</v>
      </c>
      <c r="P169">
        <v>1.7257868890578872E-3</v>
      </c>
      <c r="Q169">
        <v>-1.7840985893748534E-3</v>
      </c>
      <c r="R169">
        <v>-5.1278539857164925E-5</v>
      </c>
    </row>
    <row r="170" spans="1:18">
      <c r="A170" t="s">
        <v>51</v>
      </c>
      <c r="B170">
        <v>2020</v>
      </c>
      <c r="C170">
        <v>-1.9721217489781417</v>
      </c>
      <c r="D170">
        <v>0.51617702620216577</v>
      </c>
      <c r="E170">
        <v>-299.42200000000003</v>
      </c>
      <c r="F170">
        <v>351.791</v>
      </c>
      <c r="G170">
        <v>-95.762</v>
      </c>
      <c r="H170">
        <v>3.9699999999999999E-2</v>
      </c>
      <c r="I170">
        <v>1.09E-2</v>
      </c>
      <c r="J170">
        <v>-0.14944103477068676</v>
      </c>
      <c r="K170">
        <v>0.17557831776895039</v>
      </c>
      <c r="L170">
        <v>-4.7794658948609334E-2</v>
      </c>
      <c r="M170">
        <v>-5.9328090803962641E-3</v>
      </c>
      <c r="N170">
        <v>6.9704592154273305E-3</v>
      </c>
      <c r="O170">
        <v>-1.8974479602597905E-3</v>
      </c>
      <c r="P170">
        <v>-1.6289072790004857E-3</v>
      </c>
      <c r="Q170">
        <v>1.9138036636815593E-3</v>
      </c>
      <c r="R170">
        <v>-5.2096178253984175E-4</v>
      </c>
    </row>
    <row r="171" spans="1:18">
      <c r="A171" t="s">
        <v>51</v>
      </c>
      <c r="B171">
        <v>2021</v>
      </c>
      <c r="C171">
        <v>-2.7491430147334652</v>
      </c>
      <c r="D171">
        <v>0.38578464198448836</v>
      </c>
      <c r="E171">
        <v>-371.298</v>
      </c>
      <c r="F171">
        <v>457.84100000000001</v>
      </c>
      <c r="G171">
        <v>-105.625</v>
      </c>
      <c r="H171">
        <v>2.52E-2</v>
      </c>
      <c r="I171">
        <v>7.4999999999999997E-3</v>
      </c>
      <c r="J171">
        <v>-0.20789222020904677</v>
      </c>
      <c r="K171">
        <v>0.25634822162449078</v>
      </c>
      <c r="L171">
        <v>-5.9140140155833222E-2</v>
      </c>
      <c r="M171">
        <v>-5.2388839492679782E-3</v>
      </c>
      <c r="N171">
        <v>6.4599751849371678E-3</v>
      </c>
      <c r="O171">
        <v>-1.4903315319269971E-3</v>
      </c>
      <c r="P171">
        <v>-1.5591916515678508E-3</v>
      </c>
      <c r="Q171">
        <v>1.9226116621836808E-3</v>
      </c>
      <c r="R171">
        <v>-4.4355105116874912E-4</v>
      </c>
    </row>
    <row r="172" spans="1:18">
      <c r="A172" t="s">
        <v>52</v>
      </c>
      <c r="B172">
        <v>2017</v>
      </c>
      <c r="C172">
        <v>-1.7232306996892177</v>
      </c>
      <c r="D172">
        <v>0.48236511648527036</v>
      </c>
      <c r="E172">
        <v>-10.935</v>
      </c>
      <c r="F172">
        <v>43.99</v>
      </c>
      <c r="G172">
        <v>-26.065000000000001</v>
      </c>
      <c r="H172">
        <v>3.8800000000000001E-2</v>
      </c>
      <c r="I172">
        <v>0.38163000000000002</v>
      </c>
      <c r="J172">
        <v>-1.5149458027619534E-2</v>
      </c>
      <c r="K172">
        <v>6.0944184603107757E-2</v>
      </c>
      <c r="L172">
        <v>-3.6110710881564076E-2</v>
      </c>
      <c r="M172">
        <v>-5.87798971471638E-4</v>
      </c>
      <c r="N172">
        <v>2.3646343626005811E-3</v>
      </c>
      <c r="O172">
        <v>-1.4010955822046861E-3</v>
      </c>
      <c r="P172">
        <v>-5.7814876670804431E-3</v>
      </c>
      <c r="Q172">
        <v>2.3258129170084015E-2</v>
      </c>
      <c r="R172">
        <v>-1.3780930593731299E-2</v>
      </c>
    </row>
    <row r="173" spans="1:18">
      <c r="A173" t="s">
        <v>52</v>
      </c>
      <c r="B173">
        <v>2018</v>
      </c>
      <c r="C173">
        <v>-1.4990358148035496</v>
      </c>
      <c r="D173">
        <v>0.50175175726593657</v>
      </c>
      <c r="E173">
        <v>-8.15</v>
      </c>
      <c r="F173">
        <v>-2.1669999999999998</v>
      </c>
      <c r="G173">
        <v>4.1589999999999998</v>
      </c>
      <c r="H173">
        <v>2.7699999999999999E-2</v>
      </c>
      <c r="I173">
        <v>0.32319999999999999</v>
      </c>
      <c r="J173">
        <v>-1.1223916444483617E-2</v>
      </c>
      <c r="K173">
        <v>-2.9843223233369321E-3</v>
      </c>
      <c r="L173">
        <v>5.7276403058413939E-3</v>
      </c>
      <c r="M173">
        <v>-3.109024855121962E-4</v>
      </c>
      <c r="N173">
        <v>-8.2665728356433009E-5</v>
      </c>
      <c r="O173">
        <v>1.5865563647180661E-4</v>
      </c>
      <c r="P173">
        <v>-3.6275697948571048E-3</v>
      </c>
      <c r="Q173">
        <v>-9.6453297490249645E-4</v>
      </c>
      <c r="R173">
        <v>1.8511733468479384E-3</v>
      </c>
    </row>
    <row r="174" spans="1:18">
      <c r="A174" t="s">
        <v>52</v>
      </c>
      <c r="B174">
        <v>2019</v>
      </c>
      <c r="C174">
        <v>-6.2966163879104506</v>
      </c>
      <c r="D174">
        <v>0.42042857738078071</v>
      </c>
      <c r="E174">
        <v>12.718</v>
      </c>
      <c r="F174">
        <v>76.878</v>
      </c>
      <c r="G174">
        <v>-89.545000000000002</v>
      </c>
      <c r="H174">
        <v>5.4999999999999997E-3</v>
      </c>
      <c r="I174">
        <v>0.1477</v>
      </c>
      <c r="J174">
        <v>2.0380822348073292E-2</v>
      </c>
      <c r="K174">
        <v>0.12319836927780929</v>
      </c>
      <c r="L174">
        <v>-0.14349746321420215</v>
      </c>
      <c r="M174">
        <v>1.120945229144031E-4</v>
      </c>
      <c r="N174">
        <v>6.7759103102795111E-4</v>
      </c>
      <c r="O174">
        <v>-7.892360476781118E-4</v>
      </c>
      <c r="P174">
        <v>3.0102474608104252E-3</v>
      </c>
      <c r="Q174">
        <v>1.8196399142332433E-2</v>
      </c>
      <c r="R174">
        <v>-2.1194575316737657E-2</v>
      </c>
    </row>
    <row r="175" spans="1:18">
      <c r="A175" t="s">
        <v>52</v>
      </c>
      <c r="B175">
        <v>2020</v>
      </c>
      <c r="C175">
        <v>-1.4073815044401692</v>
      </c>
      <c r="D175">
        <v>0.464929523287957</v>
      </c>
      <c r="E175">
        <v>-756</v>
      </c>
      <c r="F175">
        <v>-21.727</v>
      </c>
      <c r="G175">
        <v>20.92</v>
      </c>
      <c r="H175">
        <v>5.4999999999999997E-3</v>
      </c>
      <c r="I175">
        <v>0.27960000000000002</v>
      </c>
      <c r="J175">
        <v>-1.2322015334063527</v>
      </c>
      <c r="K175">
        <v>-3.5412754915766967E-2</v>
      </c>
      <c r="L175">
        <v>3.4097428675741934E-2</v>
      </c>
      <c r="M175">
        <v>-6.7771084337349399E-3</v>
      </c>
      <c r="N175">
        <v>-1.9477015203671832E-4</v>
      </c>
      <c r="O175">
        <v>1.8753585771658063E-4</v>
      </c>
      <c r="P175">
        <v>-0.34452354874041624</v>
      </c>
      <c r="Q175">
        <v>-9.9014062744484446E-3</v>
      </c>
      <c r="R175">
        <v>9.5336410577374457E-3</v>
      </c>
    </row>
    <row r="176" spans="1:18">
      <c r="A176" t="s">
        <v>52</v>
      </c>
      <c r="B176">
        <v>2021</v>
      </c>
      <c r="C176">
        <v>-3.1191436782275681</v>
      </c>
      <c r="D176">
        <v>0.23407494685438276</v>
      </c>
      <c r="E176">
        <v>-105.718</v>
      </c>
      <c r="F176">
        <v>-347.28800000000001</v>
      </c>
      <c r="G176">
        <v>457.86399999999998</v>
      </c>
      <c r="H176">
        <v>0</v>
      </c>
      <c r="I176">
        <v>1E-4</v>
      </c>
      <c r="J176">
        <v>-9.3797134572865384E-2</v>
      </c>
      <c r="K176">
        <v>-0.30812746430637428</v>
      </c>
      <c r="L176">
        <v>0.40623480603180567</v>
      </c>
      <c r="M176">
        <v>0</v>
      </c>
      <c r="N176">
        <v>0</v>
      </c>
      <c r="O176">
        <v>0</v>
      </c>
      <c r="P176">
        <v>-9.3797134572865387E-6</v>
      </c>
      <c r="Q176">
        <v>-3.0812746430637429E-5</v>
      </c>
      <c r="R176">
        <v>4.0623480603180571E-5</v>
      </c>
    </row>
    <row r="177" spans="1:18">
      <c r="A177" t="s">
        <v>53</v>
      </c>
      <c r="B177">
        <v>2017</v>
      </c>
      <c r="C177">
        <v>-0.74158877438600346</v>
      </c>
      <c r="D177">
        <v>0.64028452652535139</v>
      </c>
      <c r="E177">
        <v>-125.173</v>
      </c>
      <c r="F177">
        <v>44.828000000000003</v>
      </c>
      <c r="G177">
        <v>161.68</v>
      </c>
      <c r="H177">
        <v>0</v>
      </c>
      <c r="I177">
        <v>1.0660000000000001E-3</v>
      </c>
      <c r="J177">
        <v>-9.4680558160925105E-2</v>
      </c>
      <c r="K177">
        <v>3.3907792105629414E-2</v>
      </c>
      <c r="L177">
        <v>0.12229436574547523</v>
      </c>
      <c r="M177">
        <v>0</v>
      </c>
      <c r="N177">
        <v>0</v>
      </c>
      <c r="O177">
        <v>0</v>
      </c>
      <c r="P177">
        <v>-1.0092947499954617E-4</v>
      </c>
      <c r="Q177">
        <v>3.6145706384600959E-5</v>
      </c>
      <c r="R177">
        <v>1.303657938846766E-4</v>
      </c>
    </row>
    <row r="178" spans="1:18">
      <c r="A178" t="s">
        <v>53</v>
      </c>
      <c r="B178">
        <v>2018</v>
      </c>
      <c r="C178">
        <v>-0.97103597180560375</v>
      </c>
      <c r="D178">
        <v>0.6145432712524197</v>
      </c>
      <c r="E178">
        <v>-23.626999999999999</v>
      </c>
      <c r="F178">
        <v>-63.292999999999999</v>
      </c>
      <c r="G178">
        <v>6.4349999999999996</v>
      </c>
      <c r="H178">
        <v>0</v>
      </c>
      <c r="I178">
        <v>5.1999999999999997E-5</v>
      </c>
      <c r="J178">
        <v>-1.7278663516182794E-2</v>
      </c>
      <c r="K178">
        <v>-4.6286809579284612E-2</v>
      </c>
      <c r="L178">
        <v>4.705980434529829E-3</v>
      </c>
      <c r="M178">
        <v>0</v>
      </c>
      <c r="N178">
        <v>0</v>
      </c>
      <c r="O178">
        <v>0</v>
      </c>
      <c r="P178">
        <v>-8.9849050284150523E-7</v>
      </c>
      <c r="Q178">
        <v>-2.4069140981227998E-6</v>
      </c>
      <c r="R178">
        <v>2.4471098259555108E-7</v>
      </c>
    </row>
    <row r="179" spans="1:18">
      <c r="A179" t="s">
        <v>53</v>
      </c>
      <c r="B179">
        <v>2019</v>
      </c>
      <c r="C179">
        <v>-0.9154395218178254</v>
      </c>
      <c r="D179">
        <v>0.6258939283333862</v>
      </c>
      <c r="E179">
        <v>-39.786999999999999</v>
      </c>
      <c r="F179">
        <v>-1.321</v>
      </c>
      <c r="G179">
        <v>126.779</v>
      </c>
      <c r="H179">
        <v>2.0000000000000002E-5</v>
      </c>
      <c r="I179">
        <v>4.8999999999999998E-5</v>
      </c>
      <c r="J179">
        <v>-2.5255974862728917E-2</v>
      </c>
      <c r="K179">
        <v>-8.3854381566001205E-4</v>
      </c>
      <c r="L179">
        <v>8.0476719459167803E-2</v>
      </c>
      <c r="M179">
        <v>-5.0511949725457833E-7</v>
      </c>
      <c r="N179">
        <v>-1.6770876313200241E-8</v>
      </c>
      <c r="O179">
        <v>1.6095343891833563E-6</v>
      </c>
      <c r="P179">
        <v>-1.2375427682737169E-6</v>
      </c>
      <c r="Q179">
        <v>-4.1088646967340588E-8</v>
      </c>
      <c r="R179">
        <v>3.9433592534992223E-6</v>
      </c>
    </row>
    <row r="180" spans="1:18">
      <c r="A180" t="s">
        <v>53</v>
      </c>
      <c r="B180">
        <v>2020</v>
      </c>
      <c r="C180">
        <v>-0.99508099397852101</v>
      </c>
      <c r="D180">
        <v>0.60573059714513355</v>
      </c>
      <c r="E180">
        <v>114.26300000000001</v>
      </c>
      <c r="F180">
        <v>40.713999999999999</v>
      </c>
      <c r="G180">
        <v>19.608000000000001</v>
      </c>
      <c r="H180">
        <v>1E-4</v>
      </c>
      <c r="I180">
        <v>0</v>
      </c>
      <c r="J180">
        <v>6.9708010049012739E-2</v>
      </c>
      <c r="K180">
        <v>2.4838240910316587E-2</v>
      </c>
      <c r="L180">
        <v>1.1962180767536662E-2</v>
      </c>
      <c r="M180">
        <v>6.9708010049012745E-6</v>
      </c>
      <c r="N180">
        <v>2.4838240910316588E-6</v>
      </c>
      <c r="O180">
        <v>1.1962180767536662E-6</v>
      </c>
      <c r="P180">
        <v>0</v>
      </c>
      <c r="Q180">
        <v>0</v>
      </c>
      <c r="R180">
        <v>0</v>
      </c>
    </row>
    <row r="181" spans="1:18">
      <c r="A181" t="s">
        <v>53</v>
      </c>
      <c r="B181">
        <v>2021</v>
      </c>
      <c r="C181">
        <v>-1.0970927041287</v>
      </c>
      <c r="D181">
        <v>0.57967024689361457</v>
      </c>
      <c r="E181">
        <v>95.808000000000007</v>
      </c>
      <c r="F181">
        <v>-155.58000000000001</v>
      </c>
      <c r="G181">
        <v>-178.42099999999999</v>
      </c>
      <c r="H181">
        <v>1E-4</v>
      </c>
      <c r="I181">
        <v>0</v>
      </c>
      <c r="J181">
        <v>5.8913559871286464E-2</v>
      </c>
      <c r="K181">
        <v>-9.5668124214833297E-2</v>
      </c>
      <c r="L181">
        <v>-0.10971334612761775</v>
      </c>
      <c r="M181">
        <v>5.8913559871286462E-6</v>
      </c>
      <c r="N181">
        <v>-9.5668124214833294E-6</v>
      </c>
      <c r="O181">
        <v>-1.0971334612761777E-5</v>
      </c>
      <c r="P181">
        <v>0</v>
      </c>
      <c r="Q181">
        <v>0</v>
      </c>
      <c r="R181">
        <v>0</v>
      </c>
    </row>
    <row r="182" spans="1:18">
      <c r="A182" t="s">
        <v>54</v>
      </c>
      <c r="B182">
        <v>2017</v>
      </c>
      <c r="C182">
        <v>-0.77367112937576543</v>
      </c>
      <c r="D182">
        <v>0.64193174769984895</v>
      </c>
      <c r="E182">
        <v>81.537999999999997</v>
      </c>
      <c r="F182">
        <v>-935.25400000000002</v>
      </c>
      <c r="G182">
        <v>799.82399999999996</v>
      </c>
      <c r="H182">
        <v>0.27</v>
      </c>
      <c r="I182">
        <v>0.04</v>
      </c>
      <c r="J182">
        <v>1.1666260087863945E-2</v>
      </c>
      <c r="K182">
        <v>-0.13381388324726023</v>
      </c>
      <c r="L182">
        <v>0.1144368859736036</v>
      </c>
      <c r="M182">
        <v>3.1498902237232654E-3</v>
      </c>
      <c r="N182">
        <v>-3.6129748476760266E-2</v>
      </c>
      <c r="O182">
        <v>3.0897959212872975E-2</v>
      </c>
      <c r="P182">
        <v>4.666504035145578E-4</v>
      </c>
      <c r="Q182">
        <v>-5.3525553298904094E-3</v>
      </c>
      <c r="R182">
        <v>4.5774754389441442E-3</v>
      </c>
    </row>
    <row r="183" spans="1:18">
      <c r="A183" t="s">
        <v>54</v>
      </c>
      <c r="B183">
        <v>2018</v>
      </c>
      <c r="C183">
        <v>-0.67271223149068304</v>
      </c>
      <c r="D183">
        <v>0.67107500311676149</v>
      </c>
      <c r="E183">
        <v>228.66900000000001</v>
      </c>
      <c r="F183">
        <v>-854.60400000000004</v>
      </c>
      <c r="G183">
        <v>550.08199999999999</v>
      </c>
      <c r="H183">
        <v>0.27760000000000001</v>
      </c>
      <c r="I183">
        <v>3.9E-2</v>
      </c>
      <c r="J183">
        <v>2.7385466345980537E-2</v>
      </c>
      <c r="K183">
        <v>-0.1023476250875298</v>
      </c>
      <c r="L183">
        <v>6.5877981267813593E-2</v>
      </c>
      <c r="M183">
        <v>7.6022054576441976E-3</v>
      </c>
      <c r="N183">
        <v>-2.8411700724298276E-2</v>
      </c>
      <c r="O183">
        <v>1.8287727599945056E-2</v>
      </c>
      <c r="P183">
        <v>1.0680331874932409E-3</v>
      </c>
      <c r="Q183">
        <v>-3.9915573784136621E-3</v>
      </c>
      <c r="R183">
        <v>2.5692412694447303E-3</v>
      </c>
    </row>
    <row r="184" spans="1:18">
      <c r="A184" t="s">
        <v>54</v>
      </c>
      <c r="B184">
        <v>2019</v>
      </c>
      <c r="C184">
        <v>-0.54495812054020298</v>
      </c>
      <c r="D184">
        <v>0.68453075733293955</v>
      </c>
      <c r="E184">
        <v>494.51100000000002</v>
      </c>
      <c r="F184">
        <v>-874.10199999999998</v>
      </c>
      <c r="G184">
        <v>394.87400000000002</v>
      </c>
      <c r="H184">
        <v>0.26629999999999998</v>
      </c>
      <c r="I184">
        <v>3.9E-2</v>
      </c>
      <c r="J184">
        <v>5.1554933087459821E-2</v>
      </c>
      <c r="K184">
        <v>-9.1128953899134307E-2</v>
      </c>
      <c r="L184">
        <v>4.1167340358409847E-2</v>
      </c>
      <c r="M184">
        <v>1.3729078681190549E-2</v>
      </c>
      <c r="N184">
        <v>-2.4267640423339464E-2</v>
      </c>
      <c r="O184">
        <v>1.0962862737444541E-2</v>
      </c>
      <c r="P184">
        <v>2.0106423904109332E-3</v>
      </c>
      <c r="Q184">
        <v>-3.5540292020662381E-3</v>
      </c>
      <c r="R184">
        <v>1.6055262739779841E-3</v>
      </c>
    </row>
    <row r="185" spans="1:18">
      <c r="A185" t="s">
        <v>54</v>
      </c>
      <c r="B185">
        <v>2020</v>
      </c>
      <c r="C185">
        <v>-1.6021166266608278</v>
      </c>
      <c r="D185">
        <v>0.58352171721756596</v>
      </c>
      <c r="E185">
        <v>2169.0659999999998</v>
      </c>
      <c r="F185">
        <v>-584.09500000000003</v>
      </c>
      <c r="G185">
        <v>-1517.72</v>
      </c>
      <c r="H185">
        <v>2.1000000000000001E-2</v>
      </c>
      <c r="I185">
        <v>3.6900000000000002E-2</v>
      </c>
      <c r="J185">
        <v>0.21473198768748999</v>
      </c>
      <c r="K185">
        <v>-5.7823911466190737E-2</v>
      </c>
      <c r="L185">
        <v>-0.15025039918243951</v>
      </c>
      <c r="M185">
        <v>4.5093717414372899E-3</v>
      </c>
      <c r="N185">
        <v>-1.2143021407900055E-3</v>
      </c>
      <c r="O185">
        <v>-3.15525838283123E-3</v>
      </c>
      <c r="P185">
        <v>7.9236103456683821E-3</v>
      </c>
      <c r="Q185">
        <v>-2.1337023331024383E-3</v>
      </c>
      <c r="R185">
        <v>-5.544239729832018E-3</v>
      </c>
    </row>
    <row r="186" spans="1:18">
      <c r="A186" t="s">
        <v>54</v>
      </c>
      <c r="B186">
        <v>2021</v>
      </c>
      <c r="C186">
        <v>-1.4069025932426387</v>
      </c>
      <c r="D186">
        <v>0.56861682804983071</v>
      </c>
      <c r="E186">
        <v>586.37199999999996</v>
      </c>
      <c r="F186">
        <v>-272.18700000000001</v>
      </c>
      <c r="G186">
        <v>-346.714</v>
      </c>
      <c r="H186">
        <v>2.93E-2</v>
      </c>
      <c r="I186">
        <v>3.7100000000000001E-2</v>
      </c>
      <c r="J186">
        <v>5.398104350045118E-2</v>
      </c>
      <c r="K186">
        <v>-2.5057366803423946E-2</v>
      </c>
      <c r="L186">
        <v>-3.1918276309604539E-2</v>
      </c>
      <c r="M186">
        <v>1.5816445745632196E-3</v>
      </c>
      <c r="N186">
        <v>-7.3418084734032157E-4</v>
      </c>
      <c r="O186">
        <v>-9.3520549587141298E-4</v>
      </c>
      <c r="P186">
        <v>2.0026967138667387E-3</v>
      </c>
      <c r="Q186">
        <v>-9.2962830840702848E-4</v>
      </c>
      <c r="R186">
        <v>-1.1841680510863285E-3</v>
      </c>
    </row>
    <row r="187" spans="1:18">
      <c r="A187" t="s">
        <v>55</v>
      </c>
      <c r="B187">
        <v>2017</v>
      </c>
      <c r="C187">
        <v>-1.1232872006698382</v>
      </c>
      <c r="D187">
        <v>0.59431772877697142</v>
      </c>
      <c r="E187">
        <v>51.072000000000003</v>
      </c>
      <c r="F187">
        <v>-53.128</v>
      </c>
      <c r="G187">
        <v>29.687999999999999</v>
      </c>
      <c r="H187">
        <v>3.1699999999999999E-2</v>
      </c>
      <c r="I187">
        <v>0.01</v>
      </c>
      <c r="J187">
        <v>8.2769082169447131E-2</v>
      </c>
      <c r="K187">
        <v>-8.6101108190366288E-2</v>
      </c>
      <c r="L187">
        <v>4.8113418535529182E-2</v>
      </c>
      <c r="M187">
        <v>2.623779904771474E-3</v>
      </c>
      <c r="N187">
        <v>-2.7294051296346111E-3</v>
      </c>
      <c r="O187">
        <v>1.525195367576275E-3</v>
      </c>
      <c r="P187">
        <v>8.2769082169447132E-4</v>
      </c>
      <c r="Q187">
        <v>-8.6101108190366285E-4</v>
      </c>
      <c r="R187">
        <v>4.811341853552918E-4</v>
      </c>
    </row>
    <row r="188" spans="1:18">
      <c r="A188" t="s">
        <v>55</v>
      </c>
      <c r="B188">
        <v>2018</v>
      </c>
      <c r="C188">
        <v>-0.97302631115189531</v>
      </c>
      <c r="D188">
        <v>0.61158739542756257</v>
      </c>
      <c r="E188">
        <v>-3.9369999999999998</v>
      </c>
      <c r="F188">
        <v>-1.105</v>
      </c>
      <c r="G188">
        <v>-17.167999999999999</v>
      </c>
      <c r="H188">
        <v>3.8100000000000002E-2</v>
      </c>
      <c r="I188">
        <v>7.0000000000000001E-3</v>
      </c>
      <c r="J188">
        <v>-6.376792814972586E-3</v>
      </c>
      <c r="K188">
        <v>-1.7897780189343937E-3</v>
      </c>
      <c r="L188">
        <v>-2.7807157492367122E-2</v>
      </c>
      <c r="M188">
        <v>-2.4295580625045553E-4</v>
      </c>
      <c r="N188">
        <v>-6.8190542521400399E-5</v>
      </c>
      <c r="O188">
        <v>-1.0594527004591874E-3</v>
      </c>
      <c r="P188">
        <v>-4.4637549704808101E-5</v>
      </c>
      <c r="Q188">
        <v>-1.2528446132540755E-5</v>
      </c>
      <c r="R188">
        <v>-1.9465010244656985E-4</v>
      </c>
    </row>
    <row r="189" spans="1:18">
      <c r="A189" t="s">
        <v>55</v>
      </c>
      <c r="B189">
        <v>2019</v>
      </c>
      <c r="C189">
        <v>-0.66521102770436757</v>
      </c>
      <c r="D189">
        <v>0.66684967730369304</v>
      </c>
      <c r="E189">
        <v>-79.278000000000006</v>
      </c>
      <c r="F189">
        <v>-27.838999999999999</v>
      </c>
      <c r="G189">
        <v>92.942999999999998</v>
      </c>
      <c r="H189">
        <v>3.6299999999999999E-2</v>
      </c>
      <c r="I189">
        <v>8.4000000000000005E-2</v>
      </c>
      <c r="J189">
        <v>-0.11103610164933668</v>
      </c>
      <c r="K189">
        <v>-3.8991069827895297E-2</v>
      </c>
      <c r="L189">
        <v>0.13017518599856578</v>
      </c>
      <c r="M189">
        <v>-4.0306104898709212E-3</v>
      </c>
      <c r="N189">
        <v>-1.4153758347525993E-3</v>
      </c>
      <c r="O189">
        <v>4.7253592517479378E-3</v>
      </c>
      <c r="P189">
        <v>-9.3270325385442811E-3</v>
      </c>
      <c r="Q189">
        <v>-3.2752498655432053E-3</v>
      </c>
      <c r="R189">
        <v>1.0934715623879527E-2</v>
      </c>
    </row>
    <row r="190" spans="1:18">
      <c r="A190" t="s">
        <v>55</v>
      </c>
      <c r="B190">
        <v>2020</v>
      </c>
      <c r="C190">
        <v>-0.24590695867459</v>
      </c>
      <c r="D190">
        <v>0.72457180544693334</v>
      </c>
      <c r="E190">
        <v>-93.314999999999998</v>
      </c>
      <c r="F190">
        <v>-4.9000000000000004</v>
      </c>
      <c r="G190">
        <v>98.1</v>
      </c>
      <c r="H190">
        <v>3.5799999999999998E-2</v>
      </c>
      <c r="I190">
        <v>8.1799999999999998E-2</v>
      </c>
      <c r="J190">
        <v>-0.10395986657843197</v>
      </c>
      <c r="K190">
        <v>-5.4589652921214881E-3</v>
      </c>
      <c r="L190">
        <v>0.109290713297371</v>
      </c>
      <c r="M190">
        <v>-3.7217632235078645E-3</v>
      </c>
      <c r="N190">
        <v>-1.9543095745794926E-4</v>
      </c>
      <c r="O190">
        <v>3.9126075360458815E-3</v>
      </c>
      <c r="P190">
        <v>-8.5039170861157341E-3</v>
      </c>
      <c r="Q190">
        <v>-4.4654336089553772E-4</v>
      </c>
      <c r="R190">
        <v>8.9399803477249479E-3</v>
      </c>
    </row>
    <row r="191" spans="1:18">
      <c r="A191" t="s">
        <v>55</v>
      </c>
      <c r="B191">
        <v>2021</v>
      </c>
      <c r="C191">
        <v>-0.12253097920677332</v>
      </c>
      <c r="D191">
        <v>0.74643166186144438</v>
      </c>
      <c r="E191">
        <v>-37.582000000000001</v>
      </c>
      <c r="F191">
        <v>77.194000000000003</v>
      </c>
      <c r="G191">
        <v>-52.343000000000004</v>
      </c>
      <c r="H191">
        <v>2.8000000000000001E-2</v>
      </c>
      <c r="I191">
        <v>0.20050000000000001</v>
      </c>
      <c r="J191">
        <v>-4.7754040389280182E-2</v>
      </c>
      <c r="K191">
        <v>9.808752577856672E-2</v>
      </c>
      <c r="L191">
        <v>-6.6510290460754962E-2</v>
      </c>
      <c r="M191">
        <v>-1.3371131308998452E-3</v>
      </c>
      <c r="N191">
        <v>2.7464507217998682E-3</v>
      </c>
      <c r="O191">
        <v>-1.862288132901139E-3</v>
      </c>
      <c r="P191">
        <v>-9.5746850980506764E-3</v>
      </c>
      <c r="Q191">
        <v>1.9666548918602627E-2</v>
      </c>
      <c r="R191">
        <v>-1.3335313237381371E-2</v>
      </c>
    </row>
    <row r="192" spans="1:18">
      <c r="A192" t="s">
        <v>56</v>
      </c>
      <c r="B192">
        <v>2017</v>
      </c>
      <c r="C192">
        <v>-0.16271068014660525</v>
      </c>
      <c r="D192">
        <v>0.74291818990934477</v>
      </c>
      <c r="E192">
        <v>-17.010999999999999</v>
      </c>
      <c r="F192">
        <v>-6.3540000000000001</v>
      </c>
      <c r="G192">
        <v>27.952000000000002</v>
      </c>
      <c r="H192">
        <v>3.0000000000000001E-3</v>
      </c>
      <c r="I192">
        <v>9.4700000000000006E-2</v>
      </c>
      <c r="J192">
        <v>-4.9316823846949985E-2</v>
      </c>
      <c r="K192">
        <v>-1.8420968709865395E-2</v>
      </c>
      <c r="L192">
        <v>8.1036027286458534E-2</v>
      </c>
      <c r="M192">
        <v>-1.4795047154084995E-4</v>
      </c>
      <c r="N192">
        <v>-5.5262906129596189E-5</v>
      </c>
      <c r="O192">
        <v>2.4310808185937561E-4</v>
      </c>
      <c r="P192">
        <v>-4.6703032183061637E-3</v>
      </c>
      <c r="Q192">
        <v>-1.744465736824253E-3</v>
      </c>
      <c r="R192">
        <v>7.674111784027624E-3</v>
      </c>
    </row>
    <row r="193" spans="1:18">
      <c r="A193" t="s">
        <v>56</v>
      </c>
      <c r="B193">
        <v>2018</v>
      </c>
      <c r="C193">
        <v>-1.1431428785853757</v>
      </c>
      <c r="D193">
        <v>0.58625185541781999</v>
      </c>
      <c r="E193">
        <v>27.879000000000001</v>
      </c>
      <c r="F193">
        <v>-14.353999999999999</v>
      </c>
      <c r="G193">
        <v>-11.461</v>
      </c>
      <c r="H193">
        <v>1.2999999999999999E-3</v>
      </c>
      <c r="I193">
        <v>3.5700000000000003E-2</v>
      </c>
      <c r="J193">
        <v>7.9887557381840696E-2</v>
      </c>
      <c r="K193">
        <v>-4.1131532646757098E-2</v>
      </c>
      <c r="L193">
        <v>-3.2841611792147354E-2</v>
      </c>
      <c r="M193">
        <v>1.038538245963929E-4</v>
      </c>
      <c r="N193">
        <v>-5.3470992440784224E-5</v>
      </c>
      <c r="O193">
        <v>-4.2694095329791561E-5</v>
      </c>
      <c r="P193">
        <v>2.851985798531713E-3</v>
      </c>
      <c r="Q193">
        <v>-1.4683957154892286E-3</v>
      </c>
      <c r="R193">
        <v>-1.1724455409796606E-3</v>
      </c>
    </row>
    <row r="194" spans="1:18">
      <c r="A194" t="s">
        <v>56</v>
      </c>
      <c r="B194">
        <v>2019</v>
      </c>
      <c r="C194">
        <v>-1.7023588889119499</v>
      </c>
      <c r="D194">
        <v>0.48765181142161934</v>
      </c>
      <c r="E194">
        <v>-189.13399999999999</v>
      </c>
      <c r="F194">
        <v>-3.6150000000000002</v>
      </c>
      <c r="G194">
        <v>208.708</v>
      </c>
      <c r="H194">
        <v>8.0000000000000004E-4</v>
      </c>
      <c r="I194">
        <v>1.8200000000000001E-2</v>
      </c>
      <c r="J194">
        <v>-0.28691183029280676</v>
      </c>
      <c r="K194">
        <v>-5.4838699890474296E-3</v>
      </c>
      <c r="L194">
        <v>0.31660512798730595</v>
      </c>
      <c r="M194">
        <v>-2.2952946423424541E-4</v>
      </c>
      <c r="N194">
        <v>-4.3870959912379437E-6</v>
      </c>
      <c r="O194">
        <v>2.5328410238984475E-4</v>
      </c>
      <c r="P194">
        <v>-5.2217953113290836E-3</v>
      </c>
      <c r="Q194">
        <v>-9.9806433800663224E-5</v>
      </c>
      <c r="R194">
        <v>5.7622133293689683E-3</v>
      </c>
    </row>
    <row r="195" spans="1:18">
      <c r="A195" t="s">
        <v>56</v>
      </c>
      <c r="B195">
        <v>2020</v>
      </c>
      <c r="C195">
        <v>-2.2255012745692113</v>
      </c>
      <c r="D195">
        <v>0.40628248863550542</v>
      </c>
      <c r="E195">
        <v>42.427</v>
      </c>
      <c r="F195">
        <v>8.6940000000000008</v>
      </c>
      <c r="G195">
        <v>-36.552</v>
      </c>
      <c r="H195">
        <v>2.3999999999999998E-3</v>
      </c>
      <c r="I195">
        <v>1.9199999999999998E-2</v>
      </c>
      <c r="J195">
        <v>6.8174112573172241E-2</v>
      </c>
      <c r="K195">
        <v>1.3970012838785668E-2</v>
      </c>
      <c r="L195">
        <v>-5.873382899508784E-2</v>
      </c>
      <c r="M195">
        <v>1.6361787017561336E-4</v>
      </c>
      <c r="N195">
        <v>3.3528030813085598E-5</v>
      </c>
      <c r="O195">
        <v>-1.4096118958821079E-4</v>
      </c>
      <c r="P195">
        <v>1.3089429614049069E-3</v>
      </c>
      <c r="Q195">
        <v>2.6822424650468479E-4</v>
      </c>
      <c r="R195">
        <v>-1.1276895167056863E-3</v>
      </c>
    </row>
    <row r="196" spans="1:18">
      <c r="A196" t="s">
        <v>56</v>
      </c>
      <c r="B196">
        <v>2021</v>
      </c>
      <c r="C196">
        <v>-2.2994555712312534</v>
      </c>
      <c r="D196">
        <v>0.38681237413325753</v>
      </c>
      <c r="E196">
        <v>-150.65799999999999</v>
      </c>
      <c r="F196">
        <v>-813</v>
      </c>
      <c r="G196">
        <v>301.08800000000002</v>
      </c>
      <c r="H196">
        <v>1.5E-3</v>
      </c>
      <c r="I196">
        <v>1.38E-2</v>
      </c>
      <c r="J196">
        <v>-0.15346753007304725</v>
      </c>
      <c r="K196">
        <v>-0.82816114610168357</v>
      </c>
      <c r="L196">
        <v>0.3067028083117635</v>
      </c>
      <c r="M196">
        <v>-2.302012951095709E-4</v>
      </c>
      <c r="N196">
        <v>-1.2422417191525253E-3</v>
      </c>
      <c r="O196">
        <v>4.6005421246764525E-4</v>
      </c>
      <c r="P196">
        <v>-2.117851915008052E-3</v>
      </c>
      <c r="Q196">
        <v>-1.1428623816203232E-2</v>
      </c>
      <c r="R196">
        <v>4.2324987547023366E-3</v>
      </c>
    </row>
    <row r="197" spans="1:18">
      <c r="A197" t="s">
        <v>57</v>
      </c>
      <c r="B197">
        <v>2017</v>
      </c>
      <c r="C197">
        <v>-2.5826189533849955</v>
      </c>
      <c r="D197">
        <v>0.35162468472599817</v>
      </c>
      <c r="E197">
        <v>49.81</v>
      </c>
      <c r="F197">
        <v>-271.18</v>
      </c>
      <c r="G197">
        <v>230.18</v>
      </c>
      <c r="H197">
        <v>2.9399999999999999E-2</v>
      </c>
      <c r="I197">
        <v>1.2719999999999998E-5</v>
      </c>
      <c r="J197">
        <v>4.078908578728422E-2</v>
      </c>
      <c r="K197">
        <v>-0.22206754233679452</v>
      </c>
      <c r="L197">
        <v>0.18849290838219399</v>
      </c>
      <c r="M197">
        <v>1.199199122146156E-3</v>
      </c>
      <c r="N197">
        <v>-6.5287857447017582E-3</v>
      </c>
      <c r="O197">
        <v>5.5416915064365026E-3</v>
      </c>
      <c r="P197">
        <v>5.1883717121425525E-7</v>
      </c>
      <c r="Q197">
        <v>-2.8246991385240257E-6</v>
      </c>
      <c r="R197">
        <v>2.397629794621507E-6</v>
      </c>
    </row>
    <row r="198" spans="1:18">
      <c r="A198" t="s">
        <v>57</v>
      </c>
      <c r="B198">
        <v>2018</v>
      </c>
      <c r="C198">
        <v>-1.29892752043432</v>
      </c>
      <c r="D198">
        <v>0.53485698439567164</v>
      </c>
      <c r="E198">
        <v>-63.28</v>
      </c>
      <c r="F198">
        <v>-463.57</v>
      </c>
      <c r="G198">
        <v>529.54</v>
      </c>
      <c r="H198">
        <v>2.9399999999999999E-2</v>
      </c>
      <c r="I198">
        <v>8.9700000000000005E-6</v>
      </c>
      <c r="J198">
        <v>-3.6558381910302556E-2</v>
      </c>
      <c r="K198">
        <v>-0.26781556735396578</v>
      </c>
      <c r="L198">
        <v>0.30592802712992434</v>
      </c>
      <c r="M198">
        <v>-1.074816428162895E-3</v>
      </c>
      <c r="N198">
        <v>-7.8737776802065944E-3</v>
      </c>
      <c r="O198">
        <v>8.9942839976197755E-3</v>
      </c>
      <c r="P198">
        <v>-3.2792868573541396E-7</v>
      </c>
      <c r="Q198">
        <v>-2.4023056391650733E-6</v>
      </c>
      <c r="R198">
        <v>2.7441744033554213E-6</v>
      </c>
    </row>
    <row r="199" spans="1:18">
      <c r="A199" t="s">
        <v>57</v>
      </c>
      <c r="B199">
        <v>2019</v>
      </c>
      <c r="C199">
        <v>-1.7892890653404478</v>
      </c>
      <c r="D199">
        <v>0.48354131751213159</v>
      </c>
      <c r="E199">
        <v>75.58</v>
      </c>
      <c r="F199">
        <v>18.46</v>
      </c>
      <c r="G199">
        <v>-102.13</v>
      </c>
      <c r="H199">
        <v>3.2199999999999999E-2</v>
      </c>
      <c r="I199">
        <v>1.7690000000000002E-4</v>
      </c>
      <c r="J199">
        <v>4.4135079738623156E-2</v>
      </c>
      <c r="K199">
        <v>1.077975088614691E-2</v>
      </c>
      <c r="L199">
        <v>-5.9639000975199565E-2</v>
      </c>
      <c r="M199">
        <v>1.4211495675836656E-3</v>
      </c>
      <c r="N199">
        <v>3.4710797853393052E-4</v>
      </c>
      <c r="O199">
        <v>-1.920375831401426E-3</v>
      </c>
      <c r="P199">
        <v>7.8074956057624366E-6</v>
      </c>
      <c r="Q199">
        <v>1.9069379317593887E-6</v>
      </c>
      <c r="R199">
        <v>-1.0550139272512804E-5</v>
      </c>
    </row>
    <row r="200" spans="1:18">
      <c r="A200" t="s">
        <v>57</v>
      </c>
      <c r="B200">
        <v>2020</v>
      </c>
      <c r="C200">
        <v>-1.8632093712862077</v>
      </c>
      <c r="D200">
        <v>0.46067840103087626</v>
      </c>
      <c r="E200">
        <v>93.37</v>
      </c>
      <c r="F200">
        <v>-66.540000000000006</v>
      </c>
      <c r="G200">
        <v>0.55000000000000004</v>
      </c>
      <c r="H200">
        <v>2.53E-2</v>
      </c>
      <c r="I200">
        <v>1.7690000000000002E-4</v>
      </c>
      <c r="J200">
        <v>5.1860409573374955E-2</v>
      </c>
      <c r="K200">
        <v>-3.6958248398975789E-2</v>
      </c>
      <c r="L200">
        <v>3.0548597263956544E-4</v>
      </c>
      <c r="M200">
        <v>1.3120683622063864E-3</v>
      </c>
      <c r="N200">
        <v>-9.3504368449408748E-4</v>
      </c>
      <c r="O200">
        <v>7.7287951077810048E-6</v>
      </c>
      <c r="P200">
        <v>9.1741064535300296E-6</v>
      </c>
      <c r="Q200">
        <v>-6.5379141417788181E-6</v>
      </c>
      <c r="R200">
        <v>5.4040468559939133E-8</v>
      </c>
    </row>
    <row r="201" spans="1:18">
      <c r="A201" t="s">
        <v>57</v>
      </c>
      <c r="B201">
        <v>2021</v>
      </c>
      <c r="C201">
        <v>-2.0992123987504798</v>
      </c>
      <c r="D201">
        <v>0.42636002762446451</v>
      </c>
      <c r="E201">
        <v>38.06</v>
      </c>
      <c r="F201">
        <v>215.77</v>
      </c>
      <c r="G201">
        <v>-254.45</v>
      </c>
      <c r="H201">
        <v>2.4400000000000002E-2</v>
      </c>
      <c r="I201">
        <v>1.7000000000000001E-4</v>
      </c>
      <c r="J201">
        <v>2.1369656883937948E-2</v>
      </c>
      <c r="K201">
        <v>0.1211489980516892</v>
      </c>
      <c r="L201">
        <v>-0.14286676810609591</v>
      </c>
      <c r="M201">
        <v>5.2141962796808591E-4</v>
      </c>
      <c r="N201">
        <v>2.9560355524612166E-3</v>
      </c>
      <c r="O201">
        <v>-3.4859491417887404E-3</v>
      </c>
      <c r="P201">
        <v>3.6328416702694513E-6</v>
      </c>
      <c r="Q201">
        <v>2.0595329668787164E-5</v>
      </c>
      <c r="R201">
        <v>-2.4287350578036307E-5</v>
      </c>
    </row>
    <row r="202" spans="1:18">
      <c r="A202" t="s">
        <v>58</v>
      </c>
      <c r="B202">
        <v>2017</v>
      </c>
      <c r="C202">
        <v>-1.6552547106529687</v>
      </c>
      <c r="D202">
        <v>0.50598579337452321</v>
      </c>
      <c r="E202">
        <v>226.62</v>
      </c>
      <c r="F202">
        <v>234.16</v>
      </c>
      <c r="G202">
        <v>-1417.76</v>
      </c>
      <c r="H202">
        <v>2.9499999999999998E-2</v>
      </c>
      <c r="I202">
        <v>2.8182000000000001E-4</v>
      </c>
      <c r="J202">
        <v>1.8193407920257931E-2</v>
      </c>
      <c r="K202">
        <v>1.8798730909044201E-2</v>
      </c>
      <c r="L202">
        <v>-0.11381998946705887</v>
      </c>
      <c r="M202">
        <v>5.3670553364760891E-4</v>
      </c>
      <c r="N202">
        <v>5.5456256181680389E-4</v>
      </c>
      <c r="O202">
        <v>-3.3576896892782366E-3</v>
      </c>
      <c r="P202">
        <v>5.1272662200870901E-6</v>
      </c>
      <c r="Q202">
        <v>5.2978583447868371E-6</v>
      </c>
      <c r="R202">
        <v>-3.2076749431606531E-5</v>
      </c>
    </row>
    <row r="203" spans="1:18">
      <c r="A203" t="s">
        <v>58</v>
      </c>
      <c r="B203">
        <v>2018</v>
      </c>
      <c r="C203">
        <v>-2.1138564563784437</v>
      </c>
      <c r="D203">
        <v>0.4316822581566353</v>
      </c>
      <c r="E203">
        <v>152.9</v>
      </c>
      <c r="F203">
        <v>-581.02</v>
      </c>
      <c r="G203">
        <v>-2558.2600000000002</v>
      </c>
      <c r="H203">
        <v>3.9300000000000002E-2</v>
      </c>
      <c r="I203">
        <v>2.2497000000000004E-4</v>
      </c>
      <c r="J203">
        <v>1.386145256056113E-2</v>
      </c>
      <c r="K203">
        <v>-5.267351973013229E-2</v>
      </c>
      <c r="L203">
        <v>-0.231924130984834</v>
      </c>
      <c r="M203">
        <v>5.4475508563005249E-4</v>
      </c>
      <c r="N203">
        <v>-2.0700693253941989E-3</v>
      </c>
      <c r="O203">
        <v>-9.1146183477039764E-3</v>
      </c>
      <c r="P203">
        <v>3.118410982549438E-6</v>
      </c>
      <c r="Q203">
        <v>-1.1849961733687864E-5</v>
      </c>
      <c r="R203">
        <v>-5.2175971747658111E-5</v>
      </c>
    </row>
    <row r="204" spans="1:18">
      <c r="A204" t="s">
        <v>58</v>
      </c>
      <c r="B204">
        <v>2019</v>
      </c>
      <c r="C204">
        <v>-2.2159098857549191</v>
      </c>
      <c r="D204">
        <v>0.39972809284557814</v>
      </c>
      <c r="E204">
        <v>137.08000000000001</v>
      </c>
      <c r="F204">
        <v>209.64</v>
      </c>
      <c r="G204">
        <v>-1394.79</v>
      </c>
      <c r="H204">
        <v>2.4400000000000002E-2</v>
      </c>
      <c r="I204">
        <v>8.4999999999999994E-8</v>
      </c>
      <c r="J204">
        <v>1.3475427595135557E-2</v>
      </c>
      <c r="K204">
        <v>2.0608320988066951E-2</v>
      </c>
      <c r="L204">
        <v>-0.13711257408388619</v>
      </c>
      <c r="M204">
        <v>3.2880043332130762E-4</v>
      </c>
      <c r="N204">
        <v>5.028430321088336E-4</v>
      </c>
      <c r="O204">
        <v>-3.3455468076468231E-3</v>
      </c>
      <c r="P204">
        <v>1.1454113455865223E-9</v>
      </c>
      <c r="Q204">
        <v>1.7517072839856906E-9</v>
      </c>
      <c r="R204">
        <v>-1.1654568797130326E-8</v>
      </c>
    </row>
    <row r="205" spans="1:18">
      <c r="A205" t="s">
        <v>58</v>
      </c>
      <c r="B205">
        <v>2020</v>
      </c>
      <c r="C205">
        <v>-3.0863255132695251</v>
      </c>
      <c r="D205">
        <v>0.27427995246332659</v>
      </c>
      <c r="E205">
        <v>178.06</v>
      </c>
      <c r="F205">
        <v>-461.48</v>
      </c>
      <c r="G205">
        <v>-1280.04</v>
      </c>
      <c r="H205">
        <v>3.2599999999999997E-2</v>
      </c>
      <c r="I205">
        <v>1.5119210999999999E-3</v>
      </c>
      <c r="J205">
        <v>2.0425627589624525E-2</v>
      </c>
      <c r="K205">
        <v>-5.2937316747500428E-2</v>
      </c>
      <c r="L205">
        <v>-0.14683601224206996</v>
      </c>
      <c r="M205">
        <v>6.6587545942175944E-4</v>
      </c>
      <c r="N205">
        <v>-1.7257565259685137E-3</v>
      </c>
      <c r="O205">
        <v>-4.7868539990914803E-3</v>
      </c>
      <c r="P205">
        <v>3.088193733349546E-5</v>
      </c>
      <c r="Q205">
        <v>-8.0037046167929268E-5</v>
      </c>
      <c r="R205">
        <v>-2.2200446514864387E-4</v>
      </c>
    </row>
    <row r="206" spans="1:18">
      <c r="A206" t="s">
        <v>58</v>
      </c>
      <c r="B206">
        <v>2021</v>
      </c>
      <c r="C206">
        <v>-3.2010915798374007</v>
      </c>
      <c r="D206">
        <v>0.32460088944122711</v>
      </c>
      <c r="E206">
        <v>256.88</v>
      </c>
      <c r="F206">
        <v>-2102.23</v>
      </c>
      <c r="G206">
        <v>-548.99</v>
      </c>
      <c r="H206">
        <v>5.8500000000000003E-2</v>
      </c>
      <c r="I206">
        <v>7.7260000000000002E-5</v>
      </c>
      <c r="J206">
        <v>2.3200615600264447E-2</v>
      </c>
      <c r="K206">
        <v>-0.18986698121046375</v>
      </c>
      <c r="L206">
        <v>-4.9583097004006454E-2</v>
      </c>
      <c r="M206">
        <v>1.3572360126154702E-3</v>
      </c>
      <c r="N206">
        <v>-1.110721840081213E-2</v>
      </c>
      <c r="O206">
        <v>-2.9006111747343776E-3</v>
      </c>
      <c r="P206">
        <v>1.7924795612764312E-6</v>
      </c>
      <c r="Q206">
        <v>-1.466912296832043E-5</v>
      </c>
      <c r="R206">
        <v>-3.8307900745295388E-6</v>
      </c>
    </row>
    <row r="207" spans="1:18">
      <c r="A207" t="s">
        <v>59</v>
      </c>
      <c r="B207">
        <v>2017</v>
      </c>
      <c r="C207">
        <v>-3.5423569176656193</v>
      </c>
      <c r="D207">
        <v>0.2484572949922724</v>
      </c>
      <c r="E207">
        <v>-42.7</v>
      </c>
      <c r="F207">
        <v>112.9</v>
      </c>
      <c r="G207">
        <v>-7.57</v>
      </c>
      <c r="H207">
        <v>1.38E-2</v>
      </c>
      <c r="I207">
        <v>0.26569999999999999</v>
      </c>
      <c r="J207">
        <v>-4.8170752343670686E-2</v>
      </c>
      <c r="K207">
        <v>0.12736482294146184</v>
      </c>
      <c r="L207">
        <v>-8.5398734248615243E-3</v>
      </c>
      <c r="M207">
        <v>-6.6475638234265544E-4</v>
      </c>
      <c r="N207">
        <v>1.7576345565921733E-3</v>
      </c>
      <c r="O207">
        <v>-1.1785025326308904E-4</v>
      </c>
      <c r="P207">
        <v>-1.27989688977133E-2</v>
      </c>
      <c r="Q207">
        <v>3.3840833455546407E-2</v>
      </c>
      <c r="R207">
        <v>-2.269044368985707E-3</v>
      </c>
    </row>
    <row r="208" spans="1:18">
      <c r="A208" t="s">
        <v>59</v>
      </c>
      <c r="B208">
        <v>2018</v>
      </c>
      <c r="C208">
        <v>-3.2504065608581114</v>
      </c>
      <c r="D208">
        <v>0.33077589852008454</v>
      </c>
      <c r="E208">
        <v>564.13</v>
      </c>
      <c r="F208">
        <v>-636.44000000000005</v>
      </c>
      <c r="G208">
        <v>263.99</v>
      </c>
      <c r="H208">
        <v>9.5999999999999992E-3</v>
      </c>
      <c r="I208">
        <v>0.21840000000000001</v>
      </c>
      <c r="J208">
        <v>0.11926638477801269</v>
      </c>
      <c r="K208">
        <v>-0.13455391120507401</v>
      </c>
      <c r="L208">
        <v>5.5811839323467234E-2</v>
      </c>
      <c r="M208">
        <v>1.1449572938689217E-3</v>
      </c>
      <c r="N208">
        <v>-1.2917175475687104E-3</v>
      </c>
      <c r="O208">
        <v>5.3579365750528536E-4</v>
      </c>
      <c r="P208">
        <v>2.6047778435517973E-2</v>
      </c>
      <c r="Q208">
        <v>-2.9386574207188165E-2</v>
      </c>
      <c r="R208">
        <v>1.2189305708245245E-2</v>
      </c>
    </row>
    <row r="209" spans="1:18">
      <c r="A209" t="s">
        <v>59</v>
      </c>
      <c r="B209">
        <v>2019</v>
      </c>
      <c r="C209">
        <v>-3.3183867669495584</v>
      </c>
      <c r="D209">
        <v>0.26902534170856401</v>
      </c>
      <c r="E209">
        <v>846.78</v>
      </c>
      <c r="F209">
        <v>-478.41</v>
      </c>
      <c r="G209">
        <v>-514.98</v>
      </c>
      <c r="H209">
        <v>1.6899999999999998E-2</v>
      </c>
      <c r="I209">
        <v>0.21080000000000002</v>
      </c>
      <c r="J209">
        <v>0.17933187345664633</v>
      </c>
      <c r="K209">
        <v>-0.10131812463732513</v>
      </c>
      <c r="L209">
        <v>-0.10906295400541313</v>
      </c>
      <c r="M209">
        <v>3.0307086614173228E-3</v>
      </c>
      <c r="N209">
        <v>-1.7122763063707946E-3</v>
      </c>
      <c r="O209">
        <v>-1.8431639226914817E-3</v>
      </c>
      <c r="P209">
        <v>3.7803158924661052E-2</v>
      </c>
      <c r="Q209">
        <v>-2.135786067354814E-2</v>
      </c>
      <c r="R209">
        <v>-2.2990470704341091E-2</v>
      </c>
    </row>
    <row r="210" spans="1:18">
      <c r="A210" t="s">
        <v>59</v>
      </c>
      <c r="B210">
        <v>2020</v>
      </c>
      <c r="C210">
        <v>-3.2791329931793536</v>
      </c>
      <c r="D210">
        <v>0.30780698246300725</v>
      </c>
      <c r="E210">
        <v>1072.99</v>
      </c>
      <c r="F210">
        <v>-1101.07</v>
      </c>
      <c r="G210">
        <v>182.69</v>
      </c>
      <c r="H210">
        <v>1.6799999999999999E-2</v>
      </c>
      <c r="I210">
        <v>0.21080000000000002</v>
      </c>
      <c r="J210">
        <v>0.18260085259906572</v>
      </c>
      <c r="K210">
        <v>-0.18737949167397019</v>
      </c>
      <c r="L210">
        <v>3.109008449409903E-2</v>
      </c>
      <c r="M210">
        <v>3.0676943236643038E-3</v>
      </c>
      <c r="N210">
        <v>-3.147975460122699E-3</v>
      </c>
      <c r="O210">
        <v>5.2231341950086368E-4</v>
      </c>
      <c r="P210">
        <v>3.849225972788306E-2</v>
      </c>
      <c r="Q210">
        <v>-3.949959684487292E-2</v>
      </c>
      <c r="R210">
        <v>6.553789811356076E-3</v>
      </c>
    </row>
    <row r="211" spans="1:18">
      <c r="A211" t="s">
        <v>59</v>
      </c>
      <c r="B211">
        <v>2021</v>
      </c>
      <c r="C211">
        <v>-4.1746058372987411</v>
      </c>
      <c r="D211">
        <v>0.25684152955439832</v>
      </c>
      <c r="E211">
        <v>2619.5700000000002</v>
      </c>
      <c r="F211">
        <v>-2240.69</v>
      </c>
      <c r="G211">
        <v>-537.22</v>
      </c>
      <c r="H211">
        <v>8.1699999999999995E-2</v>
      </c>
      <c r="I211">
        <v>0.21760000000000002</v>
      </c>
      <c r="J211">
        <v>0.30744719431856998</v>
      </c>
      <c r="K211">
        <v>-0.26297974623227344</v>
      </c>
      <c r="L211">
        <v>-6.3051104468222707E-2</v>
      </c>
      <c r="M211">
        <v>2.5118435775827164E-2</v>
      </c>
      <c r="N211">
        <v>-2.1485445267176738E-2</v>
      </c>
      <c r="O211">
        <v>-5.1512752350537944E-3</v>
      </c>
      <c r="P211">
        <v>6.6900509483720838E-2</v>
      </c>
      <c r="Q211">
        <v>-5.7224392780142706E-2</v>
      </c>
      <c r="R211">
        <v>-1.3719920332285262E-2</v>
      </c>
    </row>
    <row r="212" spans="1:18">
      <c r="A212" t="s">
        <v>60</v>
      </c>
      <c r="B212">
        <v>2017</v>
      </c>
      <c r="C212">
        <v>-1.2935469048656274</v>
      </c>
      <c r="D212">
        <v>0.56746737369258526</v>
      </c>
      <c r="E212">
        <v>-232.35</v>
      </c>
      <c r="F212">
        <v>-13.98</v>
      </c>
      <c r="G212">
        <v>247.58</v>
      </c>
      <c r="H212">
        <v>0.1056</v>
      </c>
      <c r="I212">
        <v>0.1807</v>
      </c>
      <c r="J212">
        <v>-0.14577004127223223</v>
      </c>
      <c r="K212">
        <v>-8.7706700106985423E-3</v>
      </c>
      <c r="L212">
        <v>0.15532492712795032</v>
      </c>
      <c r="M212">
        <v>-1.5393316358347724E-2</v>
      </c>
      <c r="N212">
        <v>-9.2618275312976602E-4</v>
      </c>
      <c r="O212">
        <v>1.6402312304711553E-2</v>
      </c>
      <c r="P212">
        <v>-2.6340646457892362E-2</v>
      </c>
      <c r="Q212">
        <v>-1.5848600709332265E-3</v>
      </c>
      <c r="R212">
        <v>2.8067214332020623E-2</v>
      </c>
    </row>
    <row r="213" spans="1:18">
      <c r="A213" t="s">
        <v>60</v>
      </c>
      <c r="B213">
        <v>2018</v>
      </c>
      <c r="C213">
        <v>-0.7925378481040114</v>
      </c>
      <c r="D213">
        <v>0.6552570368584405</v>
      </c>
      <c r="E213">
        <v>-125.59</v>
      </c>
      <c r="F213">
        <v>-10.74</v>
      </c>
      <c r="G213">
        <v>173.46</v>
      </c>
      <c r="H213">
        <v>0.1077</v>
      </c>
      <c r="I213">
        <v>0.1807</v>
      </c>
      <c r="J213">
        <v>-5.6487185724722139E-2</v>
      </c>
      <c r="K213">
        <v>-4.8305786661638327E-3</v>
      </c>
      <c r="L213">
        <v>7.8017893429495208E-2</v>
      </c>
      <c r="M213">
        <v>-6.0836699025525742E-3</v>
      </c>
      <c r="N213">
        <v>-5.2025332234584482E-4</v>
      </c>
      <c r="O213">
        <v>8.4025271223566334E-3</v>
      </c>
      <c r="P213">
        <v>-1.0207234460457291E-2</v>
      </c>
      <c r="Q213">
        <v>-8.7288556497580453E-4</v>
      </c>
      <c r="R213">
        <v>1.4097833342709785E-2</v>
      </c>
    </row>
    <row r="214" spans="1:18">
      <c r="A214" t="s">
        <v>60</v>
      </c>
      <c r="B214">
        <v>2019</v>
      </c>
      <c r="C214">
        <v>-1.1034179317741888</v>
      </c>
      <c r="D214">
        <v>0.61545647175544538</v>
      </c>
      <c r="E214">
        <v>286.69</v>
      </c>
      <c r="F214">
        <v>-1.76</v>
      </c>
      <c r="G214">
        <v>-225.53</v>
      </c>
      <c r="H214">
        <v>0.16700000000000001</v>
      </c>
      <c r="I214">
        <v>0.18520000000000003</v>
      </c>
      <c r="J214">
        <v>0.11920308513567332</v>
      </c>
      <c r="K214">
        <v>-7.317919349777985E-4</v>
      </c>
      <c r="L214">
        <v>-9.3773315395194831E-2</v>
      </c>
      <c r="M214">
        <v>1.9906915217657445E-2</v>
      </c>
      <c r="N214">
        <v>-1.2220925314129235E-4</v>
      </c>
      <c r="O214">
        <v>-1.5660143670997537E-2</v>
      </c>
      <c r="P214">
        <v>2.2076411367126701E-2</v>
      </c>
      <c r="Q214">
        <v>-1.3552786635788829E-4</v>
      </c>
      <c r="R214">
        <v>-1.7366818011190086E-2</v>
      </c>
    </row>
    <row r="215" spans="1:18">
      <c r="A215" t="s">
        <v>60</v>
      </c>
      <c r="B215">
        <v>2020</v>
      </c>
      <c r="C215">
        <v>-1.1500335238078461</v>
      </c>
      <c r="D215">
        <v>0.62245625191752318</v>
      </c>
      <c r="E215">
        <v>826.39</v>
      </c>
      <c r="F215">
        <v>-58.42</v>
      </c>
      <c r="G215">
        <v>-21.65</v>
      </c>
      <c r="H215">
        <v>0.28539999999999999</v>
      </c>
      <c r="I215">
        <v>0.13320000000000001</v>
      </c>
      <c r="J215">
        <v>0.26929230896561113</v>
      </c>
      <c r="K215">
        <v>-1.9037085020112782E-2</v>
      </c>
      <c r="L215">
        <v>-7.0549964170736335E-3</v>
      </c>
      <c r="M215">
        <v>7.6856024978785409E-2</v>
      </c>
      <c r="N215">
        <v>-5.4331840647401878E-3</v>
      </c>
      <c r="O215">
        <v>-2.0134959774328149E-3</v>
      </c>
      <c r="P215">
        <v>3.5869735554219406E-2</v>
      </c>
      <c r="Q215">
        <v>-2.5357397246790229E-3</v>
      </c>
      <c r="R215">
        <v>-9.3972552275420806E-4</v>
      </c>
    </row>
    <row r="216" spans="1:18">
      <c r="A216" t="s">
        <v>60</v>
      </c>
      <c r="B216">
        <v>2021</v>
      </c>
      <c r="C216">
        <v>-0.60690320587992563</v>
      </c>
      <c r="D216">
        <v>0.72783300868852518</v>
      </c>
      <c r="E216">
        <v>149.27000000000001</v>
      </c>
      <c r="F216">
        <v>12.24</v>
      </c>
      <c r="G216">
        <v>455.43</v>
      </c>
      <c r="H216">
        <v>0.2707</v>
      </c>
      <c r="I216">
        <v>6.6E-3</v>
      </c>
      <c r="J216">
        <v>2.2807340985809901E-2</v>
      </c>
      <c r="K216">
        <v>1.8701805698821813E-3</v>
      </c>
      <c r="L216">
        <v>6.9586302037699499E-2</v>
      </c>
      <c r="M216">
        <v>6.1739472048587402E-3</v>
      </c>
      <c r="N216">
        <v>5.0625788026710647E-4</v>
      </c>
      <c r="O216">
        <v>1.8837011961605254E-2</v>
      </c>
      <c r="P216">
        <v>1.5052845050634534E-4</v>
      </c>
      <c r="Q216">
        <v>1.2343191761222397E-5</v>
      </c>
      <c r="R216">
        <v>4.5926959344881667E-4</v>
      </c>
    </row>
    <row r="217" spans="1:18">
      <c r="A217" t="s">
        <v>61</v>
      </c>
      <c r="B217">
        <v>2017</v>
      </c>
      <c r="C217">
        <v>-4.6575373462944798</v>
      </c>
      <c r="D217">
        <v>6.4723565546987327E-2</v>
      </c>
      <c r="E217">
        <v>50.65</v>
      </c>
      <c r="F217">
        <v>22.84</v>
      </c>
      <c r="G217">
        <v>-37.65</v>
      </c>
      <c r="H217">
        <v>0.1208</v>
      </c>
      <c r="I217">
        <v>5.7500000000000002E-2</v>
      </c>
      <c r="J217">
        <v>0.13240099333420466</v>
      </c>
      <c r="K217">
        <v>5.9704613775976995E-2</v>
      </c>
      <c r="L217">
        <v>-9.8418507384655587E-2</v>
      </c>
      <c r="M217">
        <v>1.5994039994771923E-2</v>
      </c>
      <c r="N217">
        <v>7.2123173441380212E-3</v>
      </c>
      <c r="O217">
        <v>-1.1888955692066395E-2</v>
      </c>
      <c r="P217">
        <v>7.6130571167167685E-3</v>
      </c>
      <c r="Q217">
        <v>3.4330152921186775E-3</v>
      </c>
      <c r="R217">
        <v>-5.6590641746176963E-3</v>
      </c>
    </row>
    <row r="218" spans="1:18">
      <c r="A218" t="s">
        <v>61</v>
      </c>
      <c r="B218">
        <v>2018</v>
      </c>
      <c r="C218">
        <v>-4.6018869126399888</v>
      </c>
      <c r="D218">
        <v>7.8400038162476746E-2</v>
      </c>
      <c r="E218">
        <v>41.65</v>
      </c>
      <c r="F218">
        <v>9.52</v>
      </c>
      <c r="G218">
        <v>-30.27</v>
      </c>
      <c r="H218">
        <v>9.7799999999999998E-2</v>
      </c>
      <c r="I218">
        <v>6.0500000000000005E-2</v>
      </c>
      <c r="J218">
        <v>9.9341697276153218E-2</v>
      </c>
      <c r="K218">
        <v>2.2706673663120736E-2</v>
      </c>
      <c r="L218">
        <v>-7.2198635691456375E-2</v>
      </c>
      <c r="M218">
        <v>9.7156179936077839E-3</v>
      </c>
      <c r="N218">
        <v>2.220712684253208E-3</v>
      </c>
      <c r="O218">
        <v>-7.0610265706244337E-3</v>
      </c>
      <c r="P218">
        <v>6.0101726852072705E-3</v>
      </c>
      <c r="Q218">
        <v>1.3737537566188046E-3</v>
      </c>
      <c r="R218">
        <v>-4.3680174593331107E-3</v>
      </c>
    </row>
    <row r="219" spans="1:18">
      <c r="A219" t="s">
        <v>61</v>
      </c>
      <c r="B219">
        <v>2019</v>
      </c>
      <c r="C219">
        <v>-4.5171311319175773</v>
      </c>
      <c r="D219">
        <v>9.2641646545863723E-2</v>
      </c>
      <c r="E219">
        <v>58.46</v>
      </c>
      <c r="F219">
        <v>-23.2</v>
      </c>
      <c r="G219">
        <v>-61.74</v>
      </c>
      <c r="H219">
        <v>9.6199999999999994E-2</v>
      </c>
      <c r="I219">
        <v>5.9700000000000003E-2</v>
      </c>
      <c r="J219">
        <v>0.13704024941981763</v>
      </c>
      <c r="K219">
        <v>-5.4384772263766146E-2</v>
      </c>
      <c r="L219">
        <v>-0.1447291310157294</v>
      </c>
      <c r="M219">
        <v>1.3183271994186455E-2</v>
      </c>
      <c r="N219">
        <v>-5.2318150917743025E-3</v>
      </c>
      <c r="O219">
        <v>-1.3922942403713168E-2</v>
      </c>
      <c r="P219">
        <v>8.1813028903631128E-3</v>
      </c>
      <c r="Q219">
        <v>-3.2467709041468389E-3</v>
      </c>
      <c r="R219">
        <v>-8.6403291216390465E-3</v>
      </c>
    </row>
    <row r="220" spans="1:18">
      <c r="A220" t="s">
        <v>61</v>
      </c>
      <c r="B220">
        <v>2020</v>
      </c>
      <c r="C220">
        <v>-4.7002232010630021</v>
      </c>
      <c r="D220">
        <v>9.8329968029614676E-2</v>
      </c>
      <c r="E220">
        <v>105.69</v>
      </c>
      <c r="F220">
        <v>-86.7</v>
      </c>
      <c r="G220">
        <v>-51.56</v>
      </c>
      <c r="H220">
        <v>0.12670000000000001</v>
      </c>
      <c r="I220">
        <v>2.92E-2</v>
      </c>
      <c r="J220">
        <v>0.22229934376577487</v>
      </c>
      <c r="K220">
        <v>-0.18235739525492176</v>
      </c>
      <c r="L220">
        <v>-0.10844691233383813</v>
      </c>
      <c r="M220">
        <v>2.8165326855123678E-2</v>
      </c>
      <c r="N220">
        <v>-2.3104681978798589E-2</v>
      </c>
      <c r="O220">
        <v>-1.3740223792697293E-2</v>
      </c>
      <c r="P220">
        <v>6.4911408379606265E-3</v>
      </c>
      <c r="Q220">
        <v>-5.3248359414437155E-3</v>
      </c>
      <c r="R220">
        <v>-3.1666498401480736E-3</v>
      </c>
    </row>
    <row r="221" spans="1:18">
      <c r="A221" t="s">
        <v>61</v>
      </c>
      <c r="B221">
        <v>2021</v>
      </c>
      <c r="C221">
        <v>-4.4199743159515243</v>
      </c>
      <c r="D221">
        <v>0.11791724709160047</v>
      </c>
      <c r="E221">
        <v>138.31</v>
      </c>
      <c r="F221">
        <v>2.72</v>
      </c>
      <c r="G221">
        <v>-44.18</v>
      </c>
      <c r="H221">
        <v>0.1391</v>
      </c>
      <c r="I221">
        <v>1.7899999999999999E-2</v>
      </c>
      <c r="J221">
        <v>0.2603629381423892</v>
      </c>
      <c r="K221">
        <v>5.1202891457399948E-3</v>
      </c>
      <c r="L221">
        <v>-8.3167049433379769E-2</v>
      </c>
      <c r="M221">
        <v>3.6216484695606337E-2</v>
      </c>
      <c r="N221">
        <v>7.1223222017243327E-4</v>
      </c>
      <c r="O221">
        <v>-1.1568536576183126E-2</v>
      </c>
      <c r="P221">
        <v>4.6604965927487668E-3</v>
      </c>
      <c r="Q221">
        <v>9.1653175708745905E-5</v>
      </c>
      <c r="R221">
        <v>-1.4886901848574978E-3</v>
      </c>
    </row>
    <row r="222" spans="1:18">
      <c r="A222" t="s">
        <v>62</v>
      </c>
      <c r="B222">
        <v>2017</v>
      </c>
      <c r="C222">
        <v>-2.0291084388099638</v>
      </c>
      <c r="D222">
        <v>0.44871506647544479</v>
      </c>
      <c r="E222">
        <v>9.99</v>
      </c>
      <c r="F222">
        <v>-347.78</v>
      </c>
      <c r="G222">
        <v>414.28</v>
      </c>
      <c r="H222">
        <v>0.36199999999999999</v>
      </c>
      <c r="I222">
        <v>0.22020000000000003</v>
      </c>
      <c r="J222">
        <v>7.7444862203961389E-3</v>
      </c>
      <c r="K222">
        <v>-0.26960734912205897</v>
      </c>
      <c r="L222">
        <v>0.32115973487344468</v>
      </c>
      <c r="M222">
        <v>2.803504011783402E-3</v>
      </c>
      <c r="N222">
        <v>-9.7597860382185347E-2</v>
      </c>
      <c r="O222">
        <v>0.11625982402418697</v>
      </c>
      <c r="P222">
        <v>1.7053358657312301E-3</v>
      </c>
      <c r="Q222">
        <v>-5.9367538276677394E-2</v>
      </c>
      <c r="R222">
        <v>7.0719373619132525E-2</v>
      </c>
    </row>
    <row r="223" spans="1:18">
      <c r="A223" t="s">
        <v>62</v>
      </c>
      <c r="B223">
        <v>2018</v>
      </c>
      <c r="C223">
        <v>-1.586747362514743</v>
      </c>
      <c r="D223">
        <v>0.53539818125634575</v>
      </c>
      <c r="E223">
        <v>-45.32</v>
      </c>
      <c r="F223">
        <v>-528.61</v>
      </c>
      <c r="G223">
        <v>491.28</v>
      </c>
      <c r="H223">
        <v>0.32690000000000002</v>
      </c>
      <c r="I223">
        <v>9.9100000000000008E-2</v>
      </c>
      <c r="J223">
        <v>-2.500772524610427E-2</v>
      </c>
      <c r="K223">
        <v>-0.29168873879839313</v>
      </c>
      <c r="L223">
        <v>0.27108992186465369</v>
      </c>
      <c r="M223">
        <v>-8.1750253829514872E-3</v>
      </c>
      <c r="N223">
        <v>-9.5353048713194721E-2</v>
      </c>
      <c r="O223">
        <v>8.86192954575553E-2</v>
      </c>
      <c r="P223">
        <v>-2.4782655718889332E-3</v>
      </c>
      <c r="Q223">
        <v>-2.8906354014920761E-2</v>
      </c>
      <c r="R223">
        <v>2.6865011256787183E-2</v>
      </c>
    </row>
    <row r="224" spans="1:18">
      <c r="A224" t="s">
        <v>62</v>
      </c>
      <c r="B224">
        <v>2019</v>
      </c>
      <c r="C224">
        <v>-2.0094042669810399</v>
      </c>
      <c r="D224">
        <v>0.47080367958812841</v>
      </c>
      <c r="E224">
        <v>192.42</v>
      </c>
      <c r="F224">
        <v>-18.829999999999998</v>
      </c>
      <c r="G224">
        <v>-45.78</v>
      </c>
      <c r="H224">
        <v>0.35299999999999998</v>
      </c>
      <c r="I224">
        <v>0.20610000000000001</v>
      </c>
      <c r="J224">
        <v>9.105277104784977E-2</v>
      </c>
      <c r="K224">
        <v>-8.9103195033313123E-3</v>
      </c>
      <c r="L224">
        <v>-2.1663007268322227E-2</v>
      </c>
      <c r="M224">
        <v>3.2141628179890969E-2</v>
      </c>
      <c r="N224">
        <v>-3.1453427846759529E-3</v>
      </c>
      <c r="O224">
        <v>-7.6470415657177455E-3</v>
      </c>
      <c r="P224">
        <v>1.8765976112961838E-2</v>
      </c>
      <c r="Q224">
        <v>-1.8364168496365835E-3</v>
      </c>
      <c r="R224">
        <v>-4.4647457980012111E-3</v>
      </c>
    </row>
    <row r="225" spans="1:18">
      <c r="A225" t="s">
        <v>62</v>
      </c>
      <c r="B225">
        <v>2020</v>
      </c>
      <c r="C225">
        <v>-2.8587606798763772</v>
      </c>
      <c r="D225">
        <v>0.3893395437611904</v>
      </c>
      <c r="E225">
        <v>474.61</v>
      </c>
      <c r="F225">
        <v>-55.52</v>
      </c>
      <c r="G225">
        <v>-373.34</v>
      </c>
      <c r="H225">
        <v>0.27289999999999998</v>
      </c>
      <c r="I225">
        <v>0.24399999999999999</v>
      </c>
      <c r="J225">
        <v>0.20776770431592634</v>
      </c>
      <c r="K225">
        <v>-2.4304719545774914E-2</v>
      </c>
      <c r="L225">
        <v>-0.1634352304614482</v>
      </c>
      <c r="M225">
        <v>5.6699806507816294E-2</v>
      </c>
      <c r="N225">
        <v>-6.6327579640419734E-3</v>
      </c>
      <c r="O225">
        <v>-4.4601474392929212E-2</v>
      </c>
      <c r="P225">
        <v>5.0695319853086028E-2</v>
      </c>
      <c r="Q225">
        <v>-5.9303515691690786E-3</v>
      </c>
      <c r="R225">
        <v>-3.9878196232593359E-2</v>
      </c>
    </row>
    <row r="226" spans="1:18">
      <c r="A226" t="s">
        <v>62</v>
      </c>
      <c r="B226">
        <v>2021</v>
      </c>
      <c r="C226">
        <v>-3.5371647275126272</v>
      </c>
      <c r="D226">
        <v>0.29324898907661362</v>
      </c>
      <c r="E226">
        <v>317.33</v>
      </c>
      <c r="F226">
        <v>-188.84</v>
      </c>
      <c r="G226">
        <v>-232.4</v>
      </c>
      <c r="H226">
        <v>0.39529999999999998</v>
      </c>
      <c r="I226">
        <v>0.27750000000000002</v>
      </c>
      <c r="J226">
        <v>0.13215090348024169</v>
      </c>
      <c r="K226">
        <v>-7.8641718757157669E-2</v>
      </c>
      <c r="L226">
        <v>-9.6782119461784805E-2</v>
      </c>
      <c r="M226">
        <v>5.2239252145739538E-2</v>
      </c>
      <c r="N226">
        <v>-3.1087071424704425E-2</v>
      </c>
      <c r="O226">
        <v>-3.8257971823243531E-2</v>
      </c>
      <c r="P226">
        <v>3.667187571576707E-2</v>
      </c>
      <c r="Q226">
        <v>-2.1823076955111254E-2</v>
      </c>
      <c r="R226">
        <v>-2.6857038150645284E-2</v>
      </c>
    </row>
    <row r="227" spans="1:18">
      <c r="A227" t="s">
        <v>63</v>
      </c>
      <c r="B227">
        <v>2017</v>
      </c>
      <c r="C227">
        <v>-3.1640732742663453</v>
      </c>
      <c r="D227">
        <v>0.32498996936988073</v>
      </c>
      <c r="E227">
        <v>460.31</v>
      </c>
      <c r="F227">
        <v>-192.2</v>
      </c>
      <c r="G227">
        <v>-321.52</v>
      </c>
      <c r="H227">
        <v>0.48470000000000002</v>
      </c>
      <c r="I227">
        <v>0.1336</v>
      </c>
      <c r="J227">
        <v>0.11261461829782653</v>
      </c>
      <c r="K227">
        <v>-4.702163680311585E-2</v>
      </c>
      <c r="L227">
        <v>-7.8659712096450618E-2</v>
      </c>
      <c r="M227">
        <v>5.4584305488956521E-2</v>
      </c>
      <c r="N227">
        <v>-2.2791387358470253E-2</v>
      </c>
      <c r="O227">
        <v>-3.8126362453149619E-2</v>
      </c>
      <c r="P227">
        <v>1.5045313004589623E-2</v>
      </c>
      <c r="Q227">
        <v>-6.2820906768962775E-3</v>
      </c>
      <c r="R227">
        <v>-1.0508937536085802E-2</v>
      </c>
    </row>
    <row r="228" spans="1:18">
      <c r="A228" t="s">
        <v>63</v>
      </c>
      <c r="B228">
        <v>2018</v>
      </c>
      <c r="C228">
        <v>-3.5703429432508305</v>
      </c>
      <c r="D228">
        <v>0.25242750763202693</v>
      </c>
      <c r="E228">
        <v>290.79000000000002</v>
      </c>
      <c r="F228">
        <v>-460.55</v>
      </c>
      <c r="G228">
        <v>-304.14</v>
      </c>
      <c r="H228">
        <v>0.44390000000000002</v>
      </c>
      <c r="I228">
        <v>0.1313</v>
      </c>
      <c r="J228">
        <v>6.9137604732332214E-2</v>
      </c>
      <c r="K228">
        <v>-0.10949937707443723</v>
      </c>
      <c r="L228">
        <v>-7.2311672008292985E-2</v>
      </c>
      <c r="M228">
        <v>3.0690182740682272E-2</v>
      </c>
      <c r="N228">
        <v>-4.8606773483342691E-2</v>
      </c>
      <c r="O228">
        <v>-3.2099151204481258E-2</v>
      </c>
      <c r="P228">
        <v>9.07776750135522E-3</v>
      </c>
      <c r="Q228">
        <v>-1.4377268209873608E-2</v>
      </c>
      <c r="R228">
        <v>-9.4945225346888696E-3</v>
      </c>
    </row>
    <row r="229" spans="1:18">
      <c r="A229" t="s">
        <v>63</v>
      </c>
      <c r="B229">
        <v>2019</v>
      </c>
      <c r="C229">
        <v>-3.9454093758414395</v>
      </c>
      <c r="D229">
        <v>0.18550841367602164</v>
      </c>
      <c r="E229">
        <v>838.24</v>
      </c>
      <c r="F229">
        <v>-223.66</v>
      </c>
      <c r="G229">
        <v>-620.1</v>
      </c>
      <c r="H229">
        <v>0.54149999999999998</v>
      </c>
      <c r="I229">
        <v>0.17350000000000002</v>
      </c>
      <c r="J229">
        <v>0.20214043532152351</v>
      </c>
      <c r="K229">
        <v>-5.3935304643075901E-2</v>
      </c>
      <c r="L229">
        <v>-0.14953627116682183</v>
      </c>
      <c r="M229">
        <v>0.10945904572660498</v>
      </c>
      <c r="N229">
        <v>-2.9205967464225598E-2</v>
      </c>
      <c r="O229">
        <v>-8.0973890836834025E-2</v>
      </c>
      <c r="P229">
        <v>3.5071365528284333E-2</v>
      </c>
      <c r="Q229">
        <v>-9.3577753555736699E-3</v>
      </c>
      <c r="R229">
        <v>-2.5944543047443591E-2</v>
      </c>
    </row>
    <row r="230" spans="1:18">
      <c r="A230" t="s">
        <v>63</v>
      </c>
      <c r="B230">
        <v>2020</v>
      </c>
      <c r="C230">
        <v>-3.9371691041359496</v>
      </c>
      <c r="D230">
        <v>0.19774255199550311</v>
      </c>
      <c r="E230">
        <v>826.17</v>
      </c>
      <c r="F230">
        <v>-248.09</v>
      </c>
      <c r="G230">
        <v>-575.38</v>
      </c>
      <c r="H230">
        <v>0.54590000000000005</v>
      </c>
      <c r="I230">
        <v>1.18E-4</v>
      </c>
      <c r="J230">
        <v>0.18576053962900504</v>
      </c>
      <c r="K230">
        <v>-5.5781899943788647E-2</v>
      </c>
      <c r="L230">
        <v>-0.12937155705452502</v>
      </c>
      <c r="M230">
        <v>0.10140667858347387</v>
      </c>
      <c r="N230">
        <v>-3.0451339179314224E-2</v>
      </c>
      <c r="O230">
        <v>-7.0623932996065217E-2</v>
      </c>
      <c r="P230">
        <v>2.1919743676222594E-5</v>
      </c>
      <c r="Q230">
        <v>-6.5822641933670597E-6</v>
      </c>
      <c r="R230">
        <v>-1.5265843732433953E-5</v>
      </c>
    </row>
    <row r="231" spans="1:18">
      <c r="A231" t="s">
        <v>63</v>
      </c>
      <c r="B231">
        <v>2021</v>
      </c>
      <c r="C231">
        <v>-4.0583965218829388</v>
      </c>
      <c r="D231">
        <v>0.17855758423620569</v>
      </c>
      <c r="E231">
        <v>452.44</v>
      </c>
      <c r="F231">
        <v>45.69</v>
      </c>
      <c r="G231">
        <v>-527.86</v>
      </c>
      <c r="H231">
        <v>0.54239999999999999</v>
      </c>
      <c r="I231">
        <v>9.6000000000000002E-5</v>
      </c>
      <c r="J231">
        <v>9.7980150162311291E-2</v>
      </c>
      <c r="K231">
        <v>9.8946005236407106E-3</v>
      </c>
      <c r="L231">
        <v>-0.11431306264847857</v>
      </c>
      <c r="M231">
        <v>5.3144433448037647E-2</v>
      </c>
      <c r="N231">
        <v>5.3668313240227217E-3</v>
      </c>
      <c r="O231">
        <v>-6.2003405180534772E-2</v>
      </c>
      <c r="P231">
        <v>9.4060944155818839E-6</v>
      </c>
      <c r="Q231">
        <v>9.4988165026950824E-7</v>
      </c>
      <c r="R231">
        <v>-1.0974054014253943E-5</v>
      </c>
    </row>
    <row r="232" spans="1:18">
      <c r="A232" t="s">
        <v>64</v>
      </c>
      <c r="B232">
        <v>2017</v>
      </c>
      <c r="C232">
        <v>-1.5958187393494407</v>
      </c>
      <c r="D232">
        <v>0.47994971486873028</v>
      </c>
      <c r="E232">
        <v>-14.27</v>
      </c>
      <c r="F232">
        <v>-47.15</v>
      </c>
      <c r="G232">
        <v>56.73</v>
      </c>
      <c r="H232">
        <v>3.5000000000000001E-3</v>
      </c>
      <c r="I232">
        <v>0.2026</v>
      </c>
      <c r="J232">
        <v>-2.5998870406471478E-2</v>
      </c>
      <c r="K232">
        <v>-8.5903765919070091E-2</v>
      </c>
      <c r="L232">
        <v>0.10335780785978464</v>
      </c>
      <c r="M232">
        <v>-9.0996046422650183E-5</v>
      </c>
      <c r="N232">
        <v>-3.0066318071674534E-4</v>
      </c>
      <c r="O232">
        <v>3.6175232750924625E-4</v>
      </c>
      <c r="P232">
        <v>-5.2673711443511212E-3</v>
      </c>
      <c r="Q232">
        <v>-1.74041029752036E-2</v>
      </c>
      <c r="R232">
        <v>2.094029187239237E-2</v>
      </c>
    </row>
    <row r="233" spans="1:18">
      <c r="A233" t="s">
        <v>64</v>
      </c>
      <c r="B233">
        <v>2018</v>
      </c>
      <c r="C233">
        <v>-1.9526469654046585</v>
      </c>
      <c r="D233">
        <v>0.42079248432871247</v>
      </c>
      <c r="E233">
        <v>10.210000000000001</v>
      </c>
      <c r="F233">
        <v>-53.94</v>
      </c>
      <c r="G233">
        <v>48.01</v>
      </c>
      <c r="H233">
        <v>1.2999999999999999E-3</v>
      </c>
      <c r="I233">
        <v>0.23169999999999999</v>
      </c>
      <c r="J233">
        <v>1.6710584461284147E-2</v>
      </c>
      <c r="K233">
        <v>-8.8282950621123096E-2</v>
      </c>
      <c r="L233">
        <v>7.8577390791993315E-2</v>
      </c>
      <c r="M233">
        <v>2.172375979966939E-5</v>
      </c>
      <c r="N233">
        <v>-1.1476783580746002E-4</v>
      </c>
      <c r="O233">
        <v>1.0215060802959131E-4</v>
      </c>
      <c r="P233">
        <v>3.8718424196795367E-3</v>
      </c>
      <c r="Q233">
        <v>-2.0455159658914219E-2</v>
      </c>
      <c r="R233">
        <v>1.8206381446504851E-2</v>
      </c>
    </row>
    <row r="234" spans="1:18">
      <c r="A234" t="s">
        <v>64</v>
      </c>
      <c r="B234">
        <v>2019</v>
      </c>
      <c r="C234">
        <v>-2.2258647525067112</v>
      </c>
      <c r="D234">
        <v>0.37126947601398236</v>
      </c>
      <c r="E234">
        <v>21.53</v>
      </c>
      <c r="F234">
        <v>-7.61</v>
      </c>
      <c r="G234">
        <v>14.77</v>
      </c>
      <c r="H234">
        <v>1.9E-3</v>
      </c>
      <c r="I234">
        <v>0.23169999999999999</v>
      </c>
      <c r="J234">
        <v>3.7819037748774792E-2</v>
      </c>
      <c r="K234">
        <v>-1.3367527973440603E-2</v>
      </c>
      <c r="L234">
        <v>2.5944597656730316E-2</v>
      </c>
      <c r="M234">
        <v>7.1856171722672104E-5</v>
      </c>
      <c r="N234">
        <v>-2.5398303149537147E-5</v>
      </c>
      <c r="O234">
        <v>4.9294735547787601E-5</v>
      </c>
      <c r="P234">
        <v>8.762671046391118E-3</v>
      </c>
      <c r="Q234">
        <v>-3.0972562314461878E-3</v>
      </c>
      <c r="R234">
        <v>6.0113632770644135E-3</v>
      </c>
    </row>
    <row r="235" spans="1:18">
      <c r="A235" t="s">
        <v>64</v>
      </c>
      <c r="B235">
        <v>2020</v>
      </c>
      <c r="C235">
        <v>-0.96928893280068418</v>
      </c>
      <c r="D235">
        <v>0.46416862729972619</v>
      </c>
      <c r="E235">
        <v>16.34</v>
      </c>
      <c r="F235">
        <v>-25.93</v>
      </c>
      <c r="G235">
        <v>-2.87</v>
      </c>
      <c r="H235">
        <v>8.3999999999999995E-3</v>
      </c>
      <c r="I235">
        <v>0.2636</v>
      </c>
      <c r="J235">
        <v>3.1511551664288193E-2</v>
      </c>
      <c r="K235">
        <v>-5.0005785474601772E-2</v>
      </c>
      <c r="L235">
        <v>-5.5347707023566169E-3</v>
      </c>
      <c r="M235">
        <v>2.6469703398002083E-4</v>
      </c>
      <c r="N235">
        <v>-4.2004859798665484E-4</v>
      </c>
      <c r="O235">
        <v>-4.6492073899795579E-5</v>
      </c>
      <c r="P235">
        <v>8.3064450187063672E-3</v>
      </c>
      <c r="Q235">
        <v>-1.3181525051105028E-2</v>
      </c>
      <c r="R235">
        <v>-1.4589655571412043E-3</v>
      </c>
    </row>
    <row r="236" spans="1:18">
      <c r="A236" t="s">
        <v>64</v>
      </c>
      <c r="B236">
        <v>2021</v>
      </c>
      <c r="C236">
        <v>-2.844099120782916</v>
      </c>
      <c r="D236">
        <v>0.35614420997688462</v>
      </c>
      <c r="E236">
        <v>18.27</v>
      </c>
      <c r="F236">
        <v>9.3000000000000007</v>
      </c>
      <c r="G236">
        <v>-20.14</v>
      </c>
      <c r="H236">
        <v>1.2999999999999999E-2</v>
      </c>
      <c r="I236">
        <v>9.3700000000000006E-2</v>
      </c>
      <c r="J236">
        <v>3.4057862948325995E-2</v>
      </c>
      <c r="K236">
        <v>1.7336514801282527E-2</v>
      </c>
      <c r="L236">
        <v>-3.7543807322347321E-2</v>
      </c>
      <c r="M236">
        <v>4.427522183282379E-4</v>
      </c>
      <c r="N236">
        <v>2.2537469241667285E-4</v>
      </c>
      <c r="O236">
        <v>-4.8806949519051516E-4</v>
      </c>
      <c r="P236">
        <v>3.1912217582581461E-3</v>
      </c>
      <c r="Q236">
        <v>1.6244314368801728E-3</v>
      </c>
      <c r="R236">
        <v>-3.5178547461039442E-3</v>
      </c>
    </row>
    <row r="237" spans="1:18">
      <c r="A237" t="s">
        <v>65</v>
      </c>
      <c r="B237">
        <v>2017</v>
      </c>
      <c r="C237">
        <v>-1.4701438570659455</v>
      </c>
      <c r="D237">
        <v>0.52483138069742563</v>
      </c>
      <c r="E237">
        <v>-257.88</v>
      </c>
      <c r="F237">
        <v>289.81</v>
      </c>
      <c r="G237">
        <v>-3.39</v>
      </c>
      <c r="H237">
        <v>1.9E-2</v>
      </c>
      <c r="I237">
        <v>5.0650000000000001E-2</v>
      </c>
      <c r="J237">
        <v>-4.2391952959200951E-2</v>
      </c>
      <c r="K237">
        <v>4.7640809241143278E-2</v>
      </c>
      <c r="L237">
        <v>-5.5726973992434943E-4</v>
      </c>
      <c r="M237">
        <v>-8.0544710622481805E-4</v>
      </c>
      <c r="N237">
        <v>9.0517537558172222E-4</v>
      </c>
      <c r="O237">
        <v>-1.0588125058562639E-5</v>
      </c>
      <c r="P237">
        <v>-2.1471524173835282E-3</v>
      </c>
      <c r="Q237">
        <v>2.4130069880639073E-3</v>
      </c>
      <c r="R237">
        <v>-2.8225712327168298E-5</v>
      </c>
    </row>
    <row r="238" spans="1:18">
      <c r="A238" t="s">
        <v>65</v>
      </c>
      <c r="B238">
        <v>2018</v>
      </c>
      <c r="C238">
        <v>-1.5127021726371805</v>
      </c>
      <c r="D238">
        <v>0.52878978822062295</v>
      </c>
      <c r="E238">
        <v>430.58</v>
      </c>
      <c r="F238">
        <v>236.72</v>
      </c>
      <c r="G238">
        <v>-135.37</v>
      </c>
      <c r="H238">
        <v>2.0400000000000001E-2</v>
      </c>
      <c r="I238">
        <v>9.8539999999999975E-2</v>
      </c>
      <c r="J238">
        <v>6.3022989969423793E-2</v>
      </c>
      <c r="K238">
        <v>3.4648154084170192E-2</v>
      </c>
      <c r="L238">
        <v>-1.9813791054300943E-2</v>
      </c>
      <c r="M238">
        <v>1.2856689953762454E-3</v>
      </c>
      <c r="N238">
        <v>7.06822343317072E-4</v>
      </c>
      <c r="O238">
        <v>-4.0420133750773929E-4</v>
      </c>
      <c r="P238">
        <v>6.210285431587019E-3</v>
      </c>
      <c r="Q238">
        <v>3.4142291034541298E-3</v>
      </c>
      <c r="R238">
        <v>-1.9524509704908143E-3</v>
      </c>
    </row>
    <row r="239" spans="1:18">
      <c r="A239" t="s">
        <v>65</v>
      </c>
      <c r="B239">
        <v>2019</v>
      </c>
      <c r="C239">
        <v>-1.600839202308453</v>
      </c>
      <c r="D239">
        <v>0.51087745494514614</v>
      </c>
      <c r="E239">
        <v>-245.41</v>
      </c>
      <c r="F239">
        <v>-9.2200000000000006</v>
      </c>
      <c r="G239">
        <v>113.72</v>
      </c>
      <c r="H239">
        <v>0.59099999999999997</v>
      </c>
      <c r="I239">
        <v>0.1062</v>
      </c>
      <c r="J239">
        <v>-2.9938162037663942E-2</v>
      </c>
      <c r="K239">
        <v>-1.1247701967615892E-3</v>
      </c>
      <c r="L239">
        <v>1.3872979042920596E-2</v>
      </c>
      <c r="M239">
        <v>-1.769345376425939E-2</v>
      </c>
      <c r="N239">
        <v>-6.647391862860992E-4</v>
      </c>
      <c r="O239">
        <v>8.198930614366072E-3</v>
      </c>
      <c r="P239">
        <v>-3.1794328083999106E-3</v>
      </c>
      <c r="Q239">
        <v>-1.1945059489608078E-4</v>
      </c>
      <c r="R239">
        <v>1.4733103743581673E-3</v>
      </c>
    </row>
    <row r="240" spans="1:18">
      <c r="A240" t="s">
        <v>65</v>
      </c>
      <c r="B240">
        <v>2020</v>
      </c>
      <c r="C240">
        <v>-1.1883267695564586</v>
      </c>
      <c r="D240">
        <v>0.59495474439716689</v>
      </c>
      <c r="E240">
        <v>-504.3</v>
      </c>
      <c r="F240">
        <v>-19.09</v>
      </c>
      <c r="G240">
        <v>332.39</v>
      </c>
      <c r="H240">
        <v>1.83E-2</v>
      </c>
      <c r="I240">
        <v>0.1804</v>
      </c>
      <c r="J240">
        <v>-4.2642751324182999E-2</v>
      </c>
      <c r="K240">
        <v>-1.6142179710066497E-3</v>
      </c>
      <c r="L240">
        <v>2.8106333754997395E-2</v>
      </c>
      <c r="M240">
        <v>-7.8036234923254885E-4</v>
      </c>
      <c r="N240">
        <v>-2.9540188869421691E-5</v>
      </c>
      <c r="O240">
        <v>5.1434590771645239E-4</v>
      </c>
      <c r="P240">
        <v>-7.6927523388826136E-3</v>
      </c>
      <c r="Q240">
        <v>-2.9120492196959961E-4</v>
      </c>
      <c r="R240">
        <v>5.0703826094015301E-3</v>
      </c>
    </row>
    <row r="241" spans="1:18">
      <c r="A241" t="s">
        <v>65</v>
      </c>
      <c r="B241">
        <v>2021</v>
      </c>
      <c r="C241">
        <v>-1.4696066853140828</v>
      </c>
      <c r="D241">
        <v>0.54463551157779766</v>
      </c>
      <c r="E241">
        <v>-1966.48</v>
      </c>
      <c r="F241">
        <v>-2767.6</v>
      </c>
      <c r="G241">
        <v>5331.37</v>
      </c>
      <c r="H241">
        <v>1.9300000000000001E-2</v>
      </c>
      <c r="I241">
        <v>0.24132999999999996</v>
      </c>
      <c r="J241">
        <v>-0.11672651941900289</v>
      </c>
      <c r="K241">
        <v>-0.16427948168505777</v>
      </c>
      <c r="L241">
        <v>0.31646000154331061</v>
      </c>
      <c r="M241">
        <v>-2.2528218247867557E-3</v>
      </c>
      <c r="N241">
        <v>-3.170593996521615E-3</v>
      </c>
      <c r="O241">
        <v>6.1076780297858952E-3</v>
      </c>
      <c r="P241">
        <v>-2.8169610931387961E-2</v>
      </c>
      <c r="Q241">
        <v>-3.9645567315054982E-2</v>
      </c>
      <c r="R241">
        <v>7.6371292172447133E-2</v>
      </c>
    </row>
    <row r="242" spans="1:18">
      <c r="A242" t="s">
        <v>66</v>
      </c>
      <c r="B242">
        <v>2017</v>
      </c>
      <c r="C242">
        <v>-0.93798432509505814</v>
      </c>
      <c r="D242">
        <v>0.59678026680332841</v>
      </c>
      <c r="E242">
        <v>-338.64</v>
      </c>
      <c r="F242">
        <v>-305.45</v>
      </c>
      <c r="G242">
        <v>917.47</v>
      </c>
      <c r="H242">
        <v>0.14180000000000001</v>
      </c>
      <c r="I242">
        <v>0.18983699999999995</v>
      </c>
      <c r="J242">
        <v>-4.0738695625498499E-2</v>
      </c>
      <c r="K242">
        <v>-3.6745908867258786E-2</v>
      </c>
      <c r="L242">
        <v>0.11037246360597126</v>
      </c>
      <c r="M242">
        <v>-5.7767470396956873E-3</v>
      </c>
      <c r="N242">
        <v>-5.2105698773772966E-3</v>
      </c>
      <c r="O242">
        <v>1.5650815339326725E-2</v>
      </c>
      <c r="P242">
        <v>-7.7337117614577561E-3</v>
      </c>
      <c r="Q242">
        <v>-6.9757331016338043E-3</v>
      </c>
      <c r="R242">
        <v>2.095277737356676E-2</v>
      </c>
    </row>
    <row r="243" spans="1:18">
      <c r="A243" t="s">
        <v>66</v>
      </c>
      <c r="B243">
        <v>2018</v>
      </c>
      <c r="C243">
        <v>-0.89203356585261617</v>
      </c>
      <c r="D243">
        <v>0.60031495846083571</v>
      </c>
      <c r="E243">
        <v>214.88</v>
      </c>
      <c r="F243">
        <v>-374.5</v>
      </c>
      <c r="G243">
        <v>-133.62</v>
      </c>
      <c r="H243">
        <v>0.11996</v>
      </c>
      <c r="I243">
        <v>1.03E-2</v>
      </c>
      <c r="J243">
        <v>2.4664094046780053E-2</v>
      </c>
      <c r="K243">
        <v>-4.2985402180375699E-2</v>
      </c>
      <c r="L243">
        <v>-1.533700784870975E-2</v>
      </c>
      <c r="M243">
        <v>2.958704721851735E-3</v>
      </c>
      <c r="N243">
        <v>-5.156528845557869E-3</v>
      </c>
      <c r="O243">
        <v>-1.8398274615312215E-3</v>
      </c>
      <c r="P243">
        <v>2.5404016868183453E-4</v>
      </c>
      <c r="Q243">
        <v>-4.4274964245786971E-4</v>
      </c>
      <c r="R243">
        <v>-1.5797118084171042E-4</v>
      </c>
    </row>
    <row r="244" spans="1:18">
      <c r="A244" t="s">
        <v>66</v>
      </c>
      <c r="B244">
        <v>2019</v>
      </c>
      <c r="C244">
        <v>-0.87088128858043479</v>
      </c>
      <c r="D244">
        <v>0.60182877493902731</v>
      </c>
      <c r="E244">
        <v>339</v>
      </c>
      <c r="F244">
        <v>-250.61</v>
      </c>
      <c r="G244">
        <v>10.06</v>
      </c>
      <c r="H244">
        <v>7.3200000000000001E-2</v>
      </c>
      <c r="I244">
        <v>2.14E-3</v>
      </c>
      <c r="J244">
        <v>3.9352209237669931E-2</v>
      </c>
      <c r="K244">
        <v>-2.9091614032603134E-2</v>
      </c>
      <c r="L244">
        <v>1.1677971236901462E-3</v>
      </c>
      <c r="M244">
        <v>2.8805817161974391E-3</v>
      </c>
      <c r="N244">
        <v>-2.1295061471865496E-3</v>
      </c>
      <c r="O244">
        <v>8.5482749454118698E-5</v>
      </c>
      <c r="P244">
        <v>8.4213727768613658E-5</v>
      </c>
      <c r="Q244">
        <v>-6.225605402977071E-5</v>
      </c>
      <c r="R244">
        <v>2.4990858446969127E-6</v>
      </c>
    </row>
    <row r="245" spans="1:18">
      <c r="A245" t="s">
        <v>66</v>
      </c>
      <c r="B245">
        <v>2020</v>
      </c>
      <c r="C245">
        <v>0.16901333702489932</v>
      </c>
      <c r="D245">
        <v>0.69545730125617067</v>
      </c>
      <c r="E245">
        <v>314.99</v>
      </c>
      <c r="F245">
        <v>-214.4</v>
      </c>
      <c r="G245">
        <v>-132.18</v>
      </c>
      <c r="H245">
        <v>2.8000000000000001E-2</v>
      </c>
      <c r="I245">
        <v>2.0999999999999999E-3</v>
      </c>
      <c r="J245">
        <v>3.8270739450609131E-2</v>
      </c>
      <c r="K245">
        <v>-2.6049228668245335E-2</v>
      </c>
      <c r="L245">
        <v>-1.6059641069816551E-2</v>
      </c>
      <c r="M245">
        <v>1.0715807046170556E-3</v>
      </c>
      <c r="N245">
        <v>-7.2937840271086935E-4</v>
      </c>
      <c r="O245">
        <v>-4.4966994995486345E-4</v>
      </c>
      <c r="P245">
        <v>8.0368552846279173E-5</v>
      </c>
      <c r="Q245">
        <v>-5.4703380203315203E-5</v>
      </c>
      <c r="R245">
        <v>-3.3725246246614753E-5</v>
      </c>
    </row>
    <row r="246" spans="1:18">
      <c r="A246" t="s">
        <v>66</v>
      </c>
      <c r="B246">
        <v>2021</v>
      </c>
      <c r="C246">
        <v>-0.48032886509239292</v>
      </c>
      <c r="D246">
        <v>0.67203320910563125</v>
      </c>
      <c r="E246">
        <v>251.98</v>
      </c>
      <c r="F246">
        <v>-13.76</v>
      </c>
      <c r="G246">
        <v>-231.21</v>
      </c>
      <c r="H246">
        <v>2.7099999999999999E-2</v>
      </c>
      <c r="I246">
        <v>7.2099999999999994E-3</v>
      </c>
      <c r="J246">
        <v>3.5638971196616853E-2</v>
      </c>
      <c r="K246">
        <v>-1.9461554237060398E-3</v>
      </c>
      <c r="L246">
        <v>-3.2701351418246621E-2</v>
      </c>
      <c r="M246">
        <v>9.6581611942831672E-4</v>
      </c>
      <c r="N246">
        <v>-5.2740811982433676E-5</v>
      </c>
      <c r="O246">
        <v>-8.8620662343448346E-4</v>
      </c>
      <c r="P246">
        <v>2.5695698232760747E-4</v>
      </c>
      <c r="Q246">
        <v>-1.4031780604920547E-5</v>
      </c>
      <c r="R246">
        <v>-2.3577674372555812E-4</v>
      </c>
    </row>
    <row r="247" spans="1:18">
      <c r="A247" t="s">
        <v>67</v>
      </c>
      <c r="B247">
        <v>2017</v>
      </c>
      <c r="C247">
        <v>-3.4882366717296396</v>
      </c>
      <c r="D247">
        <v>0.27014791607620242</v>
      </c>
      <c r="E247">
        <v>301.88</v>
      </c>
      <c r="F247">
        <v>-165.99</v>
      </c>
      <c r="G247">
        <v>-69.45</v>
      </c>
      <c r="H247">
        <v>0.63100000000000001</v>
      </c>
      <c r="I247">
        <v>0.1</v>
      </c>
      <c r="J247">
        <v>0.23124238779903022</v>
      </c>
      <c r="K247">
        <v>-0.12714960895309735</v>
      </c>
      <c r="L247">
        <v>-5.3199230928324667E-2</v>
      </c>
      <c r="M247">
        <v>0.14591394670118807</v>
      </c>
      <c r="N247">
        <v>-8.0231403249404434E-2</v>
      </c>
      <c r="O247">
        <v>-3.3568714715772864E-2</v>
      </c>
      <c r="P247">
        <v>2.3124238779903022E-2</v>
      </c>
      <c r="Q247">
        <v>-1.2714960895309735E-2</v>
      </c>
      <c r="R247">
        <v>-5.3199230928324672E-3</v>
      </c>
    </row>
    <row r="248" spans="1:18">
      <c r="A248" t="s">
        <v>67</v>
      </c>
      <c r="B248">
        <v>2018</v>
      </c>
      <c r="C248">
        <v>-3.7119197860569932</v>
      </c>
      <c r="D248">
        <v>0.22903029847995687</v>
      </c>
      <c r="E248">
        <v>26.83</v>
      </c>
      <c r="F248">
        <v>-42.73</v>
      </c>
      <c r="G248">
        <v>-63.32</v>
      </c>
      <c r="H248">
        <v>0.51690000000000003</v>
      </c>
      <c r="I248">
        <v>0.1</v>
      </c>
      <c r="J248">
        <v>1.831286815144462E-2</v>
      </c>
      <c r="K248">
        <v>-2.9165443761134127E-2</v>
      </c>
      <c r="L248">
        <v>-4.3219187899719472E-2</v>
      </c>
      <c r="M248">
        <v>9.4659215474817253E-3</v>
      </c>
      <c r="N248">
        <v>-1.507561788013023E-2</v>
      </c>
      <c r="O248">
        <v>-2.2339998225364997E-2</v>
      </c>
      <c r="P248">
        <v>1.831286815144462E-3</v>
      </c>
      <c r="Q248">
        <v>-2.9165443761134131E-3</v>
      </c>
      <c r="R248">
        <v>-4.3219187899719473E-3</v>
      </c>
    </row>
    <row r="249" spans="1:18">
      <c r="A249" t="s">
        <v>67</v>
      </c>
      <c r="B249">
        <v>2019</v>
      </c>
      <c r="C249">
        <v>-3.9574617232379152</v>
      </c>
      <c r="D249">
        <v>0.18315123446723849</v>
      </c>
      <c r="E249">
        <v>111.07</v>
      </c>
      <c r="F249">
        <v>18.100000000000001</v>
      </c>
      <c r="G249">
        <v>-110.32</v>
      </c>
      <c r="H249">
        <v>0.51690000000000003</v>
      </c>
      <c r="I249">
        <v>0.1</v>
      </c>
      <c r="J249">
        <v>7.2450344085320112E-2</v>
      </c>
      <c r="K249">
        <v>1.1806529467401586E-2</v>
      </c>
      <c r="L249">
        <v>-7.1961123251035514E-2</v>
      </c>
      <c r="M249">
        <v>3.7449582857701967E-2</v>
      </c>
      <c r="N249">
        <v>6.1027950816998798E-3</v>
      </c>
      <c r="O249">
        <v>-3.7196704608460258E-2</v>
      </c>
      <c r="P249">
        <v>7.2450344085320112E-3</v>
      </c>
      <c r="Q249">
        <v>1.1806529467401586E-3</v>
      </c>
      <c r="R249">
        <v>-7.1961123251035519E-3</v>
      </c>
    </row>
    <row r="250" spans="1:18">
      <c r="A250" t="s">
        <v>67</v>
      </c>
      <c r="B250">
        <v>2020</v>
      </c>
      <c r="C250">
        <v>-4.3068842625838837</v>
      </c>
      <c r="D250">
        <v>0.10151094960313667</v>
      </c>
      <c r="E250">
        <v>-44.82</v>
      </c>
      <c r="F250">
        <v>140.80000000000001</v>
      </c>
      <c r="G250">
        <v>-86.82</v>
      </c>
      <c r="H250">
        <v>6.1100000000000002E-2</v>
      </c>
      <c r="I250">
        <v>0</v>
      </c>
      <c r="J250">
        <v>-3.0615172338419924E-2</v>
      </c>
      <c r="K250">
        <v>9.6176177270181296E-2</v>
      </c>
      <c r="L250">
        <v>-5.9304088853672859E-2</v>
      </c>
      <c r="M250">
        <v>-1.8705870298774574E-3</v>
      </c>
      <c r="N250">
        <v>5.8763644312080773E-3</v>
      </c>
      <c r="O250">
        <v>-3.6234798289594117E-3</v>
      </c>
      <c r="P250">
        <v>0</v>
      </c>
      <c r="Q250">
        <v>0</v>
      </c>
      <c r="R250">
        <v>0</v>
      </c>
    </row>
    <row r="251" spans="1:18">
      <c r="A251" t="s">
        <v>67</v>
      </c>
      <c r="B251">
        <v>2021</v>
      </c>
      <c r="C251">
        <v>-3.8650975352995776</v>
      </c>
      <c r="D251">
        <v>0.15773345253876747</v>
      </c>
      <c r="E251">
        <v>162.44999999999999</v>
      </c>
      <c r="F251">
        <v>-97.76</v>
      </c>
      <c r="G251">
        <v>-86.82</v>
      </c>
      <c r="H251">
        <v>0.10210000000000001</v>
      </c>
      <c r="I251">
        <v>0</v>
      </c>
      <c r="J251">
        <v>0.10016339365539353</v>
      </c>
      <c r="K251">
        <v>-6.0276844344421501E-2</v>
      </c>
      <c r="L251">
        <v>-5.3531460985911147E-2</v>
      </c>
      <c r="M251">
        <v>1.0226682492215681E-2</v>
      </c>
      <c r="N251">
        <v>-6.1542658075654363E-3</v>
      </c>
      <c r="O251">
        <v>-5.4655621666615285E-3</v>
      </c>
      <c r="P251">
        <v>0</v>
      </c>
      <c r="Q251">
        <v>0</v>
      </c>
      <c r="R251">
        <v>0</v>
      </c>
    </row>
    <row r="252" spans="1:18">
      <c r="A252" t="s">
        <v>68</v>
      </c>
      <c r="B252">
        <v>2017</v>
      </c>
      <c r="C252">
        <v>-9.4100763945401886E-2</v>
      </c>
      <c r="D252">
        <v>0.77688760514847466</v>
      </c>
      <c r="E252">
        <v>42.54</v>
      </c>
      <c r="F252">
        <v>-893.05</v>
      </c>
      <c r="G252">
        <v>1097.19</v>
      </c>
      <c r="H252">
        <v>2.2800000000000001E-4</v>
      </c>
      <c r="I252">
        <v>0.431612</v>
      </c>
      <c r="J252">
        <v>1.0778352082699907E-2</v>
      </c>
      <c r="K252">
        <v>-0.22627191648930778</v>
      </c>
      <c r="L252">
        <v>0.27799483125570085</v>
      </c>
      <c r="M252">
        <v>2.4574642748555791E-6</v>
      </c>
      <c r="N252">
        <v>-5.1589996959562177E-5</v>
      </c>
      <c r="O252">
        <v>6.3382821526299798E-5</v>
      </c>
      <c r="P252">
        <v>4.6520660991182725E-3</v>
      </c>
      <c r="Q252">
        <v>-9.7661674419783101E-2</v>
      </c>
      <c r="R252">
        <v>0.11998590510793555</v>
      </c>
    </row>
    <row r="253" spans="1:18">
      <c r="A253" t="s">
        <v>68</v>
      </c>
      <c r="B253">
        <v>2018</v>
      </c>
      <c r="C253">
        <v>-2.7265263750532877E-2</v>
      </c>
      <c r="D253">
        <v>0.77704208986056122</v>
      </c>
      <c r="E253">
        <v>379.14</v>
      </c>
      <c r="F253">
        <v>-971.4</v>
      </c>
      <c r="G253">
        <v>492.06</v>
      </c>
      <c r="H253">
        <v>2.9999999999999997E-4</v>
      </c>
      <c r="I253">
        <v>0.43595300000000003</v>
      </c>
      <c r="J253">
        <v>8.1584610087794801E-2</v>
      </c>
      <c r="K253">
        <v>-0.20902909278705456</v>
      </c>
      <c r="L253">
        <v>0.10588311241177484</v>
      </c>
      <c r="M253">
        <v>2.4475383026338438E-5</v>
      </c>
      <c r="N253">
        <v>-6.2708727836116365E-5</v>
      </c>
      <c r="O253">
        <v>3.1764933723532448E-5</v>
      </c>
      <c r="P253">
        <v>3.5567055521604413E-2</v>
      </c>
      <c r="Q253">
        <v>-9.1126860087794803E-2</v>
      </c>
      <c r="R253">
        <v>4.6160060505250476E-2</v>
      </c>
    </row>
    <row r="254" spans="1:18">
      <c r="A254" t="s">
        <v>68</v>
      </c>
      <c r="B254">
        <v>2019</v>
      </c>
      <c r="C254">
        <v>-0.18814844235898251</v>
      </c>
      <c r="D254">
        <v>0.75677196019039383</v>
      </c>
      <c r="E254">
        <v>474.82</v>
      </c>
      <c r="F254">
        <v>-215.21</v>
      </c>
      <c r="G254">
        <v>-148.6</v>
      </c>
      <c r="H254">
        <v>2.5000000000000001E-3</v>
      </c>
      <c r="I254">
        <v>0.38226199999999999</v>
      </c>
      <c r="J254">
        <v>9.3391290665198065E-2</v>
      </c>
      <c r="K254">
        <v>-4.232917666496204E-2</v>
      </c>
      <c r="L254">
        <v>-2.9227803784272845E-2</v>
      </c>
      <c r="M254">
        <v>2.3347822666299517E-4</v>
      </c>
      <c r="N254">
        <v>-1.0582294166240511E-4</v>
      </c>
      <c r="O254">
        <v>-7.3069509460682111E-5</v>
      </c>
      <c r="P254">
        <v>3.5699941552259945E-2</v>
      </c>
      <c r="Q254">
        <v>-1.6180835730301719E-2</v>
      </c>
      <c r="R254">
        <v>-1.1172678730183705E-2</v>
      </c>
    </row>
    <row r="255" spans="1:18">
      <c r="A255" t="s">
        <v>68</v>
      </c>
      <c r="B255">
        <v>2020</v>
      </c>
      <c r="C255">
        <v>-0.48691451178092482</v>
      </c>
      <c r="D255">
        <v>0.70826072525101658</v>
      </c>
      <c r="E255">
        <v>123.2</v>
      </c>
      <c r="F255">
        <v>-19.57</v>
      </c>
      <c r="G255">
        <v>-114.82</v>
      </c>
      <c r="H255">
        <v>1.1999999999999999E-3</v>
      </c>
      <c r="I255">
        <v>0.40949999999999998</v>
      </c>
      <c r="J255">
        <v>2.5558044975520708E-2</v>
      </c>
      <c r="K255">
        <v>-4.0598290598290602E-3</v>
      </c>
      <c r="L255">
        <v>-2.3819600033192268E-2</v>
      </c>
      <c r="M255">
        <v>3.0669653970624846E-5</v>
      </c>
      <c r="N255">
        <v>-4.871794871794872E-6</v>
      </c>
      <c r="O255">
        <v>-2.8583520039830718E-5</v>
      </c>
      <c r="P255">
        <v>1.0466019417475729E-2</v>
      </c>
      <c r="Q255">
        <v>-1.6625000000000001E-3</v>
      </c>
      <c r="R255">
        <v>-9.7541262135922326E-3</v>
      </c>
    </row>
    <row r="256" spans="1:18">
      <c r="A256" t="s">
        <v>68</v>
      </c>
      <c r="B256">
        <v>2021</v>
      </c>
      <c r="C256">
        <v>-0.65071399000065677</v>
      </c>
      <c r="D256">
        <v>0.70056968087787996</v>
      </c>
      <c r="E256">
        <v>733.43</v>
      </c>
      <c r="F256">
        <v>-615.73</v>
      </c>
      <c r="G256">
        <v>236.8</v>
      </c>
      <c r="H256">
        <v>6.4000000000000003E-3</v>
      </c>
      <c r="I256">
        <v>0.37215000000000004</v>
      </c>
      <c r="J256">
        <v>0.12325104609541734</v>
      </c>
      <c r="K256">
        <v>-0.10347186045339204</v>
      </c>
      <c r="L256">
        <v>3.9793637723293064E-2</v>
      </c>
      <c r="M256">
        <v>7.8880669501067105E-4</v>
      </c>
      <c r="N256">
        <v>-6.6221990690170914E-4</v>
      </c>
      <c r="O256">
        <v>2.5467928142907563E-4</v>
      </c>
      <c r="P256">
        <v>4.5867876804409569E-2</v>
      </c>
      <c r="Q256">
        <v>-3.8507052867729853E-2</v>
      </c>
      <c r="R256">
        <v>1.4809202278723515E-2</v>
      </c>
    </row>
    <row r="257" spans="1:18">
      <c r="A257" t="s">
        <v>69</v>
      </c>
      <c r="B257">
        <v>2017</v>
      </c>
      <c r="C257">
        <v>-3.3911596312701491</v>
      </c>
      <c r="D257">
        <v>0.21637357391295875</v>
      </c>
      <c r="E257">
        <v>80.98</v>
      </c>
      <c r="F257">
        <v>-2048.13</v>
      </c>
      <c r="G257">
        <v>230.47</v>
      </c>
      <c r="H257">
        <v>0.20039999999999999</v>
      </c>
      <c r="I257">
        <v>1.523E-3</v>
      </c>
      <c r="J257">
        <v>7.8896347463489249E-3</v>
      </c>
      <c r="K257">
        <v>-0.19954306758507809</v>
      </c>
      <c r="L257">
        <v>2.2453990120906851E-2</v>
      </c>
      <c r="M257">
        <v>1.5810828031683245E-3</v>
      </c>
      <c r="N257">
        <v>-3.9988430744049647E-2</v>
      </c>
      <c r="O257">
        <v>4.4997796202297328E-3</v>
      </c>
      <c r="P257">
        <v>1.2015913718689412E-5</v>
      </c>
      <c r="Q257">
        <v>-3.0390409193207396E-4</v>
      </c>
      <c r="R257">
        <v>3.4197426954141134E-5</v>
      </c>
    </row>
    <row r="258" spans="1:18">
      <c r="A258" t="s">
        <v>69</v>
      </c>
      <c r="B258">
        <v>2018</v>
      </c>
      <c r="C258">
        <v>-3.1276320341145003</v>
      </c>
      <c r="D258">
        <v>0.25859374579002109</v>
      </c>
      <c r="E258">
        <v>381.06</v>
      </c>
      <c r="F258">
        <v>-821.69</v>
      </c>
      <c r="G258">
        <v>-204.28</v>
      </c>
      <c r="H258">
        <v>0.21249999999999999</v>
      </c>
      <c r="I258">
        <v>1.2229999999999999E-3</v>
      </c>
      <c r="J258">
        <v>3.4224097515236758E-2</v>
      </c>
      <c r="K258">
        <v>-7.3798348520691989E-2</v>
      </c>
      <c r="L258">
        <v>-1.8346975910388297E-2</v>
      </c>
      <c r="M258">
        <v>7.2726207219878112E-3</v>
      </c>
      <c r="N258">
        <v>-1.5682149060647046E-2</v>
      </c>
      <c r="O258">
        <v>-3.8987323809575132E-3</v>
      </c>
      <c r="P258">
        <v>4.1856071261134553E-5</v>
      </c>
      <c r="Q258">
        <v>-9.0255380240806298E-5</v>
      </c>
      <c r="R258">
        <v>-2.2438351538404886E-5</v>
      </c>
    </row>
    <row r="259" spans="1:18">
      <c r="A259" t="s">
        <v>69</v>
      </c>
      <c r="B259">
        <v>2019</v>
      </c>
      <c r="C259">
        <v>-2.8308355582618114</v>
      </c>
      <c r="D259">
        <v>0.28660674404801967</v>
      </c>
      <c r="E259">
        <v>1759.01</v>
      </c>
      <c r="F259">
        <v>-54.34</v>
      </c>
      <c r="G259">
        <v>-444.64</v>
      </c>
      <c r="H259">
        <v>0.18579999999999999</v>
      </c>
      <c r="I259">
        <v>7.6599999999999997E-4</v>
      </c>
      <c r="J259">
        <v>0.15375544893451315</v>
      </c>
      <c r="K259">
        <v>-4.7498712884528485E-3</v>
      </c>
      <c r="L259">
        <v>-3.8866079677910829E-2</v>
      </c>
      <c r="M259">
        <v>2.8567762412032544E-2</v>
      </c>
      <c r="N259">
        <v>-8.8252608539453922E-4</v>
      </c>
      <c r="O259">
        <v>-7.2213176041558318E-3</v>
      </c>
      <c r="P259">
        <v>1.1777667388383707E-4</v>
      </c>
      <c r="Q259">
        <v>-3.6384014069548818E-6</v>
      </c>
      <c r="R259">
        <v>-2.9771417033279695E-5</v>
      </c>
    </row>
    <row r="260" spans="1:18">
      <c r="A260" t="s">
        <v>69</v>
      </c>
      <c r="B260">
        <v>2020</v>
      </c>
      <c r="C260">
        <v>-3.0521392050540626</v>
      </c>
      <c r="D260">
        <v>0.27012886794089169</v>
      </c>
      <c r="E260">
        <v>787.27</v>
      </c>
      <c r="F260">
        <v>-1066</v>
      </c>
      <c r="G260">
        <v>-669.04</v>
      </c>
      <c r="H260">
        <v>0.112</v>
      </c>
      <c r="I260">
        <v>7.6599999999999997E-4</v>
      </c>
      <c r="J260">
        <v>6.9670281435122661E-2</v>
      </c>
      <c r="K260">
        <v>-9.4336784089119052E-2</v>
      </c>
      <c r="L260">
        <v>-5.9207394021561173E-2</v>
      </c>
      <c r="M260">
        <v>7.8030715207337382E-3</v>
      </c>
      <c r="N260">
        <v>-1.0565719817981335E-2</v>
      </c>
      <c r="O260">
        <v>-6.6312281304148511E-3</v>
      </c>
      <c r="P260">
        <v>5.3367435579303955E-5</v>
      </c>
      <c r="Q260">
        <v>-7.2261976612265197E-5</v>
      </c>
      <c r="R260">
        <v>-4.5352863820515859E-5</v>
      </c>
    </row>
    <row r="261" spans="1:18">
      <c r="A261" t="s">
        <v>69</v>
      </c>
      <c r="B261">
        <v>2021</v>
      </c>
      <c r="C261">
        <v>-4.0306323780854481</v>
      </c>
      <c r="D261">
        <v>0.23026197142822244</v>
      </c>
      <c r="E261">
        <v>2516.0700000000002</v>
      </c>
      <c r="F261">
        <v>-1318.92</v>
      </c>
      <c r="G261">
        <v>-702.43</v>
      </c>
      <c r="H261">
        <v>9.1499999999999998E-2</v>
      </c>
      <c r="I261">
        <v>6.0400000000000004E-4</v>
      </c>
      <c r="J261">
        <v>0.18077903826215538</v>
      </c>
      <c r="K261">
        <v>-9.4764092074036882E-2</v>
      </c>
      <c r="L261">
        <v>-5.0469430439727743E-2</v>
      </c>
      <c r="M261">
        <v>1.6541282000987218E-2</v>
      </c>
      <c r="N261">
        <v>-8.6709144247743737E-3</v>
      </c>
      <c r="O261">
        <v>-4.6179528852350882E-3</v>
      </c>
      <c r="P261">
        <v>1.0919053911034186E-4</v>
      </c>
      <c r="Q261">
        <v>-5.7237511612718283E-5</v>
      </c>
      <c r="R261">
        <v>-3.048353598559556E-5</v>
      </c>
    </row>
    <row r="262" spans="1:18">
      <c r="A262" t="s">
        <v>70</v>
      </c>
      <c r="B262">
        <v>2017</v>
      </c>
      <c r="C262">
        <v>-3.2034057887969047</v>
      </c>
      <c r="D262">
        <v>0.24660106641092713</v>
      </c>
      <c r="E262">
        <v>313.3</v>
      </c>
      <c r="F262">
        <v>-160.66</v>
      </c>
      <c r="G262">
        <v>-254.6</v>
      </c>
      <c r="H262">
        <v>0.2152</v>
      </c>
      <c r="I262">
        <v>1.4900000000000002E-3</v>
      </c>
      <c r="J262">
        <v>8.9958681601396612E-2</v>
      </c>
      <c r="K262">
        <v>-4.6130743013343058E-2</v>
      </c>
      <c r="L262">
        <v>-7.3103990857694146E-2</v>
      </c>
      <c r="M262">
        <v>1.9359108280620551E-2</v>
      </c>
      <c r="N262">
        <v>-9.9273358964714255E-3</v>
      </c>
      <c r="O262">
        <v>-1.573197883257578E-2</v>
      </c>
      <c r="P262">
        <v>1.3403843558608096E-4</v>
      </c>
      <c r="Q262">
        <v>-6.873480708988117E-5</v>
      </c>
      <c r="R262">
        <v>-1.0892494637796429E-4</v>
      </c>
    </row>
    <row r="263" spans="1:18">
      <c r="A263" t="s">
        <v>70</v>
      </c>
      <c r="B263">
        <v>2018</v>
      </c>
      <c r="C263">
        <v>-2.706636664695512</v>
      </c>
      <c r="D263">
        <v>0.33176394076932109</v>
      </c>
      <c r="E263">
        <v>360.9</v>
      </c>
      <c r="F263">
        <v>-405.95</v>
      </c>
      <c r="G263">
        <v>-197.16</v>
      </c>
      <c r="H263">
        <v>0.19170000000000001</v>
      </c>
      <c r="I263">
        <v>1.7300000000000002E-3</v>
      </c>
      <c r="J263">
        <v>9.8617604704352116E-2</v>
      </c>
      <c r="K263">
        <v>-0.11092772687650802</v>
      </c>
      <c r="L263">
        <v>-5.3874887624023454E-2</v>
      </c>
      <c r="M263">
        <v>1.8904994821824301E-2</v>
      </c>
      <c r="N263">
        <v>-2.126484524222659E-2</v>
      </c>
      <c r="O263">
        <v>-1.0327815957525298E-2</v>
      </c>
      <c r="P263">
        <v>1.7060845613852917E-4</v>
      </c>
      <c r="Q263">
        <v>-1.9190496749635889E-4</v>
      </c>
      <c r="R263">
        <v>-9.3203555589560586E-5</v>
      </c>
    </row>
    <row r="264" spans="1:18">
      <c r="A264" t="s">
        <v>70</v>
      </c>
      <c r="B264">
        <v>2019</v>
      </c>
      <c r="C264">
        <v>-2.3138611284033019</v>
      </c>
      <c r="D264">
        <v>0.39049999197272867</v>
      </c>
      <c r="E264">
        <v>371.42</v>
      </c>
      <c r="F264">
        <v>-172.53</v>
      </c>
      <c r="G264">
        <v>-164.3</v>
      </c>
      <c r="H264">
        <v>0.14349999999999999</v>
      </c>
      <c r="I264">
        <v>9.2999999999999995E-4</v>
      </c>
      <c r="J264">
        <v>9.9382970411477922E-2</v>
      </c>
      <c r="K264">
        <v>-4.6164837340725559E-2</v>
      </c>
      <c r="L264">
        <v>-4.3962689242921286E-2</v>
      </c>
      <c r="M264">
        <v>1.4261456254047081E-2</v>
      </c>
      <c r="N264">
        <v>-6.6246541583941171E-3</v>
      </c>
      <c r="O264">
        <v>-6.3086459063592037E-3</v>
      </c>
      <c r="P264">
        <v>9.2426162482674463E-5</v>
      </c>
      <c r="Q264">
        <v>-4.293329872687477E-5</v>
      </c>
      <c r="R264">
        <v>-4.0885300995916795E-5</v>
      </c>
    </row>
    <row r="265" spans="1:18">
      <c r="A265" t="s">
        <v>70</v>
      </c>
      <c r="B265">
        <v>2020</v>
      </c>
      <c r="C265">
        <v>-2.371477976249011</v>
      </c>
      <c r="D265">
        <v>0.38415307638721502</v>
      </c>
      <c r="E265">
        <v>86.49</v>
      </c>
      <c r="F265">
        <v>249.24</v>
      </c>
      <c r="G265">
        <v>-281.32</v>
      </c>
      <c r="H265">
        <v>0.1169</v>
      </c>
      <c r="I265">
        <v>2.3699999999999999E-4</v>
      </c>
      <c r="J265">
        <v>2.2909012891451697E-2</v>
      </c>
      <c r="K265">
        <v>6.6017370482893079E-2</v>
      </c>
      <c r="L265">
        <v>-7.4514550891700684E-2</v>
      </c>
      <c r="M265">
        <v>2.6780636070107035E-3</v>
      </c>
      <c r="N265">
        <v>7.7174306094502012E-3</v>
      </c>
      <c r="O265">
        <v>-8.7107509992398104E-3</v>
      </c>
      <c r="P265">
        <v>5.4294360552740517E-6</v>
      </c>
      <c r="Q265">
        <v>1.5646116804445658E-5</v>
      </c>
      <c r="R265">
        <v>-1.7659948561333062E-5</v>
      </c>
    </row>
    <row r="266" spans="1:18">
      <c r="A266" t="s">
        <v>70</v>
      </c>
      <c r="B266">
        <v>2021</v>
      </c>
      <c r="C266">
        <v>-3.0179233765223517</v>
      </c>
      <c r="D266">
        <v>0.31988672011585895</v>
      </c>
      <c r="E266">
        <v>707.11</v>
      </c>
      <c r="F266">
        <v>-313.07</v>
      </c>
      <c r="G266">
        <v>-165.45</v>
      </c>
      <c r="H266">
        <v>7.8600000000000003E-2</v>
      </c>
      <c r="I266">
        <v>2.12E-4</v>
      </c>
      <c r="J266">
        <v>0.1753531936842993</v>
      </c>
      <c r="K266">
        <v>-7.7636894325838382E-2</v>
      </c>
      <c r="L266">
        <v>-4.1029239998115308E-2</v>
      </c>
      <c r="M266">
        <v>1.3782761023585926E-2</v>
      </c>
      <c r="N266">
        <v>-6.1022598940108971E-3</v>
      </c>
      <c r="O266">
        <v>-3.2248982638518634E-3</v>
      </c>
      <c r="P266">
        <v>3.7174877061071454E-5</v>
      </c>
      <c r="Q266">
        <v>-1.6459021597077736E-5</v>
      </c>
      <c r="R266">
        <v>-8.6981988796004446E-6</v>
      </c>
    </row>
    <row r="267" spans="1:18">
      <c r="A267" t="s">
        <v>71</v>
      </c>
      <c r="B267">
        <v>2017</v>
      </c>
      <c r="C267">
        <v>-2.6408418259841211</v>
      </c>
      <c r="D267">
        <v>0.29308600755878539</v>
      </c>
      <c r="E267">
        <v>-53.39</v>
      </c>
      <c r="F267">
        <v>30.79</v>
      </c>
      <c r="G267">
        <v>-18.84</v>
      </c>
      <c r="H267">
        <v>0.19739999999999999</v>
      </c>
      <c r="I267">
        <v>0.19569999999999996</v>
      </c>
      <c r="J267">
        <v>-3.3133296511663989E-2</v>
      </c>
      <c r="K267">
        <v>1.9107964030607497E-2</v>
      </c>
      <c r="L267">
        <v>-1.1691914333765678E-2</v>
      </c>
      <c r="M267">
        <v>-6.5405127314024708E-3</v>
      </c>
      <c r="N267">
        <v>3.7719120996419198E-3</v>
      </c>
      <c r="O267">
        <v>-2.3079838894853448E-3</v>
      </c>
      <c r="P267">
        <v>-6.4841861273326412E-3</v>
      </c>
      <c r="Q267">
        <v>3.7394285607898863E-3</v>
      </c>
      <c r="R267">
        <v>-2.2881076351179428E-3</v>
      </c>
    </row>
    <row r="268" spans="1:18">
      <c r="A268" t="s">
        <v>71</v>
      </c>
      <c r="B268">
        <v>2018</v>
      </c>
      <c r="C268">
        <v>-1.9244431020961486</v>
      </c>
      <c r="D268">
        <v>0.41832259171483416</v>
      </c>
      <c r="E268">
        <v>-14.6</v>
      </c>
      <c r="F268">
        <v>-65.33</v>
      </c>
      <c r="G268">
        <v>-36.450000000000003</v>
      </c>
      <c r="H268">
        <v>0.17799999999999999</v>
      </c>
      <c r="I268">
        <v>0.19629999999999995</v>
      </c>
      <c r="J268">
        <v>-7.8283342805975271E-3</v>
      </c>
      <c r="K268">
        <v>-3.5029114969276472E-2</v>
      </c>
      <c r="L268">
        <v>-1.9544026337519171E-2</v>
      </c>
      <c r="M268">
        <v>-1.3934435019463598E-3</v>
      </c>
      <c r="N268">
        <v>-6.2351824645312118E-3</v>
      </c>
      <c r="O268">
        <v>-3.4788366880784123E-3</v>
      </c>
      <c r="P268">
        <v>-1.5367020192812943E-3</v>
      </c>
      <c r="Q268">
        <v>-6.8762152684689699E-3</v>
      </c>
      <c r="R268">
        <v>-3.8364923700550122E-3</v>
      </c>
    </row>
    <row r="269" spans="1:18">
      <c r="A269" t="s">
        <v>71</v>
      </c>
      <c r="B269">
        <v>2019</v>
      </c>
      <c r="C269">
        <v>-2.3003083380701961</v>
      </c>
      <c r="D269">
        <v>0.35257383292056138</v>
      </c>
      <c r="E269">
        <v>21.74</v>
      </c>
      <c r="F269">
        <v>229.12</v>
      </c>
      <c r="G269">
        <v>-266.13</v>
      </c>
      <c r="H269">
        <v>2.7699999999999999E-2</v>
      </c>
      <c r="I269">
        <v>0.19629999999999995</v>
      </c>
      <c r="J269">
        <v>1.4473649170461504E-2</v>
      </c>
      <c r="K269">
        <v>0.15253921333652901</v>
      </c>
      <c r="L269">
        <v>-0.17717903651034594</v>
      </c>
      <c r="M269">
        <v>4.0092008202178366E-4</v>
      </c>
      <c r="N269">
        <v>4.2253362094218537E-3</v>
      </c>
      <c r="O269">
        <v>-4.907859311336582E-3</v>
      </c>
      <c r="P269">
        <v>2.8411773321615924E-3</v>
      </c>
      <c r="Q269">
        <v>2.9943447577960636E-2</v>
      </c>
      <c r="R269">
        <v>-3.4780244866980899E-2</v>
      </c>
    </row>
    <row r="270" spans="1:18">
      <c r="A270" t="s">
        <v>71</v>
      </c>
      <c r="B270">
        <v>2020</v>
      </c>
      <c r="C270">
        <v>-2.3415749651612261</v>
      </c>
      <c r="D270">
        <v>0.34509275352037738</v>
      </c>
      <c r="E270">
        <v>48.92</v>
      </c>
      <c r="F270">
        <v>-58.55</v>
      </c>
      <c r="G270">
        <v>-27.92</v>
      </c>
      <c r="H270">
        <v>2.6599999999999999E-2</v>
      </c>
      <c r="I270">
        <v>0.19629999999999995</v>
      </c>
      <c r="J270">
        <v>3.4703649842159401E-2</v>
      </c>
      <c r="K270">
        <v>-4.153513283439151E-2</v>
      </c>
      <c r="L270">
        <v>-1.9806334905827689E-2</v>
      </c>
      <c r="M270">
        <v>9.2311708580144005E-4</v>
      </c>
      <c r="N270">
        <v>-1.1048345333948141E-3</v>
      </c>
      <c r="O270">
        <v>-5.268485084950165E-4</v>
      </c>
      <c r="P270">
        <v>6.8123264640158887E-3</v>
      </c>
      <c r="Q270">
        <v>-8.1533465753910513E-3</v>
      </c>
      <c r="R270">
        <v>-3.8879835420139743E-3</v>
      </c>
    </row>
    <row r="271" spans="1:18">
      <c r="A271" t="s">
        <v>71</v>
      </c>
      <c r="B271">
        <v>2021</v>
      </c>
      <c r="C271">
        <v>-2.4263442595587406</v>
      </c>
      <c r="D271">
        <v>0.33026273800659506</v>
      </c>
      <c r="E271">
        <v>-35.979999999999997</v>
      </c>
      <c r="F271">
        <v>-47.5</v>
      </c>
      <c r="G271">
        <v>27.07</v>
      </c>
      <c r="H271">
        <v>2.6599999999999999E-2</v>
      </c>
      <c r="I271">
        <v>0.19629999999999995</v>
      </c>
      <c r="J271">
        <v>-2.551501613303549E-2</v>
      </c>
      <c r="K271">
        <v>-3.3684359819877316E-2</v>
      </c>
      <c r="L271">
        <v>1.9196539375243769E-2</v>
      </c>
      <c r="M271">
        <v>-6.7869942913874402E-4</v>
      </c>
      <c r="N271">
        <v>-8.9600397120873651E-4</v>
      </c>
      <c r="O271">
        <v>5.1062794738148418E-4</v>
      </c>
      <c r="P271">
        <v>-5.0085976669148654E-3</v>
      </c>
      <c r="Q271">
        <v>-6.6122398326419153E-3</v>
      </c>
      <c r="R271">
        <v>3.7682806793603507E-3</v>
      </c>
    </row>
    <row r="272" spans="1:18">
      <c r="A272" t="s">
        <v>72</v>
      </c>
      <c r="B272">
        <v>2017</v>
      </c>
      <c r="C272">
        <v>-1.9868950893994117</v>
      </c>
      <c r="D272">
        <v>0.45360750954618495</v>
      </c>
      <c r="E272">
        <v>533.24</v>
      </c>
      <c r="F272">
        <v>-332.19</v>
      </c>
      <c r="G272">
        <v>-184.62</v>
      </c>
      <c r="H272">
        <v>0.2472</v>
      </c>
      <c r="I272">
        <v>6.502E-3</v>
      </c>
      <c r="J272">
        <v>0.19083065228983184</v>
      </c>
      <c r="K272">
        <v>-0.11888086862230747</v>
      </c>
      <c r="L272">
        <v>-6.606997791941481E-2</v>
      </c>
      <c r="M272">
        <v>4.7173337246046429E-2</v>
      </c>
      <c r="N272">
        <v>-2.9387350723434406E-2</v>
      </c>
      <c r="O272">
        <v>-1.6332498541679341E-2</v>
      </c>
      <c r="P272">
        <v>1.2407809011884866E-3</v>
      </c>
      <c r="Q272">
        <v>-7.7296340778224319E-4</v>
      </c>
      <c r="R272">
        <v>-4.2958699643203511E-4</v>
      </c>
    </row>
    <row r="273" spans="1:18">
      <c r="A273" t="s">
        <v>72</v>
      </c>
      <c r="B273">
        <v>2018</v>
      </c>
      <c r="C273">
        <v>-1.8975891877464226</v>
      </c>
      <c r="D273">
        <v>0.46158191093145995</v>
      </c>
      <c r="E273">
        <v>226.31</v>
      </c>
      <c r="F273">
        <v>-131.56</v>
      </c>
      <c r="G273">
        <v>-110.93</v>
      </c>
      <c r="H273">
        <v>0.2402</v>
      </c>
      <c r="I273">
        <v>6.301000000000001E-3</v>
      </c>
      <c r="J273">
        <v>7.9893386051930165E-2</v>
      </c>
      <c r="K273">
        <v>-4.6444142410816729E-2</v>
      </c>
      <c r="L273">
        <v>-3.9161209468165856E-2</v>
      </c>
      <c r="M273">
        <v>1.9190391329673626E-2</v>
      </c>
      <c r="N273">
        <v>-1.1155883007078178E-2</v>
      </c>
      <c r="O273">
        <v>-9.4065225142534389E-3</v>
      </c>
      <c r="P273">
        <v>5.0340822551321206E-4</v>
      </c>
      <c r="Q273">
        <v>-2.9264454133055628E-4</v>
      </c>
      <c r="R273">
        <v>-2.4675478085891308E-4</v>
      </c>
    </row>
    <row r="274" spans="1:18">
      <c r="A274" t="s">
        <v>72</v>
      </c>
      <c r="B274">
        <v>2019</v>
      </c>
      <c r="C274">
        <v>-2.4572045910995013</v>
      </c>
      <c r="D274">
        <v>0.39737028667641455</v>
      </c>
      <c r="E274">
        <v>405.98</v>
      </c>
      <c r="F274">
        <v>-13.97</v>
      </c>
      <c r="G274">
        <v>-397.18</v>
      </c>
      <c r="H274">
        <v>0.2402</v>
      </c>
      <c r="I274">
        <v>3.8820000000000005E-3</v>
      </c>
      <c r="J274">
        <v>0.14990325963342047</v>
      </c>
      <c r="K274">
        <v>-5.1582554241068126E-3</v>
      </c>
      <c r="L274">
        <v>-0.14665396487807758</v>
      </c>
      <c r="M274">
        <v>3.6006762963947593E-2</v>
      </c>
      <c r="N274">
        <v>-1.2390129528704564E-3</v>
      </c>
      <c r="O274">
        <v>-3.5226282363714237E-2</v>
      </c>
      <c r="P274">
        <v>5.8192445389693831E-4</v>
      </c>
      <c r="Q274">
        <v>-2.0024347556382651E-5</v>
      </c>
      <c r="R274">
        <v>-5.6931069165669726E-4</v>
      </c>
    </row>
    <row r="275" spans="1:18">
      <c r="A275" t="s">
        <v>72</v>
      </c>
      <c r="B275">
        <v>2020</v>
      </c>
      <c r="C275">
        <v>-3.038281111001977</v>
      </c>
      <c r="D275">
        <v>0.30584479431935524</v>
      </c>
      <c r="E275">
        <v>852.99</v>
      </c>
      <c r="F275">
        <v>-155.47</v>
      </c>
      <c r="G275">
        <v>-554.41999999999996</v>
      </c>
      <c r="H275">
        <v>0.1827</v>
      </c>
      <c r="I275">
        <v>1.7800000000000005E-3</v>
      </c>
      <c r="J275">
        <v>0.35092215854626835</v>
      </c>
      <c r="K275">
        <v>-6.3960735752105355E-2</v>
      </c>
      <c r="L275">
        <v>-0.22808973509797548</v>
      </c>
      <c r="M275">
        <v>6.4113478366403229E-2</v>
      </c>
      <c r="N275">
        <v>-1.1685626421909649E-2</v>
      </c>
      <c r="O275">
        <v>-4.167199460240012E-2</v>
      </c>
      <c r="P275">
        <v>6.2464144221235788E-4</v>
      </c>
      <c r="Q275">
        <v>-1.1385010963874757E-4</v>
      </c>
      <c r="R275">
        <v>-4.0599972847439646E-4</v>
      </c>
    </row>
    <row r="276" spans="1:18">
      <c r="A276" t="s">
        <v>72</v>
      </c>
      <c r="B276">
        <v>2021</v>
      </c>
      <c r="C276">
        <v>-2.2479129562975491</v>
      </c>
      <c r="D276">
        <v>0.43432272301128211</v>
      </c>
      <c r="E276">
        <v>-67.81</v>
      </c>
      <c r="F276">
        <v>-173.45</v>
      </c>
      <c r="G276">
        <v>141.84</v>
      </c>
      <c r="H276">
        <v>6.6100000000000006E-2</v>
      </c>
      <c r="I276">
        <v>2.1800000000000001E-3</v>
      </c>
      <c r="J276">
        <v>-2.1623500449625951E-2</v>
      </c>
      <c r="K276">
        <v>-5.531036945859933E-2</v>
      </c>
      <c r="L276">
        <v>4.5230457215380396E-2</v>
      </c>
      <c r="M276">
        <v>-1.4293133797202756E-3</v>
      </c>
      <c r="N276">
        <v>-3.656015421213416E-3</v>
      </c>
      <c r="O276">
        <v>2.9897332219366445E-3</v>
      </c>
      <c r="P276">
        <v>-4.7139230980184575E-5</v>
      </c>
      <c r="Q276">
        <v>-1.2057660541974654E-4</v>
      </c>
      <c r="R276">
        <v>9.8602396729529263E-5</v>
      </c>
    </row>
    <row r="277" spans="1:18">
      <c r="A277" t="s">
        <v>73</v>
      </c>
      <c r="B277">
        <v>2017</v>
      </c>
      <c r="C277">
        <v>-2.5185611766978782</v>
      </c>
      <c r="D277">
        <v>0.36435855749334911</v>
      </c>
      <c r="E277">
        <v>23.84</v>
      </c>
      <c r="F277">
        <v>29.82</v>
      </c>
      <c r="G277">
        <v>-27.89</v>
      </c>
      <c r="H277">
        <v>0</v>
      </c>
      <c r="I277">
        <v>0</v>
      </c>
      <c r="J277">
        <v>2.2021874076263673E-2</v>
      </c>
      <c r="K277">
        <v>2.7545817321903636E-2</v>
      </c>
      <c r="L277">
        <v>-2.576300620750813E-2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t="s">
        <v>73</v>
      </c>
      <c r="B278">
        <v>2018</v>
      </c>
      <c r="C278">
        <v>-0.75015993131890679</v>
      </c>
      <c r="D278">
        <v>0.64747078871607222</v>
      </c>
      <c r="E278">
        <v>250.5</v>
      </c>
      <c r="F278">
        <v>-559.42999999999995</v>
      </c>
      <c r="G278">
        <v>312.37</v>
      </c>
      <c r="H278">
        <v>0</v>
      </c>
      <c r="I278">
        <v>1.3999999999999999E-2</v>
      </c>
      <c r="J278">
        <v>0.11429014641001191</v>
      </c>
      <c r="K278">
        <v>-0.25523886868723733</v>
      </c>
      <c r="L278">
        <v>0.14251821570497175</v>
      </c>
      <c r="M278">
        <v>0</v>
      </c>
      <c r="N278">
        <v>0</v>
      </c>
      <c r="O278">
        <v>0</v>
      </c>
      <c r="P278">
        <v>1.6000620497401666E-3</v>
      </c>
      <c r="Q278">
        <v>-3.5733441616213222E-3</v>
      </c>
      <c r="R278">
        <v>1.9952550198696043E-3</v>
      </c>
    </row>
    <row r="279" spans="1:18">
      <c r="A279" t="s">
        <v>73</v>
      </c>
      <c r="B279">
        <v>2019</v>
      </c>
      <c r="C279">
        <v>-0.68162563658587016</v>
      </c>
      <c r="D279">
        <v>0.65397604764852801</v>
      </c>
      <c r="E279">
        <v>269.07</v>
      </c>
      <c r="F279">
        <v>-0.17</v>
      </c>
      <c r="G279">
        <v>-269.7</v>
      </c>
      <c r="H279">
        <v>0</v>
      </c>
      <c r="I279">
        <v>2.6199999999999998E-2</v>
      </c>
      <c r="J279">
        <v>0.11488162585658475</v>
      </c>
      <c r="K279">
        <v>-7.2582883248297503E-5</v>
      </c>
      <c r="L279">
        <v>-0.11515060948274021</v>
      </c>
      <c r="M279">
        <v>0</v>
      </c>
      <c r="N279">
        <v>0</v>
      </c>
      <c r="O279">
        <v>0</v>
      </c>
      <c r="P279">
        <v>3.0098985974425199E-3</v>
      </c>
      <c r="Q279">
        <v>-1.9016715411053943E-6</v>
      </c>
      <c r="R279">
        <v>-3.0169459684477934E-3</v>
      </c>
    </row>
    <row r="280" spans="1:18">
      <c r="A280" t="s">
        <v>73</v>
      </c>
      <c r="B280">
        <v>2020</v>
      </c>
      <c r="C280">
        <v>-0.63639861853592683</v>
      </c>
      <c r="D280">
        <v>0.65958756786579553</v>
      </c>
      <c r="E280">
        <v>-125.48</v>
      </c>
      <c r="F280">
        <v>-95.38</v>
      </c>
      <c r="G280">
        <v>237.09</v>
      </c>
      <c r="H280">
        <v>0.12</v>
      </c>
      <c r="I280">
        <v>3.3799999999999997E-2</v>
      </c>
      <c r="J280">
        <v>-5.0166715975148525E-2</v>
      </c>
      <c r="K280">
        <v>-3.8132781078336515E-2</v>
      </c>
      <c r="L280">
        <v>9.4788226733726194E-2</v>
      </c>
      <c r="M280">
        <v>-6.0200059170178229E-3</v>
      </c>
      <c r="N280">
        <v>-4.575933729400382E-3</v>
      </c>
      <c r="O280">
        <v>1.1374587208047142E-2</v>
      </c>
      <c r="P280">
        <v>-1.6956349999600201E-3</v>
      </c>
      <c r="Q280">
        <v>-1.2888880004477742E-3</v>
      </c>
      <c r="R280">
        <v>3.2038420635999449E-3</v>
      </c>
    </row>
    <row r="281" spans="1:18">
      <c r="A281" t="s">
        <v>73</v>
      </c>
      <c r="B281">
        <v>2021</v>
      </c>
      <c r="C281">
        <v>-0.42184874432145675</v>
      </c>
      <c r="D281">
        <v>0.68487273127672454</v>
      </c>
      <c r="E281">
        <v>-2.6</v>
      </c>
      <c r="F281">
        <v>-32.869999999999997</v>
      </c>
      <c r="G281">
        <v>31.58</v>
      </c>
      <c r="H281">
        <v>1.3300000000000001E-2</v>
      </c>
      <c r="I281">
        <v>3.3799999999999997E-2</v>
      </c>
      <c r="J281">
        <v>-9.5428602888550395E-4</v>
      </c>
      <c r="K281">
        <v>-1.2064377603640966E-2</v>
      </c>
      <c r="L281">
        <v>1.1590904920078544E-2</v>
      </c>
      <c r="M281">
        <v>-1.2692004184177203E-5</v>
      </c>
      <c r="N281">
        <v>-1.6045622212842488E-4</v>
      </c>
      <c r="O281">
        <v>1.5415903543704464E-4</v>
      </c>
      <c r="P281">
        <v>-3.2254867776330028E-5</v>
      </c>
      <c r="Q281">
        <v>-4.0777596300306464E-4</v>
      </c>
      <c r="R281">
        <v>3.9177258629865473E-4</v>
      </c>
    </row>
    <row r="282" spans="1:18">
      <c r="A282" t="s">
        <v>74</v>
      </c>
      <c r="B282">
        <v>2017</v>
      </c>
      <c r="C282">
        <v>-5.7434405149771868</v>
      </c>
      <c r="D282">
        <v>8.1359692046714949E-2</v>
      </c>
      <c r="E282">
        <v>66.59</v>
      </c>
      <c r="F282">
        <v>2.16</v>
      </c>
      <c r="G282">
        <v>-48.46</v>
      </c>
      <c r="H282">
        <v>7.4999999999999997E-3</v>
      </c>
      <c r="I282">
        <v>1.2000000000000002E-2</v>
      </c>
      <c r="J282">
        <v>0.4344620604162589</v>
      </c>
      <c r="K282">
        <v>1.4092777451556078E-2</v>
      </c>
      <c r="L282">
        <v>-0.31617407189926272</v>
      </c>
      <c r="M282">
        <v>3.2584654531219418E-3</v>
      </c>
      <c r="N282">
        <v>1.0569583088667058E-4</v>
      </c>
      <c r="O282">
        <v>-2.3713055392444705E-3</v>
      </c>
      <c r="P282">
        <v>5.2135447249951079E-3</v>
      </c>
      <c r="Q282">
        <v>1.6911332941867295E-4</v>
      </c>
      <c r="R282">
        <v>-3.7940888627911533E-3</v>
      </c>
    </row>
    <row r="283" spans="1:18">
      <c r="A283" t="s">
        <v>74</v>
      </c>
      <c r="B283">
        <v>2018</v>
      </c>
      <c r="C283">
        <v>-5.6659727650594238</v>
      </c>
      <c r="D283">
        <v>6.591639871382636E-2</v>
      </c>
      <c r="E283">
        <v>43.46</v>
      </c>
      <c r="F283">
        <v>3.3</v>
      </c>
      <c r="G283">
        <v>-61.75</v>
      </c>
      <c r="H283">
        <v>6.7999999999999996E-3</v>
      </c>
      <c r="I283">
        <v>0.23599999999999999</v>
      </c>
      <c r="J283">
        <v>0.31759719380298157</v>
      </c>
      <c r="K283">
        <v>2.4115755627009645E-2</v>
      </c>
      <c r="L283">
        <v>-0.45125694241449865</v>
      </c>
      <c r="M283">
        <v>2.1596609178602746E-3</v>
      </c>
      <c r="N283">
        <v>1.6398713826366559E-4</v>
      </c>
      <c r="O283">
        <v>-3.0685472084185906E-3</v>
      </c>
      <c r="P283">
        <v>7.4952937737503653E-2</v>
      </c>
      <c r="Q283">
        <v>5.6913183279742761E-3</v>
      </c>
      <c r="R283">
        <v>-0.10649663840982168</v>
      </c>
    </row>
    <row r="284" spans="1:18">
      <c r="A284" t="s">
        <v>74</v>
      </c>
      <c r="B284">
        <v>2019</v>
      </c>
      <c r="C284">
        <v>-5.016162136296221</v>
      </c>
      <c r="D284">
        <v>0.19967675580370262</v>
      </c>
      <c r="E284">
        <v>53.82</v>
      </c>
      <c r="F284">
        <v>-11.82</v>
      </c>
      <c r="G284">
        <v>-52.25</v>
      </c>
      <c r="H284">
        <v>7.2300000000000003E-3</v>
      </c>
      <c r="I284">
        <v>3.3400000000000006E-2</v>
      </c>
      <c r="J284">
        <v>0.39538642374375549</v>
      </c>
      <c r="K284">
        <v>-8.6835145459888338E-2</v>
      </c>
      <c r="L284">
        <v>-0.38385248310314429</v>
      </c>
      <c r="M284">
        <v>2.8586438436673522E-3</v>
      </c>
      <c r="N284">
        <v>-6.2781810167499268E-4</v>
      </c>
      <c r="O284">
        <v>-2.7752534528357334E-3</v>
      </c>
      <c r="P284">
        <v>1.3205906553041435E-2</v>
      </c>
      <c r="Q284">
        <v>-2.9002938583602709E-3</v>
      </c>
      <c r="R284">
        <v>-1.2820672935645022E-2</v>
      </c>
    </row>
    <row r="285" spans="1:18">
      <c r="A285" t="s">
        <v>74</v>
      </c>
      <c r="B285">
        <v>2020</v>
      </c>
      <c r="C285">
        <v>-5.7033802411809544</v>
      </c>
      <c r="D285">
        <v>7.6547231270358299E-2</v>
      </c>
      <c r="E285">
        <v>55.14</v>
      </c>
      <c r="F285">
        <v>-4.9000000000000004</v>
      </c>
      <c r="G285">
        <v>-47.5</v>
      </c>
      <c r="H285">
        <v>1.0200000000000001E-2</v>
      </c>
      <c r="I285">
        <v>3.6000000000000004E-2</v>
      </c>
      <c r="J285">
        <v>0.37418566775244294</v>
      </c>
      <c r="K285">
        <v>-3.3251900108577634E-2</v>
      </c>
      <c r="L285">
        <v>-0.32233984799131377</v>
      </c>
      <c r="M285">
        <v>3.8166938110749181E-3</v>
      </c>
      <c r="N285">
        <v>-3.3916938110749187E-4</v>
      </c>
      <c r="O285">
        <v>-3.2878664495114007E-3</v>
      </c>
      <c r="P285">
        <v>1.3470684039087948E-2</v>
      </c>
      <c r="Q285">
        <v>-1.197068403908795E-3</v>
      </c>
      <c r="R285">
        <v>-1.1604234527687296E-2</v>
      </c>
    </row>
    <row r="286" spans="1:18">
      <c r="A286" t="s">
        <v>74</v>
      </c>
      <c r="B286">
        <v>2021</v>
      </c>
      <c r="C286">
        <v>-5.6892455459901479</v>
      </c>
      <c r="D286">
        <v>9.1563938808851927E-2</v>
      </c>
      <c r="E286">
        <v>53.39</v>
      </c>
      <c r="F286">
        <v>-43.82</v>
      </c>
      <c r="G286">
        <v>-66.260000000000005</v>
      </c>
      <c r="H286">
        <v>1.6500000000000001E-2</v>
      </c>
      <c r="I286">
        <v>3.6500000000000005E-2</v>
      </c>
      <c r="J286">
        <v>0.39648002376355268</v>
      </c>
      <c r="K286">
        <v>-0.3254121491162929</v>
      </c>
      <c r="L286">
        <v>-0.49205406208228136</v>
      </c>
      <c r="M286">
        <v>6.5419203920986197E-3</v>
      </c>
      <c r="N286">
        <v>-5.3693004604188329E-3</v>
      </c>
      <c r="O286">
        <v>-8.1188920243576435E-3</v>
      </c>
      <c r="P286">
        <v>1.4471520867369674E-2</v>
      </c>
      <c r="Q286">
        <v>-1.1877543442744692E-2</v>
      </c>
      <c r="R286">
        <v>-1.7959973266003272E-2</v>
      </c>
    </row>
    <row r="287" spans="1:18">
      <c r="A287" t="s">
        <v>75</v>
      </c>
      <c r="B287">
        <v>2017</v>
      </c>
      <c r="C287">
        <v>-5.7613055860580848</v>
      </c>
      <c r="D287">
        <v>4.528814117066348E-2</v>
      </c>
      <c r="E287">
        <v>70.989999999999995</v>
      </c>
      <c r="F287">
        <v>41.54</v>
      </c>
      <c r="G287">
        <v>-59.02</v>
      </c>
      <c r="H287">
        <v>0.18129999999999999</v>
      </c>
      <c r="I287">
        <v>4.2200000000000007E-3</v>
      </c>
      <c r="J287">
        <v>0.29200773312492284</v>
      </c>
      <c r="K287">
        <v>0.17086915388095922</v>
      </c>
      <c r="L287">
        <v>-0.24277076220640861</v>
      </c>
      <c r="M287">
        <v>5.2941002015548508E-2</v>
      </c>
      <c r="N287">
        <v>3.0978577598617905E-2</v>
      </c>
      <c r="O287">
        <v>-4.4014339188021882E-2</v>
      </c>
      <c r="P287">
        <v>1.2322726337871746E-3</v>
      </c>
      <c r="Q287">
        <v>7.2106782937764798E-4</v>
      </c>
      <c r="R287">
        <v>-1.0244926165110446E-3</v>
      </c>
    </row>
    <row r="288" spans="1:18">
      <c r="A288" t="s">
        <v>75</v>
      </c>
      <c r="B288">
        <v>2018</v>
      </c>
      <c r="C288">
        <v>-5.5967425825773987</v>
      </c>
      <c r="D288">
        <v>6.8987725412941361E-2</v>
      </c>
      <c r="E288">
        <v>75.06</v>
      </c>
      <c r="F288">
        <v>12.3</v>
      </c>
      <c r="G288">
        <v>-65.95</v>
      </c>
      <c r="H288">
        <v>0.21049999999999999</v>
      </c>
      <c r="I288">
        <v>4.2200000000000007E-3</v>
      </c>
      <c r="J288">
        <v>0.28436126685861496</v>
      </c>
      <c r="K288">
        <v>4.6597969389301414E-2</v>
      </c>
      <c r="L288">
        <v>-0.2498484618881649</v>
      </c>
      <c r="M288">
        <v>5.9858046673738445E-2</v>
      </c>
      <c r="N288">
        <v>9.8088725564479465E-3</v>
      </c>
      <c r="O288">
        <v>-5.2593101227458708E-2</v>
      </c>
      <c r="P288">
        <v>1.2000045461433553E-3</v>
      </c>
      <c r="Q288">
        <v>1.9664343082285198E-4</v>
      </c>
      <c r="R288">
        <v>-1.0543605091680561E-3</v>
      </c>
    </row>
    <row r="289" spans="1:18">
      <c r="A289" t="s">
        <v>75</v>
      </c>
      <c r="B289">
        <v>2019</v>
      </c>
      <c r="C289">
        <v>-5.3144339258476396</v>
      </c>
      <c r="D289">
        <v>0.10122088178821144</v>
      </c>
      <c r="E289">
        <v>72.31</v>
      </c>
      <c r="F289">
        <v>-25.98</v>
      </c>
      <c r="G289">
        <v>-76.59</v>
      </c>
      <c r="H289">
        <v>0.21529999999999999</v>
      </c>
      <c r="I289">
        <v>4.2300000000000003E-3</v>
      </c>
      <c r="J289">
        <v>0.26196427924500965</v>
      </c>
      <c r="K289">
        <v>-9.4120204325616796E-2</v>
      </c>
      <c r="L289">
        <v>-0.27746984023475713</v>
      </c>
      <c r="M289">
        <v>5.6400909321450574E-2</v>
      </c>
      <c r="N289">
        <v>-2.0264079991305296E-2</v>
      </c>
      <c r="O289">
        <v>-5.9739256602543207E-2</v>
      </c>
      <c r="P289">
        <v>1.1081089012063908E-3</v>
      </c>
      <c r="Q289">
        <v>-3.9812846429735906E-4</v>
      </c>
      <c r="R289">
        <v>-1.1736974241930227E-3</v>
      </c>
    </row>
    <row r="290" spans="1:18">
      <c r="A290" t="s">
        <v>75</v>
      </c>
      <c r="B290">
        <v>2020</v>
      </c>
      <c r="C290">
        <v>-4.7216055631174152</v>
      </c>
      <c r="D290">
        <v>8.0768887699580766E-2</v>
      </c>
      <c r="E290">
        <v>-11.42</v>
      </c>
      <c r="F290">
        <v>21.71</v>
      </c>
      <c r="G290">
        <v>-67.260000000000005</v>
      </c>
      <c r="H290">
        <v>0.1968</v>
      </c>
      <c r="I290">
        <v>4.2300000000000003E-3</v>
      </c>
      <c r="J290">
        <v>-5.0932120239050929E-2</v>
      </c>
      <c r="K290">
        <v>9.6824547319596832E-2</v>
      </c>
      <c r="L290">
        <v>-0.29997324056730001</v>
      </c>
      <c r="M290">
        <v>-1.0023441263045224E-2</v>
      </c>
      <c r="N290">
        <v>1.9055070912496658E-2</v>
      </c>
      <c r="O290">
        <v>-5.9034733743644645E-2</v>
      </c>
      <c r="P290">
        <v>-2.1544286861118543E-4</v>
      </c>
      <c r="Q290">
        <v>4.0956783516189461E-4</v>
      </c>
      <c r="R290">
        <v>-1.2688868075996791E-3</v>
      </c>
    </row>
    <row r="291" spans="1:18">
      <c r="A291" t="s">
        <v>75</v>
      </c>
      <c r="B291">
        <v>2021</v>
      </c>
      <c r="C291">
        <v>-4.3822714935066358</v>
      </c>
      <c r="D291">
        <v>8.8436052015345518E-2</v>
      </c>
      <c r="E291">
        <v>14.49</v>
      </c>
      <c r="F291">
        <v>55.24</v>
      </c>
      <c r="G291">
        <v>-35.03</v>
      </c>
      <c r="H291">
        <v>0.21640000000000001</v>
      </c>
      <c r="I291">
        <v>4.2300000000000003E-3</v>
      </c>
      <c r="J291">
        <v>7.2193712321259526E-2</v>
      </c>
      <c r="K291">
        <v>0.27522295849733447</v>
      </c>
      <c r="L291">
        <v>-0.1745304170195805</v>
      </c>
      <c r="M291">
        <v>1.5622719346320563E-2</v>
      </c>
      <c r="N291">
        <v>5.9558248218823183E-2</v>
      </c>
      <c r="O291">
        <v>-3.7768382243037218E-2</v>
      </c>
      <c r="P291">
        <v>3.0537940311892782E-4</v>
      </c>
      <c r="Q291">
        <v>1.1641931144437249E-3</v>
      </c>
      <c r="R291">
        <v>-7.3826366399282553E-4</v>
      </c>
    </row>
    <row r="292" spans="1:18">
      <c r="A292" t="s">
        <v>76</v>
      </c>
      <c r="B292">
        <v>2017</v>
      </c>
      <c r="C292">
        <v>-1.4478404166435863</v>
      </c>
      <c r="D292">
        <v>0.51018095987411494</v>
      </c>
      <c r="E292">
        <v>-21.05</v>
      </c>
      <c r="F292">
        <v>4.37</v>
      </c>
      <c r="G292">
        <v>28.89</v>
      </c>
      <c r="H292">
        <v>2.3000000000000001E-4</v>
      </c>
      <c r="I292">
        <v>0.2515</v>
      </c>
      <c r="J292">
        <v>-6.6247049567269872E-2</v>
      </c>
      <c r="K292">
        <v>1.3752950432730135E-2</v>
      </c>
      <c r="L292">
        <v>9.0920535011801737E-2</v>
      </c>
      <c r="M292">
        <v>-1.5236821400472072E-5</v>
      </c>
      <c r="N292">
        <v>3.1631785995279311E-6</v>
      </c>
      <c r="O292">
        <v>2.0911723052714399E-5</v>
      </c>
      <c r="P292">
        <v>-1.6661132966168373E-2</v>
      </c>
      <c r="Q292">
        <v>3.4588670338316289E-3</v>
      </c>
      <c r="R292">
        <v>2.2866514555468138E-2</v>
      </c>
    </row>
    <row r="293" spans="1:18">
      <c r="A293" t="s">
        <v>76</v>
      </c>
      <c r="B293">
        <v>2018</v>
      </c>
      <c r="C293">
        <v>-1.2726223272978299</v>
      </c>
      <c r="D293">
        <v>0.53976855486060116</v>
      </c>
      <c r="E293">
        <v>-21.73</v>
      </c>
      <c r="F293">
        <v>0.16</v>
      </c>
      <c r="G293">
        <v>22.55</v>
      </c>
      <c r="H293">
        <v>1.9999999999999998E-4</v>
      </c>
      <c r="I293">
        <v>0.27750000000000002</v>
      </c>
      <c r="J293">
        <v>-5.5025195614190572E-2</v>
      </c>
      <c r="K293">
        <v>4.0515560507457392E-4</v>
      </c>
      <c r="L293">
        <v>5.7101618090197766E-2</v>
      </c>
      <c r="M293">
        <v>-1.1005039122838113E-5</v>
      </c>
      <c r="N293">
        <v>8.1031121014914776E-8</v>
      </c>
      <c r="O293">
        <v>1.1420323618039553E-5</v>
      </c>
      <c r="P293">
        <v>-1.5269491782937886E-2</v>
      </c>
      <c r="Q293">
        <v>1.1243068040819427E-4</v>
      </c>
      <c r="R293">
        <v>1.5845699020029882E-2</v>
      </c>
    </row>
    <row r="294" spans="1:18">
      <c r="A294" t="s">
        <v>76</v>
      </c>
      <c r="B294">
        <v>2019</v>
      </c>
      <c r="C294">
        <v>-0.97365930954263213</v>
      </c>
      <c r="D294">
        <v>0.59486085063269312</v>
      </c>
      <c r="E294">
        <v>-6.36</v>
      </c>
      <c r="F294">
        <v>0.91</v>
      </c>
      <c r="G294">
        <v>7.75</v>
      </c>
      <c r="H294">
        <v>1.1000000000000001E-3</v>
      </c>
      <c r="I294">
        <v>0.2571</v>
      </c>
      <c r="J294">
        <v>-1.3710146802043589E-2</v>
      </c>
      <c r="K294">
        <v>1.9616719480911424E-3</v>
      </c>
      <c r="L294">
        <v>1.6706546810666321E-2</v>
      </c>
      <c r="M294">
        <v>-1.5081161482247948E-5</v>
      </c>
      <c r="N294">
        <v>2.1578391429002569E-6</v>
      </c>
      <c r="O294">
        <v>1.8377201491732953E-5</v>
      </c>
      <c r="P294">
        <v>-3.5248787428054065E-3</v>
      </c>
      <c r="Q294">
        <v>5.0434585785423265E-4</v>
      </c>
      <c r="R294">
        <v>4.2952531850223115E-3</v>
      </c>
    </row>
    <row r="295" spans="1:18">
      <c r="A295" t="s">
        <v>76</v>
      </c>
      <c r="B295">
        <v>2020</v>
      </c>
      <c r="C295">
        <v>-0.53136789020266051</v>
      </c>
      <c r="D295">
        <v>0.65614369556278274</v>
      </c>
      <c r="E295">
        <v>33.43</v>
      </c>
      <c r="F295">
        <v>-8.1300000000000008</v>
      </c>
      <c r="G295">
        <v>4.04</v>
      </c>
      <c r="H295">
        <v>1E-3</v>
      </c>
      <c r="I295">
        <v>0.24079999999999999</v>
      </c>
      <c r="J295">
        <v>6.2483645471197342E-2</v>
      </c>
      <c r="K295">
        <v>-1.5195693618930136E-2</v>
      </c>
      <c r="L295">
        <v>7.5511195843146056E-3</v>
      </c>
      <c r="M295">
        <v>6.2483645471197343E-5</v>
      </c>
      <c r="N295">
        <v>-1.5195693618930136E-5</v>
      </c>
      <c r="O295">
        <v>7.5511195843146061E-6</v>
      </c>
      <c r="P295">
        <v>1.504606182946432E-2</v>
      </c>
      <c r="Q295">
        <v>-3.6591230234383765E-3</v>
      </c>
      <c r="R295">
        <v>1.8183095959029569E-3</v>
      </c>
    </row>
    <row r="296" spans="1:18">
      <c r="A296" t="s">
        <v>76</v>
      </c>
      <c r="B296">
        <v>2021</v>
      </c>
      <c r="C296">
        <v>-0.32349241894256159</v>
      </c>
      <c r="D296">
        <v>0.71003528497099444</v>
      </c>
      <c r="E296">
        <v>10.19</v>
      </c>
      <c r="F296">
        <v>-48.13</v>
      </c>
      <c r="G296">
        <v>32.99</v>
      </c>
      <c r="H296">
        <v>1.1999999999999999E-3</v>
      </c>
      <c r="I296">
        <v>0.24079999999999999</v>
      </c>
      <c r="J296">
        <v>1.5235332815023024E-2</v>
      </c>
      <c r="K296">
        <v>-7.1960409066443395E-2</v>
      </c>
      <c r="L296">
        <v>4.9324203097900844E-2</v>
      </c>
      <c r="M296">
        <v>1.8282399378027627E-5</v>
      </c>
      <c r="N296">
        <v>-8.6352490879732061E-5</v>
      </c>
      <c r="O296">
        <v>5.9189043717481009E-5</v>
      </c>
      <c r="P296">
        <v>3.6686681418575439E-3</v>
      </c>
      <c r="Q296">
        <v>-1.7328066503199568E-2</v>
      </c>
      <c r="R296">
        <v>1.1877268105974522E-2</v>
      </c>
    </row>
    <row r="297" spans="1:18">
      <c r="A297" t="s">
        <v>77</v>
      </c>
      <c r="B297">
        <v>2017</v>
      </c>
      <c r="C297">
        <v>-1.6937119607094819</v>
      </c>
      <c r="D297">
        <v>0.52362931055782957</v>
      </c>
      <c r="E297">
        <v>-33.76</v>
      </c>
      <c r="F297">
        <v>4.63</v>
      </c>
      <c r="G297">
        <v>-10.89</v>
      </c>
      <c r="H297">
        <v>2.0000000000000001E-4</v>
      </c>
      <c r="I297">
        <v>0.70519999999999994</v>
      </c>
      <c r="J297">
        <v>-1.3902501297182436E-2</v>
      </c>
      <c r="K297">
        <v>1.9066522809820699E-3</v>
      </c>
      <c r="L297">
        <v>-4.4845449978174389E-3</v>
      </c>
      <c r="M297">
        <v>-2.7805002594364872E-6</v>
      </c>
      <c r="N297">
        <v>3.8133045619641397E-7</v>
      </c>
      <c r="O297">
        <v>-8.9690899956348779E-7</v>
      </c>
      <c r="P297">
        <v>-9.8040439147730526E-3</v>
      </c>
      <c r="Q297">
        <v>1.3445711885485556E-3</v>
      </c>
      <c r="R297">
        <v>-3.1625011324608577E-3</v>
      </c>
    </row>
    <row r="298" spans="1:18">
      <c r="A298" t="s">
        <v>77</v>
      </c>
      <c r="B298">
        <v>2018</v>
      </c>
      <c r="C298">
        <v>-0.85610838745529039</v>
      </c>
      <c r="D298">
        <v>0.60021371377215416</v>
      </c>
      <c r="E298">
        <v>-245.2</v>
      </c>
      <c r="F298">
        <v>-138.66</v>
      </c>
      <c r="G298">
        <v>400.54</v>
      </c>
      <c r="H298">
        <v>2.0000000000000001E-4</v>
      </c>
      <c r="I298">
        <v>0.70519999999999994</v>
      </c>
      <c r="J298">
        <v>-8.6759299556650071E-2</v>
      </c>
      <c r="K298">
        <v>-4.9062171600836452E-2</v>
      </c>
      <c r="L298">
        <v>0.14172336804412977</v>
      </c>
      <c r="M298">
        <v>-1.7351859911330016E-5</v>
      </c>
      <c r="N298">
        <v>-9.812434320167291E-6</v>
      </c>
      <c r="O298">
        <v>2.8344673608825957E-5</v>
      </c>
      <c r="P298">
        <v>-6.1182658047349625E-2</v>
      </c>
      <c r="Q298">
        <v>-3.4598643412909864E-2</v>
      </c>
      <c r="R298">
        <v>9.9943319144720308E-2</v>
      </c>
    </row>
    <row r="299" spans="1:18">
      <c r="A299" t="s">
        <v>77</v>
      </c>
      <c r="B299">
        <v>2019</v>
      </c>
      <c r="C299">
        <v>-0.3972268017822137</v>
      </c>
      <c r="D299">
        <v>0.64580186011212226</v>
      </c>
      <c r="E299">
        <v>78.89</v>
      </c>
      <c r="F299">
        <v>-15.83</v>
      </c>
      <c r="G299">
        <v>-59.22</v>
      </c>
      <c r="H299">
        <v>2.0000000000000001E-4</v>
      </c>
      <c r="I299">
        <v>0.70519999999999994</v>
      </c>
      <c r="J299">
        <v>2.8241771617180618E-2</v>
      </c>
      <c r="K299">
        <v>-5.6669697642282822E-3</v>
      </c>
      <c r="L299">
        <v>-2.1200123148300623E-2</v>
      </c>
      <c r="M299">
        <v>5.6483543234361241E-6</v>
      </c>
      <c r="N299">
        <v>-1.1333939528456564E-6</v>
      </c>
      <c r="O299">
        <v>-4.2400246296601245E-6</v>
      </c>
      <c r="P299">
        <v>1.9916097344435769E-2</v>
      </c>
      <c r="Q299">
        <v>-3.9963470777337846E-3</v>
      </c>
      <c r="R299">
        <v>-1.4950326844181598E-2</v>
      </c>
    </row>
    <row r="300" spans="1:18">
      <c r="A300" t="s">
        <v>77</v>
      </c>
      <c r="B300">
        <v>2020</v>
      </c>
      <c r="C300">
        <v>-1.0158813478288571</v>
      </c>
      <c r="D300">
        <v>0.58392616012910459</v>
      </c>
      <c r="E300">
        <v>417.99</v>
      </c>
      <c r="F300">
        <v>-42.42</v>
      </c>
      <c r="G300">
        <v>-414.41</v>
      </c>
      <c r="H300">
        <v>1E-4</v>
      </c>
      <c r="I300">
        <v>0.64610000000000001</v>
      </c>
      <c r="J300">
        <v>0.17208032803082701</v>
      </c>
      <c r="K300">
        <v>-1.7463689358759017E-2</v>
      </c>
      <c r="L300">
        <v>-0.1706064947468959</v>
      </c>
      <c r="M300">
        <v>1.7208032803082701E-5</v>
      </c>
      <c r="N300">
        <v>-1.7463689358759017E-6</v>
      </c>
      <c r="O300">
        <v>-1.7060649474689591E-5</v>
      </c>
      <c r="P300">
        <v>0.11118109994071733</v>
      </c>
      <c r="Q300">
        <v>-1.12832896946942E-2</v>
      </c>
      <c r="R300">
        <v>-0.11022885625596944</v>
      </c>
    </row>
    <row r="301" spans="1:18">
      <c r="A301" t="s">
        <v>77</v>
      </c>
      <c r="B301">
        <v>2021</v>
      </c>
      <c r="C301">
        <v>-1.9540596219942823</v>
      </c>
      <c r="D301">
        <v>0.43606182147644607</v>
      </c>
      <c r="E301">
        <v>493.66</v>
      </c>
      <c r="F301">
        <v>-44.71</v>
      </c>
      <c r="G301">
        <v>-448.23</v>
      </c>
      <c r="H301">
        <v>1.8000000000000001E-4</v>
      </c>
      <c r="I301">
        <v>0.64610000000000001</v>
      </c>
      <c r="J301">
        <v>0.2615597365646376</v>
      </c>
      <c r="K301">
        <v>-2.3689048782167779E-2</v>
      </c>
      <c r="L301">
        <v>-0.23748920455448588</v>
      </c>
      <c r="M301">
        <v>4.708075258163477E-5</v>
      </c>
      <c r="N301">
        <v>-4.2640287807902004E-6</v>
      </c>
      <c r="O301">
        <v>-4.2748056819807463E-5</v>
      </c>
      <c r="P301">
        <v>0.16899374579441237</v>
      </c>
      <c r="Q301">
        <v>-1.5305494418158603E-2</v>
      </c>
      <c r="R301">
        <v>-0.15344177506265333</v>
      </c>
    </row>
    <row r="302" spans="1:18">
      <c r="A302" t="s">
        <v>78</v>
      </c>
      <c r="B302">
        <v>2017</v>
      </c>
      <c r="C302">
        <v>-3.040692299490833</v>
      </c>
      <c r="D302">
        <v>0.24318009598383428</v>
      </c>
      <c r="E302">
        <v>15.94</v>
      </c>
      <c r="F302">
        <v>-8.6999999999999993</v>
      </c>
      <c r="G302">
        <v>-7.25</v>
      </c>
      <c r="H302">
        <v>2.7000000000000001E-3</v>
      </c>
      <c r="I302">
        <v>0.29419999999999996</v>
      </c>
      <c r="J302">
        <v>0.10065673149785298</v>
      </c>
      <c r="K302">
        <v>-5.4938115685779228E-2</v>
      </c>
      <c r="L302">
        <v>-4.5781763071482691E-2</v>
      </c>
      <c r="M302">
        <v>2.7177317504420304E-4</v>
      </c>
      <c r="N302">
        <v>-1.4833291235160392E-4</v>
      </c>
      <c r="O302">
        <v>-1.2361076029300327E-4</v>
      </c>
      <c r="P302">
        <v>2.9613210406668342E-2</v>
      </c>
      <c r="Q302">
        <v>-1.6162793634756246E-2</v>
      </c>
      <c r="R302">
        <v>-1.3468994695630206E-2</v>
      </c>
    </row>
    <row r="303" spans="1:18">
      <c r="A303" t="s">
        <v>78</v>
      </c>
      <c r="B303">
        <v>2018</v>
      </c>
      <c r="C303">
        <v>-2.5955543229513349</v>
      </c>
      <c r="D303">
        <v>0.32270602151749</v>
      </c>
      <c r="E303">
        <v>-8.9499999999999993</v>
      </c>
      <c r="F303">
        <v>-2.44</v>
      </c>
      <c r="G303">
        <v>15.29</v>
      </c>
      <c r="H303">
        <v>2.7000000000000001E-3</v>
      </c>
      <c r="I303">
        <v>0.29419999999999996</v>
      </c>
      <c r="J303">
        <v>-5.0414014532755021E-2</v>
      </c>
      <c r="K303">
        <v>-1.374415591730975E-2</v>
      </c>
      <c r="L303">
        <v>8.6126288514617247E-2</v>
      </c>
      <c r="M303">
        <v>-1.3611783923843856E-4</v>
      </c>
      <c r="N303">
        <v>-3.7109220976736326E-5</v>
      </c>
      <c r="O303">
        <v>2.3254097898946658E-4</v>
      </c>
      <c r="P303">
        <v>-1.4831803075536526E-2</v>
      </c>
      <c r="Q303">
        <v>-4.0435306708725277E-3</v>
      </c>
      <c r="R303">
        <v>2.5338354081000391E-2</v>
      </c>
    </row>
    <row r="304" spans="1:18">
      <c r="A304" t="s">
        <v>78</v>
      </c>
      <c r="B304">
        <v>2019</v>
      </c>
      <c r="C304">
        <v>-2.9326691027904292</v>
      </c>
      <c r="D304">
        <v>0.27590090090090086</v>
      </c>
      <c r="E304">
        <v>31.69</v>
      </c>
      <c r="F304">
        <v>-5.48</v>
      </c>
      <c r="G304">
        <v>-15.87</v>
      </c>
      <c r="H304">
        <v>3.0000000000000001E-5</v>
      </c>
      <c r="I304">
        <v>0.29419999999999996</v>
      </c>
      <c r="J304">
        <v>0.18782598387861546</v>
      </c>
      <c r="K304">
        <v>-3.2479848269321959E-2</v>
      </c>
      <c r="L304">
        <v>-9.4061166429587478E-2</v>
      </c>
      <c r="M304">
        <v>5.634779516358464E-6</v>
      </c>
      <c r="N304">
        <v>-9.7439544807965873E-7</v>
      </c>
      <c r="O304">
        <v>-2.8218349928876246E-6</v>
      </c>
      <c r="P304">
        <v>5.5258404457088663E-2</v>
      </c>
      <c r="Q304">
        <v>-9.5555713608345191E-3</v>
      </c>
      <c r="R304">
        <v>-2.7672795163584632E-2</v>
      </c>
    </row>
    <row r="305" spans="1:18">
      <c r="A305" t="s">
        <v>78</v>
      </c>
      <c r="B305">
        <v>2020</v>
      </c>
      <c r="C305">
        <v>-3.0505394439769922</v>
      </c>
      <c r="D305">
        <v>0.26150466124339411</v>
      </c>
      <c r="E305">
        <v>34.24</v>
      </c>
      <c r="F305">
        <v>-3.68</v>
      </c>
      <c r="G305">
        <v>-9.43</v>
      </c>
      <c r="H305">
        <v>3.0000000000000001E-5</v>
      </c>
      <c r="I305">
        <v>0.26619999999999999</v>
      </c>
      <c r="J305">
        <v>0.20331334243809751</v>
      </c>
      <c r="K305">
        <v>-2.1851434000356273E-2</v>
      </c>
      <c r="L305">
        <v>-5.5994299625912951E-2</v>
      </c>
      <c r="M305">
        <v>6.0994002731429258E-6</v>
      </c>
      <c r="N305">
        <v>-6.5554302001068818E-7</v>
      </c>
      <c r="O305">
        <v>-1.6798289887773885E-6</v>
      </c>
      <c r="P305">
        <v>5.4122011757021554E-2</v>
      </c>
      <c r="Q305">
        <v>-5.8168517308948399E-3</v>
      </c>
      <c r="R305">
        <v>-1.4905682560418028E-2</v>
      </c>
    </row>
    <row r="306" spans="1:18">
      <c r="A306" t="s">
        <v>78</v>
      </c>
      <c r="B306">
        <v>2021</v>
      </c>
      <c r="C306">
        <v>-3.2587277394506384</v>
      </c>
      <c r="D306">
        <v>0.20240599526689454</v>
      </c>
      <c r="E306">
        <v>4.16</v>
      </c>
      <c r="F306">
        <v>-10.3</v>
      </c>
      <c r="G306">
        <v>-18.36</v>
      </c>
      <c r="H306">
        <v>1.8E-3</v>
      </c>
      <c r="I306">
        <v>0.27039999999999997</v>
      </c>
      <c r="J306">
        <v>2.7346831448856166E-2</v>
      </c>
      <c r="K306">
        <v>-6.7709702866158294E-2</v>
      </c>
      <c r="L306">
        <v>-0.12069418879831711</v>
      </c>
      <c r="M306">
        <v>4.9224296607941098E-5</v>
      </c>
      <c r="N306">
        <v>-1.2187746515908493E-4</v>
      </c>
      <c r="O306">
        <v>-2.1724953983697081E-4</v>
      </c>
      <c r="P306">
        <v>7.3945832237707065E-3</v>
      </c>
      <c r="Q306">
        <v>-1.8308703655009202E-2</v>
      </c>
      <c r="R306">
        <v>-3.2635708651064944E-2</v>
      </c>
    </row>
    <row r="307" spans="1:18">
      <c r="A307" t="s">
        <v>79</v>
      </c>
      <c r="B307">
        <v>2017</v>
      </c>
      <c r="C307">
        <v>-4.8803019910082037</v>
      </c>
      <c r="D307">
        <v>0.10908527640342965</v>
      </c>
      <c r="E307">
        <v>271.14999999999998</v>
      </c>
      <c r="F307">
        <v>-60.26</v>
      </c>
      <c r="G307">
        <v>-214.6</v>
      </c>
      <c r="H307">
        <v>0.15569999999999998</v>
      </c>
      <c r="I307">
        <v>2.9849999999999998E-3</v>
      </c>
      <c r="J307">
        <v>0.24706375456723978</v>
      </c>
      <c r="K307">
        <v>-5.4907106215090797E-2</v>
      </c>
      <c r="L307">
        <v>-0.19553708917621115</v>
      </c>
      <c r="M307">
        <v>3.8467826586119226E-2</v>
      </c>
      <c r="N307">
        <v>-8.5490364376896357E-3</v>
      </c>
      <c r="O307">
        <v>-3.0445124784736072E-2</v>
      </c>
      <c r="P307">
        <v>7.3748530738321065E-4</v>
      </c>
      <c r="Q307">
        <v>-1.6389771205204602E-4</v>
      </c>
      <c r="R307">
        <v>-5.8367821119099028E-4</v>
      </c>
    </row>
    <row r="308" spans="1:18">
      <c r="A308" t="s">
        <v>79</v>
      </c>
      <c r="B308">
        <v>2018</v>
      </c>
      <c r="C308">
        <v>-4.9396421619369848</v>
      </c>
      <c r="D308">
        <v>8.7171714576857545E-2</v>
      </c>
      <c r="E308">
        <v>277.98</v>
      </c>
      <c r="F308">
        <v>-4.7300000000000004</v>
      </c>
      <c r="G308">
        <v>-204.58</v>
      </c>
      <c r="H308">
        <v>0.14929999999999999</v>
      </c>
      <c r="I308">
        <v>2.9849999999999998E-3</v>
      </c>
      <c r="J308">
        <v>0.23803529683767055</v>
      </c>
      <c r="K308">
        <v>-4.0503164042095894E-3</v>
      </c>
      <c r="L308">
        <v>-0.17518260675966127</v>
      </c>
      <c r="M308">
        <v>3.5538669817864209E-2</v>
      </c>
      <c r="N308">
        <v>-6.0471223914849168E-4</v>
      </c>
      <c r="O308">
        <v>-2.6154763189217424E-2</v>
      </c>
      <c r="P308">
        <v>7.105353610604465E-4</v>
      </c>
      <c r="Q308">
        <v>-1.2090194466565624E-5</v>
      </c>
      <c r="R308">
        <v>-5.2292008117758881E-4</v>
      </c>
    </row>
    <row r="309" spans="1:18">
      <c r="A309" t="s">
        <v>79</v>
      </c>
      <c r="B309">
        <v>2019</v>
      </c>
      <c r="C309">
        <v>-4.7242931255894334</v>
      </c>
      <c r="D309">
        <v>8.4059376515305567E-2</v>
      </c>
      <c r="E309">
        <v>268.68</v>
      </c>
      <c r="F309">
        <v>-212.49</v>
      </c>
      <c r="G309">
        <v>-119.03</v>
      </c>
      <c r="H309">
        <v>0.1353</v>
      </c>
      <c r="I309">
        <v>2.9849999999999998E-3</v>
      </c>
      <c r="J309">
        <v>0.21013279942437943</v>
      </c>
      <c r="K309">
        <v>-0.16618698284087535</v>
      </c>
      <c r="L309">
        <v>-9.3092552908604603E-2</v>
      </c>
      <c r="M309">
        <v>2.8430967762118536E-2</v>
      </c>
      <c r="N309">
        <v>-2.2485098778370436E-2</v>
      </c>
      <c r="O309">
        <v>-1.2595422408534203E-2</v>
      </c>
      <c r="P309">
        <v>6.2724640628177258E-4</v>
      </c>
      <c r="Q309">
        <v>-4.9606814378001286E-4</v>
      </c>
      <c r="R309">
        <v>-2.7788127043218473E-4</v>
      </c>
    </row>
    <row r="310" spans="1:18">
      <c r="A310" t="s">
        <v>79</v>
      </c>
      <c r="B310">
        <v>2020</v>
      </c>
      <c r="C310">
        <v>-4.6422978288877461</v>
      </c>
      <c r="D310">
        <v>8.0801931052265907E-2</v>
      </c>
      <c r="E310">
        <v>179.37</v>
      </c>
      <c r="F310">
        <v>-89.47</v>
      </c>
      <c r="G310">
        <v>-100.82</v>
      </c>
      <c r="H310">
        <v>0.11890000000000001</v>
      </c>
      <c r="I310">
        <v>2.2099999999999997E-3</v>
      </c>
      <c r="J310">
        <v>0.12847657453102504</v>
      </c>
      <c r="K310">
        <v>-6.4084290144900538E-2</v>
      </c>
      <c r="L310">
        <v>-7.2213905581858417E-2</v>
      </c>
      <c r="M310">
        <v>1.5275864711738878E-2</v>
      </c>
      <c r="N310">
        <v>-7.6196220982286747E-3</v>
      </c>
      <c r="O310">
        <v>-8.5862333736829669E-3</v>
      </c>
      <c r="P310">
        <v>2.8393322971356533E-4</v>
      </c>
      <c r="Q310">
        <v>-1.4162628122023018E-4</v>
      </c>
      <c r="R310">
        <v>-1.5959273133590708E-4</v>
      </c>
    </row>
    <row r="311" spans="1:18">
      <c r="A311" t="s">
        <v>79</v>
      </c>
      <c r="B311">
        <v>2021</v>
      </c>
      <c r="C311">
        <v>-4.6880781642680853</v>
      </c>
      <c r="D311">
        <v>8.4327626568137706E-2</v>
      </c>
      <c r="E311">
        <v>234.6</v>
      </c>
      <c r="F311">
        <v>-60.82</v>
      </c>
      <c r="G311">
        <v>-159.11000000000001</v>
      </c>
      <c r="H311">
        <v>0.12330000000000001</v>
      </c>
      <c r="I311">
        <v>2.31E-3</v>
      </c>
      <c r="J311">
        <v>0.15646362854227383</v>
      </c>
      <c r="K311">
        <v>-4.0563162352690092E-2</v>
      </c>
      <c r="L311">
        <v>-0.10611648737153109</v>
      </c>
      <c r="M311">
        <v>1.9291965399262364E-2</v>
      </c>
      <c r="N311">
        <v>-5.0014379180866883E-3</v>
      </c>
      <c r="O311">
        <v>-1.3084162892909784E-2</v>
      </c>
      <c r="P311">
        <v>3.6143098193265253E-4</v>
      </c>
      <c r="Q311">
        <v>-9.370090503471411E-5</v>
      </c>
      <c r="R311">
        <v>-2.4512908582823684E-4</v>
      </c>
    </row>
    <row r="312" spans="1:18">
      <c r="A312" t="s">
        <v>80</v>
      </c>
      <c r="B312">
        <v>2017</v>
      </c>
      <c r="C312">
        <v>-1.6697044172835469</v>
      </c>
      <c r="D312">
        <v>0.54660379564319406</v>
      </c>
      <c r="E312">
        <v>-1054.1099999999999</v>
      </c>
      <c r="F312">
        <v>-1046.8</v>
      </c>
      <c r="G312">
        <v>1970.13</v>
      </c>
      <c r="H312">
        <v>0.3725</v>
      </c>
      <c r="I312">
        <v>0.1143</v>
      </c>
      <c r="J312">
        <v>-0.10269572503020147</v>
      </c>
      <c r="K312">
        <v>-0.10198355481080239</v>
      </c>
      <c r="L312">
        <v>0.19193815517711704</v>
      </c>
      <c r="M312">
        <v>-3.8254157573750044E-2</v>
      </c>
      <c r="N312">
        <v>-3.7988874167023887E-2</v>
      </c>
      <c r="O312">
        <v>7.1496962803476102E-2</v>
      </c>
      <c r="P312">
        <v>-1.1738121370952028E-2</v>
      </c>
      <c r="Q312">
        <v>-1.1656720314874712E-2</v>
      </c>
      <c r="R312">
        <v>2.1938531136744478E-2</v>
      </c>
    </row>
    <row r="313" spans="1:18">
      <c r="A313" t="s">
        <v>80</v>
      </c>
      <c r="B313">
        <v>2018</v>
      </c>
      <c r="C313">
        <v>-1.7477216269353673</v>
      </c>
      <c r="D313">
        <v>0.54845793960248268</v>
      </c>
      <c r="E313">
        <v>-931.75</v>
      </c>
      <c r="F313">
        <v>-0.12</v>
      </c>
      <c r="G313">
        <v>403.01</v>
      </c>
      <c r="H313">
        <v>0.48209999999999997</v>
      </c>
      <c r="I313">
        <v>0.12690000000000001</v>
      </c>
      <c r="J313">
        <v>-6.7868721824555986E-2</v>
      </c>
      <c r="K313">
        <v>-8.7408066744799768E-6</v>
      </c>
      <c r="L313">
        <v>2.9355270815684797E-2</v>
      </c>
      <c r="M313">
        <v>-3.2719510791618438E-2</v>
      </c>
      <c r="N313">
        <v>-4.2139428977667966E-6</v>
      </c>
      <c r="O313">
        <v>1.415217606024164E-2</v>
      </c>
      <c r="P313">
        <v>-8.6125407995361562E-3</v>
      </c>
      <c r="Q313">
        <v>-1.1092083669915092E-6</v>
      </c>
      <c r="R313">
        <v>3.7251838665104012E-3</v>
      </c>
    </row>
    <row r="314" spans="1:18">
      <c r="A314" t="s">
        <v>80</v>
      </c>
      <c r="B314">
        <v>2019</v>
      </c>
      <c r="C314">
        <v>-1.682065840396197</v>
      </c>
      <c r="D314">
        <v>0.53583608477041855</v>
      </c>
      <c r="E314">
        <v>-1645.77</v>
      </c>
      <c r="F314">
        <v>-1412.93</v>
      </c>
      <c r="G314">
        <v>2693.42</v>
      </c>
      <c r="H314">
        <v>0.47</v>
      </c>
      <c r="I314">
        <v>0.15090000000000001</v>
      </c>
      <c r="J314">
        <v>-8.2783045916303991E-2</v>
      </c>
      <c r="K314">
        <v>-7.1071078623697978E-2</v>
      </c>
      <c r="L314">
        <v>0.13548035966866057</v>
      </c>
      <c r="M314">
        <v>-3.8908031580662875E-2</v>
      </c>
      <c r="N314">
        <v>-3.3403406953138051E-2</v>
      </c>
      <c r="O314">
        <v>6.3675769044270469E-2</v>
      </c>
      <c r="P314">
        <v>-1.2491961628770273E-2</v>
      </c>
      <c r="Q314">
        <v>-1.0724625764316025E-2</v>
      </c>
      <c r="R314">
        <v>2.0443986274000882E-2</v>
      </c>
    </row>
    <row r="315" spans="1:18">
      <c r="A315" t="s">
        <v>80</v>
      </c>
      <c r="B315">
        <v>2020</v>
      </c>
      <c r="C315">
        <v>-0.79522975918549399</v>
      </c>
      <c r="D315">
        <v>0.61031820012757687</v>
      </c>
      <c r="E315">
        <v>-780.23</v>
      </c>
      <c r="F315">
        <v>-334.09</v>
      </c>
      <c r="G315">
        <v>2100.66</v>
      </c>
      <c r="H315">
        <v>0.35220000000000001</v>
      </c>
      <c r="I315">
        <v>0.12945999999999999</v>
      </c>
      <c r="J315">
        <v>-3.3469847195131318E-2</v>
      </c>
      <c r="K315">
        <v>-1.4331596131168271E-2</v>
      </c>
      <c r="L315">
        <v>9.0112875958274538E-2</v>
      </c>
      <c r="M315">
        <v>-1.178808018212525E-2</v>
      </c>
      <c r="N315">
        <v>-5.0475881573974653E-3</v>
      </c>
      <c r="O315">
        <v>3.1737754912504294E-2</v>
      </c>
      <c r="P315">
        <v>-4.3330064178817001E-3</v>
      </c>
      <c r="Q315">
        <v>-1.8553684351410443E-3</v>
      </c>
      <c r="R315">
        <v>1.166601292155822E-2</v>
      </c>
    </row>
    <row r="316" spans="1:18">
      <c r="A316" t="s">
        <v>80</v>
      </c>
      <c r="B316">
        <v>2021</v>
      </c>
      <c r="C316">
        <v>-1.5612541830629458</v>
      </c>
      <c r="D316">
        <v>0.52638771206686752</v>
      </c>
      <c r="E316">
        <v>1224.96</v>
      </c>
      <c r="F316">
        <v>9.9</v>
      </c>
      <c r="G316">
        <v>-276.82</v>
      </c>
      <c r="H316">
        <v>0.26300000000000001</v>
      </c>
      <c r="I316">
        <v>0.16029999999999997</v>
      </c>
      <c r="J316">
        <v>4.3355185060129413E-2</v>
      </c>
      <c r="K316">
        <v>3.5039212063682176E-4</v>
      </c>
      <c r="L316">
        <v>-9.7975299833015141E-3</v>
      </c>
      <c r="M316">
        <v>1.1402413670814036E-2</v>
      </c>
      <c r="N316">
        <v>9.2153127727484131E-5</v>
      </c>
      <c r="O316">
        <v>-2.5767503856082984E-3</v>
      </c>
      <c r="P316">
        <v>6.9498361651387439E-3</v>
      </c>
      <c r="Q316">
        <v>5.6167856938082519E-5</v>
      </c>
      <c r="R316">
        <v>-1.5705440563232324E-3</v>
      </c>
    </row>
    <row r="317" spans="1:18">
      <c r="A317" t="s">
        <v>81</v>
      </c>
      <c r="B317">
        <v>2017</v>
      </c>
      <c r="C317">
        <v>-3.0071940612180392</v>
      </c>
      <c r="D317">
        <v>0.2574113367687178</v>
      </c>
      <c r="E317">
        <v>-13.72</v>
      </c>
      <c r="F317">
        <v>1.52</v>
      </c>
      <c r="G317">
        <v>0</v>
      </c>
      <c r="H317">
        <v>4.3559999999999996E-3</v>
      </c>
      <c r="I317">
        <v>0.60849999999999993</v>
      </c>
      <c r="J317">
        <v>-8.3176720218247957E-2</v>
      </c>
      <c r="K317">
        <v>9.214913610184906E-3</v>
      </c>
      <c r="L317">
        <v>0</v>
      </c>
      <c r="M317">
        <v>-3.6231779327068809E-4</v>
      </c>
      <c r="N317">
        <v>4.0140163685965449E-5</v>
      </c>
      <c r="O317">
        <v>0</v>
      </c>
      <c r="P317">
        <v>-5.0613034252803876E-2</v>
      </c>
      <c r="Q317">
        <v>5.6072749317975148E-3</v>
      </c>
      <c r="R317">
        <v>0</v>
      </c>
    </row>
    <row r="318" spans="1:18">
      <c r="A318" t="s">
        <v>81</v>
      </c>
      <c r="B318">
        <v>2018</v>
      </c>
      <c r="C318">
        <v>-2.7733219438952985</v>
      </c>
      <c r="D318">
        <v>0.27085408366533864</v>
      </c>
      <c r="E318">
        <v>-10.029999999999999</v>
      </c>
      <c r="F318">
        <v>-19.98</v>
      </c>
      <c r="G318">
        <v>0</v>
      </c>
      <c r="H318">
        <v>3.728E-3</v>
      </c>
      <c r="I318">
        <v>0.52639999999999998</v>
      </c>
      <c r="J318">
        <v>-6.2437749003984064E-2</v>
      </c>
      <c r="K318">
        <v>-0.12437749003984065</v>
      </c>
      <c r="L318">
        <v>0</v>
      </c>
      <c r="M318">
        <v>-2.3276792828685259E-4</v>
      </c>
      <c r="N318">
        <v>-4.6367928286852596E-4</v>
      </c>
      <c r="O318">
        <v>0</v>
      </c>
      <c r="P318">
        <v>-3.2867231075697209E-2</v>
      </c>
      <c r="Q318">
        <v>-6.5472310756972116E-2</v>
      </c>
      <c r="R318">
        <v>0</v>
      </c>
    </row>
    <row r="319" spans="1:18">
      <c r="A319" t="s">
        <v>81</v>
      </c>
      <c r="B319">
        <v>2019</v>
      </c>
      <c r="C319">
        <v>-2.929547487268791</v>
      </c>
      <c r="D319">
        <v>0.20423905990916297</v>
      </c>
      <c r="E319">
        <v>6.36</v>
      </c>
      <c r="F319">
        <v>-3.41</v>
      </c>
      <c r="G319">
        <v>-2.97</v>
      </c>
      <c r="H319">
        <v>3.718E-3</v>
      </c>
      <c r="I319">
        <v>0.65799999999999992</v>
      </c>
      <c r="J319">
        <v>4.5851056160334511E-2</v>
      </c>
      <c r="K319">
        <v>-2.458366375892149E-2</v>
      </c>
      <c r="L319">
        <v>-2.1411578112609041E-2</v>
      </c>
      <c r="M319">
        <v>1.7047422680412371E-4</v>
      </c>
      <c r="N319">
        <v>-9.1402061855670098E-5</v>
      </c>
      <c r="O319">
        <v>-7.9608247422680408E-5</v>
      </c>
      <c r="P319">
        <v>3.0169994953500104E-2</v>
      </c>
      <c r="Q319">
        <v>-1.6176050753370339E-2</v>
      </c>
      <c r="R319">
        <v>-1.4088818398096748E-2</v>
      </c>
    </row>
    <row r="320" spans="1:18">
      <c r="A320" t="s">
        <v>81</v>
      </c>
      <c r="B320">
        <v>2020</v>
      </c>
      <c r="C320">
        <v>-3.3844101911923188</v>
      </c>
      <c r="D320">
        <v>0.16512579569566535</v>
      </c>
      <c r="E320">
        <v>-9.7100000000000009</v>
      </c>
      <c r="F320">
        <v>6.66</v>
      </c>
      <c r="G320">
        <v>0</v>
      </c>
      <c r="H320">
        <v>6.1000000000000004E-3</v>
      </c>
      <c r="I320">
        <v>0.65799999999999992</v>
      </c>
      <c r="J320">
        <v>-7.3582903910275846E-2</v>
      </c>
      <c r="K320">
        <v>5.0469839345256139E-2</v>
      </c>
      <c r="L320">
        <v>0</v>
      </c>
      <c r="M320">
        <v>-4.4885571385268271E-4</v>
      </c>
      <c r="N320">
        <v>3.0786602000606246E-4</v>
      </c>
      <c r="O320">
        <v>0</v>
      </c>
      <c r="P320">
        <v>-4.8417550772961504E-2</v>
      </c>
      <c r="Q320">
        <v>3.3209154289178533E-2</v>
      </c>
      <c r="R320">
        <v>0</v>
      </c>
    </row>
    <row r="321" spans="1:18">
      <c r="A321" t="s">
        <v>81</v>
      </c>
      <c r="B321">
        <v>2021</v>
      </c>
      <c r="C321">
        <v>-3.5033980431365066</v>
      </c>
      <c r="D321">
        <v>0.14651844989964491</v>
      </c>
      <c r="E321">
        <v>-7.21</v>
      </c>
      <c r="F321">
        <v>9.8699999999999992</v>
      </c>
      <c r="G321">
        <v>0</v>
      </c>
      <c r="H321">
        <v>6.1000000000000004E-3</v>
      </c>
      <c r="I321">
        <v>0.65799999999999992</v>
      </c>
      <c r="J321">
        <v>-5.5658483865987346E-2</v>
      </c>
      <c r="K321">
        <v>7.6192681797128292E-2</v>
      </c>
      <c r="L321">
        <v>0</v>
      </c>
      <c r="M321">
        <v>-3.3951675158252283E-4</v>
      </c>
      <c r="N321">
        <v>4.6477535896248263E-4</v>
      </c>
      <c r="O321">
        <v>0</v>
      </c>
      <c r="P321">
        <v>-3.6623282383819671E-2</v>
      </c>
      <c r="Q321">
        <v>5.0134784622510413E-2</v>
      </c>
      <c r="R321">
        <v>0</v>
      </c>
    </row>
    <row r="322" spans="1:18">
      <c r="A322" t="s">
        <v>82</v>
      </c>
      <c r="B322">
        <v>2017</v>
      </c>
      <c r="C322">
        <v>-3.0876391122785223</v>
      </c>
      <c r="D322">
        <v>0.24896611115842865</v>
      </c>
      <c r="E322">
        <v>96.48</v>
      </c>
      <c r="F322">
        <v>-5.3</v>
      </c>
      <c r="G322">
        <v>-40.380000000000003</v>
      </c>
      <c r="H322">
        <v>0.22</v>
      </c>
      <c r="I322">
        <v>0.22080000000000002</v>
      </c>
      <c r="J322">
        <v>9.1303977514692103E-2</v>
      </c>
      <c r="K322">
        <v>-5.0156621147167089E-3</v>
      </c>
      <c r="L322">
        <v>-3.8213667206086932E-2</v>
      </c>
      <c r="M322">
        <v>2.0086875053232263E-2</v>
      </c>
      <c r="N322">
        <v>-1.1034456652376759E-3</v>
      </c>
      <c r="O322">
        <v>-8.4070067853391252E-3</v>
      </c>
      <c r="P322">
        <v>2.0159918235244018E-2</v>
      </c>
      <c r="Q322">
        <v>-1.1074581949294495E-3</v>
      </c>
      <c r="R322">
        <v>-8.437577719103995E-3</v>
      </c>
    </row>
    <row r="323" spans="1:18">
      <c r="A323" t="s">
        <v>82</v>
      </c>
      <c r="B323">
        <v>2018</v>
      </c>
      <c r="C323">
        <v>-2.9294126543562617</v>
      </c>
      <c r="D323">
        <v>0.24965450655964258</v>
      </c>
      <c r="E323">
        <v>-22.04</v>
      </c>
      <c r="F323">
        <v>-25.55</v>
      </c>
      <c r="G323">
        <v>-0.39</v>
      </c>
      <c r="H323">
        <v>0.22570000000000001</v>
      </c>
      <c r="I323">
        <v>0.27950000000000003</v>
      </c>
      <c r="J323">
        <v>-2.0862124453363117E-2</v>
      </c>
      <c r="K323">
        <v>-2.4184540825019404E-2</v>
      </c>
      <c r="L323">
        <v>-3.6915737462847625E-4</v>
      </c>
      <c r="M323">
        <v>-4.7085814891240554E-3</v>
      </c>
      <c r="N323">
        <v>-5.4584508642068798E-3</v>
      </c>
      <c r="O323">
        <v>-8.3318819453647087E-5</v>
      </c>
      <c r="P323">
        <v>-5.8309637847149915E-3</v>
      </c>
      <c r="Q323">
        <v>-6.7595791605929243E-3</v>
      </c>
      <c r="R323">
        <v>-1.0317948620865912E-4</v>
      </c>
    </row>
    <row r="324" spans="1:18">
      <c r="A324" t="s">
        <v>82</v>
      </c>
      <c r="B324">
        <v>2019</v>
      </c>
      <c r="C324">
        <v>-2.0271679279135126</v>
      </c>
      <c r="D324">
        <v>0.4172822210901681</v>
      </c>
      <c r="E324">
        <v>53.29</v>
      </c>
      <c r="F324">
        <v>-54.49</v>
      </c>
      <c r="G324">
        <v>-61.22</v>
      </c>
      <c r="H324">
        <v>0.20119999999999999</v>
      </c>
      <c r="I324">
        <v>0.27850000000000003</v>
      </c>
      <c r="J324">
        <v>3.7704477274013701E-2</v>
      </c>
      <c r="K324">
        <v>-3.8553517858153627E-2</v>
      </c>
      <c r="L324">
        <v>-4.331522046753835E-2</v>
      </c>
      <c r="M324">
        <v>7.5861408275315562E-3</v>
      </c>
      <c r="N324">
        <v>-7.7569677930605097E-3</v>
      </c>
      <c r="O324">
        <v>-8.7150223580687164E-3</v>
      </c>
      <c r="P324">
        <v>1.0500696920812817E-2</v>
      </c>
      <c r="Q324">
        <v>-1.0737154723495786E-2</v>
      </c>
      <c r="R324">
        <v>-1.2063288900209431E-2</v>
      </c>
    </row>
    <row r="325" spans="1:18">
      <c r="A325" t="s">
        <v>82</v>
      </c>
      <c r="B325">
        <v>2020</v>
      </c>
      <c r="C325">
        <v>-1.9477867830359645</v>
      </c>
      <c r="D325">
        <v>0.43044134137875795</v>
      </c>
      <c r="E325">
        <v>264.69</v>
      </c>
      <c r="F325">
        <v>-2.71</v>
      </c>
      <c r="G325">
        <v>-0.02</v>
      </c>
      <c r="H325">
        <v>0.18</v>
      </c>
      <c r="I325">
        <v>0.27850000000000003</v>
      </c>
      <c r="J325">
        <v>0.17667672344742882</v>
      </c>
      <c r="K325">
        <v>-1.8088855662946547E-3</v>
      </c>
      <c r="L325">
        <v>-1.3349708976344314E-5</v>
      </c>
      <c r="M325">
        <v>3.1801810220537186E-2</v>
      </c>
      <c r="N325">
        <v>-3.2559940193303783E-4</v>
      </c>
      <c r="O325">
        <v>-2.4029476157419767E-6</v>
      </c>
      <c r="P325">
        <v>4.9204467480108934E-2</v>
      </c>
      <c r="Q325">
        <v>-5.0377463021306133E-4</v>
      </c>
      <c r="R325">
        <v>-3.7178939499118919E-6</v>
      </c>
    </row>
    <row r="326" spans="1:18">
      <c r="A326" t="s">
        <v>82</v>
      </c>
      <c r="B326">
        <v>2021</v>
      </c>
      <c r="C326">
        <v>-3.1325230417214729</v>
      </c>
      <c r="D326">
        <v>0.24179930675001965</v>
      </c>
      <c r="E326">
        <v>-97.38</v>
      </c>
      <c r="F326">
        <v>15.31</v>
      </c>
      <c r="G326">
        <v>-67.47</v>
      </c>
      <c r="H326">
        <v>0.04</v>
      </c>
      <c r="I326">
        <v>0.28890000000000005</v>
      </c>
      <c r="J326">
        <v>-8.502353033623497E-2</v>
      </c>
      <c r="K326">
        <v>1.3367326447399441E-2</v>
      </c>
      <c r="L326">
        <v>-5.8908786114045736E-2</v>
      </c>
      <c r="M326">
        <v>-3.400941213449399E-3</v>
      </c>
      <c r="N326">
        <v>5.3469305789597766E-4</v>
      </c>
      <c r="O326">
        <v>-2.3563514445618296E-3</v>
      </c>
      <c r="P326">
        <v>-2.4563297914138287E-2</v>
      </c>
      <c r="Q326">
        <v>3.8618206106536992E-3</v>
      </c>
      <c r="R326">
        <v>-1.7018748308347816E-2</v>
      </c>
    </row>
    <row r="327" spans="1:18">
      <c r="A327" t="s">
        <v>83</v>
      </c>
      <c r="B327">
        <v>2017</v>
      </c>
      <c r="C327">
        <v>-1.2166346687895593</v>
      </c>
      <c r="D327">
        <v>0.54561166215810031</v>
      </c>
      <c r="E327">
        <v>0.13</v>
      </c>
      <c r="F327">
        <v>-13.66</v>
      </c>
      <c r="G327">
        <v>-8.89</v>
      </c>
      <c r="H327">
        <v>0</v>
      </c>
      <c r="I327">
        <v>0.25279999999999997</v>
      </c>
      <c r="J327">
        <v>4.8842801322512776E-4</v>
      </c>
      <c r="K327">
        <v>-5.1322512774271113E-2</v>
      </c>
      <c r="L327">
        <v>-3.3400961827472195E-2</v>
      </c>
      <c r="M327">
        <v>0</v>
      </c>
      <c r="N327">
        <v>0</v>
      </c>
      <c r="O327">
        <v>0</v>
      </c>
      <c r="P327">
        <v>1.2347460174331229E-4</v>
      </c>
      <c r="Q327">
        <v>-1.2974331229335737E-2</v>
      </c>
      <c r="R327">
        <v>-8.4437631499849706E-3</v>
      </c>
    </row>
    <row r="328" spans="1:18">
      <c r="A328" t="s">
        <v>83</v>
      </c>
      <c r="B328">
        <v>2018</v>
      </c>
      <c r="C328">
        <v>-0.98925250285222699</v>
      </c>
      <c r="D328">
        <v>0.58350480109739367</v>
      </c>
      <c r="E328">
        <v>43.12</v>
      </c>
      <c r="F328">
        <v>-5.29</v>
      </c>
      <c r="G328">
        <v>-34.92</v>
      </c>
      <c r="H328">
        <v>0</v>
      </c>
      <c r="I328">
        <v>0.25279999999999997</v>
      </c>
      <c r="J328">
        <v>0.14787379972565157</v>
      </c>
      <c r="K328">
        <v>-1.8141289437585733E-2</v>
      </c>
      <c r="L328">
        <v>-0.11975308641975309</v>
      </c>
      <c r="M328">
        <v>0</v>
      </c>
      <c r="N328">
        <v>0</v>
      </c>
      <c r="O328">
        <v>0</v>
      </c>
      <c r="P328">
        <v>3.7382496570644713E-2</v>
      </c>
      <c r="Q328">
        <v>-4.5861179698216724E-3</v>
      </c>
      <c r="R328">
        <v>-3.0273580246913578E-2</v>
      </c>
    </row>
    <row r="329" spans="1:18">
      <c r="A329" t="s">
        <v>83</v>
      </c>
      <c r="B329">
        <v>2019</v>
      </c>
      <c r="C329">
        <v>-1.2974869493957126</v>
      </c>
      <c r="D329">
        <v>0.5305800572463345</v>
      </c>
      <c r="E329">
        <v>-35.99</v>
      </c>
      <c r="F329">
        <v>-35.28</v>
      </c>
      <c r="G329">
        <v>74.63</v>
      </c>
      <c r="H329">
        <v>0</v>
      </c>
      <c r="I329">
        <v>0.25279999999999997</v>
      </c>
      <c r="J329">
        <v>-0.10511712132718033</v>
      </c>
      <c r="K329">
        <v>-0.10304340206787781</v>
      </c>
      <c r="L329">
        <v>0.217974180734856</v>
      </c>
      <c r="M329">
        <v>0</v>
      </c>
      <c r="N329">
        <v>0</v>
      </c>
      <c r="O329">
        <v>0</v>
      </c>
      <c r="P329">
        <v>-2.6573608271511184E-2</v>
      </c>
      <c r="Q329">
        <v>-2.6049372042759505E-2</v>
      </c>
      <c r="R329">
        <v>5.5103872889771588E-2</v>
      </c>
    </row>
    <row r="330" spans="1:18">
      <c r="A330" t="s">
        <v>83</v>
      </c>
      <c r="B330">
        <v>2020</v>
      </c>
      <c r="C330">
        <v>-0.63178622470738521</v>
      </c>
      <c r="D330">
        <v>0.64802164946203711</v>
      </c>
      <c r="E330">
        <v>11.61</v>
      </c>
      <c r="F330">
        <v>-3.6</v>
      </c>
      <c r="G330">
        <v>4.51</v>
      </c>
      <c r="H330">
        <v>0</v>
      </c>
      <c r="I330">
        <v>0.34050000000000002</v>
      </c>
      <c r="J330">
        <v>2.5337727242967199E-2</v>
      </c>
      <c r="K330">
        <v>-7.8566596102223885E-3</v>
      </c>
      <c r="L330">
        <v>9.8426485672508234E-3</v>
      </c>
      <c r="M330">
        <v>0</v>
      </c>
      <c r="N330">
        <v>0</v>
      </c>
      <c r="O330">
        <v>0</v>
      </c>
      <c r="P330">
        <v>8.6274961262303319E-3</v>
      </c>
      <c r="Q330">
        <v>-2.6751925972807234E-3</v>
      </c>
      <c r="R330">
        <v>3.3514218371489056E-3</v>
      </c>
    </row>
    <row r="331" spans="1:18">
      <c r="A331" t="s">
        <v>83</v>
      </c>
      <c r="B331">
        <v>2021</v>
      </c>
      <c r="C331">
        <v>0.12295610325516042</v>
      </c>
      <c r="D331">
        <v>0.77961373101338327</v>
      </c>
      <c r="E331">
        <v>-130.33000000000001</v>
      </c>
      <c r="F331">
        <v>3.44</v>
      </c>
      <c r="G331">
        <v>109.98</v>
      </c>
      <c r="H331">
        <v>1.8E-3</v>
      </c>
      <c r="I331">
        <v>0.34050000000000002</v>
      </c>
      <c r="J331">
        <v>-0.17565400218337671</v>
      </c>
      <c r="K331">
        <v>4.6363060501098423E-3</v>
      </c>
      <c r="L331">
        <v>0.14822701726484899</v>
      </c>
      <c r="M331">
        <v>-3.1617720393007807E-4</v>
      </c>
      <c r="N331">
        <v>8.3453508901977154E-6</v>
      </c>
      <c r="O331">
        <v>2.668086310767282E-4</v>
      </c>
      <c r="P331">
        <v>-5.9810187743439776E-2</v>
      </c>
      <c r="Q331">
        <v>1.5786622100624015E-3</v>
      </c>
      <c r="R331">
        <v>5.0471299378681084E-2</v>
      </c>
    </row>
    <row r="332" spans="1:18">
      <c r="A332" t="s">
        <v>84</v>
      </c>
      <c r="B332">
        <v>2017</v>
      </c>
      <c r="C332">
        <v>-2.8957437618725033</v>
      </c>
      <c r="D332">
        <v>0.28197735908182853</v>
      </c>
      <c r="E332">
        <v>106.01</v>
      </c>
      <c r="F332">
        <v>-142.63999999999999</v>
      </c>
      <c r="G332">
        <v>88.44</v>
      </c>
      <c r="H332">
        <v>0.47799999999999998</v>
      </c>
      <c r="I332">
        <v>0.18110000000000001</v>
      </c>
      <c r="J332">
        <v>8.3050648282345568E-2</v>
      </c>
      <c r="K332">
        <v>-0.11174742449763013</v>
      </c>
      <c r="L332">
        <v>6.9285910141407808E-2</v>
      </c>
      <c r="M332">
        <v>3.969820987896118E-2</v>
      </c>
      <c r="N332">
        <v>-5.3415268909867197E-2</v>
      </c>
      <c r="O332">
        <v>3.3118665047592928E-2</v>
      </c>
      <c r="P332">
        <v>1.5040472403932784E-2</v>
      </c>
      <c r="Q332">
        <v>-2.0237458576520817E-2</v>
      </c>
      <c r="R332">
        <v>1.2547678326608955E-2</v>
      </c>
    </row>
    <row r="333" spans="1:18">
      <c r="A333" t="s">
        <v>84</v>
      </c>
      <c r="B333">
        <v>2018</v>
      </c>
      <c r="C333">
        <v>-2.3290250374355286</v>
      </c>
      <c r="D333">
        <v>0.38999134292099241</v>
      </c>
      <c r="E333">
        <v>83.01</v>
      </c>
      <c r="F333">
        <v>-266.27999999999997</v>
      </c>
      <c r="G333">
        <v>112.91</v>
      </c>
      <c r="H333">
        <v>0.49659999999999999</v>
      </c>
      <c r="I333">
        <v>0.1983</v>
      </c>
      <c r="J333">
        <v>5.570729677674803E-2</v>
      </c>
      <c r="K333">
        <v>-0.178698216910161</v>
      </c>
      <c r="L333">
        <v>7.577292951527069E-2</v>
      </c>
      <c r="M333">
        <v>2.7664243579333073E-2</v>
      </c>
      <c r="N333">
        <v>-8.8741534517585943E-2</v>
      </c>
      <c r="O333">
        <v>3.7628836797283426E-2</v>
      </c>
      <c r="P333">
        <v>1.1046756950829136E-2</v>
      </c>
      <c r="Q333">
        <v>-3.5435856413284929E-2</v>
      </c>
      <c r="R333">
        <v>1.5025771922878179E-2</v>
      </c>
    </row>
    <row r="334" spans="1:18">
      <c r="A334" t="s">
        <v>84</v>
      </c>
      <c r="B334">
        <v>2019</v>
      </c>
      <c r="C334">
        <v>-2.3098824207742377</v>
      </c>
      <c r="D334">
        <v>0.38963209614796795</v>
      </c>
      <c r="E334">
        <v>51.3</v>
      </c>
      <c r="F334">
        <v>-57.06</v>
      </c>
      <c r="G334">
        <v>8.34</v>
      </c>
      <c r="H334">
        <v>0.46779999999999999</v>
      </c>
      <c r="I334">
        <v>0.17979999999999999</v>
      </c>
      <c r="J334">
        <v>3.3363032719184713E-2</v>
      </c>
      <c r="K334">
        <v>-3.7109057445549321E-2</v>
      </c>
      <c r="L334">
        <v>5.4239316350487435E-3</v>
      </c>
      <c r="M334">
        <v>1.5607226706034608E-2</v>
      </c>
      <c r="N334">
        <v>-1.7359617073027973E-2</v>
      </c>
      <c r="O334">
        <v>2.5373152188758021E-3</v>
      </c>
      <c r="P334">
        <v>5.9986732829094107E-3</v>
      </c>
      <c r="Q334">
        <v>-6.6722085287097676E-3</v>
      </c>
      <c r="R334">
        <v>9.7522290798176398E-4</v>
      </c>
    </row>
    <row r="335" spans="1:18">
      <c r="A335" t="s">
        <v>84</v>
      </c>
      <c r="B335">
        <v>2020</v>
      </c>
      <c r="C335">
        <v>-2.7464804065734714</v>
      </c>
      <c r="D335">
        <v>0.30207016843676782</v>
      </c>
      <c r="E335">
        <v>157.30000000000001</v>
      </c>
      <c r="F335">
        <v>31.38</v>
      </c>
      <c r="G335">
        <v>-206.78</v>
      </c>
      <c r="H335">
        <v>0.47510000000000002</v>
      </c>
      <c r="I335">
        <v>0.17979999999999999</v>
      </c>
      <c r="J335">
        <v>0.11625758482812651</v>
      </c>
      <c r="K335">
        <v>2.3192390412629431E-2</v>
      </c>
      <c r="L335">
        <v>-0.15282735785607118</v>
      </c>
      <c r="M335">
        <v>5.5233978551842908E-2</v>
      </c>
      <c r="N335">
        <v>1.1018704685040244E-2</v>
      </c>
      <c r="O335">
        <v>-7.2608277717419428E-2</v>
      </c>
      <c r="P335">
        <v>2.0903113752097146E-2</v>
      </c>
      <c r="Q335">
        <v>4.1699917961907718E-3</v>
      </c>
      <c r="R335">
        <v>-2.7478358942521597E-2</v>
      </c>
    </row>
    <row r="336" spans="1:18">
      <c r="A336" t="s">
        <v>84</v>
      </c>
      <c r="B336">
        <v>2021</v>
      </c>
      <c r="C336">
        <v>-3.1570665345528188</v>
      </c>
      <c r="D336">
        <v>0.24016741018648421</v>
      </c>
      <c r="E336">
        <v>-52.57</v>
      </c>
      <c r="F336">
        <v>215.35</v>
      </c>
      <c r="G336">
        <v>-162.59</v>
      </c>
      <c r="H336">
        <v>0.49309999999999998</v>
      </c>
      <c r="I336">
        <v>0.19409999999999999</v>
      </c>
      <c r="J336">
        <v>-4.1434809338398729E-2</v>
      </c>
      <c r="K336">
        <v>0.16973532796317606</v>
      </c>
      <c r="L336">
        <v>-0.12815076374986206</v>
      </c>
      <c r="M336">
        <v>-2.0431504484764412E-2</v>
      </c>
      <c r="N336">
        <v>8.3696490218642117E-2</v>
      </c>
      <c r="O336">
        <v>-6.3191141605056983E-2</v>
      </c>
      <c r="P336">
        <v>-8.0424964925831927E-3</v>
      </c>
      <c r="Q336">
        <v>3.2945627157652473E-2</v>
      </c>
      <c r="R336">
        <v>-2.4874063243848225E-2</v>
      </c>
    </row>
    <row r="337" spans="1:18">
      <c r="A337" t="s">
        <v>85</v>
      </c>
      <c r="B337">
        <v>2017</v>
      </c>
      <c r="C337">
        <v>-4.026654335141501</v>
      </c>
      <c r="D337">
        <v>0.10494897959183673</v>
      </c>
      <c r="E337">
        <v>-67.25</v>
      </c>
      <c r="F337">
        <v>85.28</v>
      </c>
      <c r="G337">
        <v>-3.92</v>
      </c>
      <c r="H337">
        <v>4.5999999999999999E-3</v>
      </c>
      <c r="I337">
        <v>0.40506100000000006</v>
      </c>
      <c r="J337">
        <v>-0.17155612244897958</v>
      </c>
      <c r="K337">
        <v>0.21755102040816326</v>
      </c>
      <c r="L337">
        <v>-0.01</v>
      </c>
      <c r="M337">
        <v>-7.891581632653061E-4</v>
      </c>
      <c r="N337">
        <v>1.000734693877551E-3</v>
      </c>
      <c r="O337">
        <v>-4.6E-5</v>
      </c>
      <c r="P337">
        <v>-6.9490694515306123E-2</v>
      </c>
      <c r="Q337">
        <v>8.8121433877551031E-2</v>
      </c>
      <c r="R337">
        <v>-4.0506100000000005E-3</v>
      </c>
    </row>
    <row r="338" spans="1:18">
      <c r="A338" t="s">
        <v>85</v>
      </c>
      <c r="B338">
        <v>2018</v>
      </c>
      <c r="C338">
        <v>-3.786150018550178</v>
      </c>
      <c r="D338">
        <v>0.12093995739420876</v>
      </c>
      <c r="E338">
        <v>-373.31</v>
      </c>
      <c r="F338">
        <v>62.75</v>
      </c>
      <c r="G338">
        <v>298.01</v>
      </c>
      <c r="H338">
        <v>7.9690000000000004E-3</v>
      </c>
      <c r="I338">
        <v>0.36899999999999999</v>
      </c>
      <c r="J338">
        <v>-0.49090024458880149</v>
      </c>
      <c r="K338">
        <v>8.2515845672356203E-2</v>
      </c>
      <c r="L338">
        <v>0.39188122978197404</v>
      </c>
      <c r="M338">
        <v>-3.9119840491281593E-3</v>
      </c>
      <c r="N338">
        <v>6.5756877416300657E-4</v>
      </c>
      <c r="O338">
        <v>3.1229015201325512E-3</v>
      </c>
      <c r="P338">
        <v>-0.18114219025326775</v>
      </c>
      <c r="Q338">
        <v>3.0448347053099439E-2</v>
      </c>
      <c r="R338">
        <v>0.14460417378954843</v>
      </c>
    </row>
    <row r="339" spans="1:18">
      <c r="A339" t="s">
        <v>85</v>
      </c>
      <c r="B339">
        <v>2019</v>
      </c>
      <c r="C339">
        <v>-3.5764153271023704</v>
      </c>
      <c r="D339">
        <v>0.14620902484128198</v>
      </c>
      <c r="E339">
        <v>8.74</v>
      </c>
      <c r="F339">
        <v>-31.66</v>
      </c>
      <c r="G339">
        <v>28.62</v>
      </c>
      <c r="H339">
        <v>7.9690000000000004E-3</v>
      </c>
      <c r="I339">
        <v>0.36899999999999999</v>
      </c>
      <c r="J339">
        <v>1.0294585330804839E-2</v>
      </c>
      <c r="K339">
        <v>-3.7291369745226684E-2</v>
      </c>
      <c r="L339">
        <v>3.3710644412772828E-2</v>
      </c>
      <c r="M339">
        <v>8.2037550501183769E-5</v>
      </c>
      <c r="N339">
        <v>-2.9717492549971147E-4</v>
      </c>
      <c r="O339">
        <v>2.6864012532538668E-4</v>
      </c>
      <c r="P339">
        <v>3.7987019870669853E-3</v>
      </c>
      <c r="Q339">
        <v>-1.3760515435988645E-2</v>
      </c>
      <c r="R339">
        <v>1.2439227788313174E-2</v>
      </c>
    </row>
    <row r="340" spans="1:18">
      <c r="A340" t="s">
        <v>85</v>
      </c>
      <c r="B340">
        <v>2020</v>
      </c>
      <c r="C340">
        <v>-2.8093655302124558</v>
      </c>
      <c r="D340">
        <v>0.27791546393756494</v>
      </c>
      <c r="E340">
        <v>52.76</v>
      </c>
      <c r="F340">
        <v>-38.520000000000003</v>
      </c>
      <c r="G340">
        <v>-9.43</v>
      </c>
      <c r="H340">
        <v>1.4E-2</v>
      </c>
      <c r="I340">
        <v>0.36109999999999998</v>
      </c>
      <c r="J340">
        <v>5.1277565579107981E-2</v>
      </c>
      <c r="K340">
        <v>-3.7437676764731607E-2</v>
      </c>
      <c r="L340">
        <v>-9.1650387303068293E-3</v>
      </c>
      <c r="M340">
        <v>7.178859181075117E-4</v>
      </c>
      <c r="N340">
        <v>-5.2412747470624251E-4</v>
      </c>
      <c r="O340">
        <v>-1.2831054222429562E-4</v>
      </c>
      <c r="P340">
        <v>1.8516328930615892E-2</v>
      </c>
      <c r="Q340">
        <v>-1.3518745079744583E-2</v>
      </c>
      <c r="R340">
        <v>-3.3094954855137958E-3</v>
      </c>
    </row>
    <row r="341" spans="1:18">
      <c r="A341" t="s">
        <v>85</v>
      </c>
      <c r="B341">
        <v>2021</v>
      </c>
      <c r="C341">
        <v>-3.0650098200058307</v>
      </c>
      <c r="D341">
        <v>0.22871172049683322</v>
      </c>
      <c r="E341">
        <v>-340.03</v>
      </c>
      <c r="F341">
        <v>-65.48</v>
      </c>
      <c r="G341">
        <v>449.4</v>
      </c>
      <c r="H341">
        <v>8.2000000000000007E-3</v>
      </c>
      <c r="I341">
        <v>0.35039999999999999</v>
      </c>
      <c r="J341">
        <v>-0.16746451543000107</v>
      </c>
      <c r="K341">
        <v>-3.224885001428248E-2</v>
      </c>
      <c r="L341">
        <v>0.22132915693980673</v>
      </c>
      <c r="M341">
        <v>-1.3732090265260088E-3</v>
      </c>
      <c r="N341">
        <v>-2.6444057011711634E-4</v>
      </c>
      <c r="O341">
        <v>1.8148990869064153E-3</v>
      </c>
      <c r="P341">
        <v>-5.8679566206672376E-2</v>
      </c>
      <c r="Q341">
        <v>-1.1299997045004581E-2</v>
      </c>
      <c r="R341">
        <v>7.7553736591708278E-2</v>
      </c>
    </row>
    <row r="342" spans="1:18">
      <c r="A342" t="s">
        <v>86</v>
      </c>
      <c r="B342">
        <v>2017</v>
      </c>
      <c r="C342">
        <v>-1.8585435210111638</v>
      </c>
      <c r="D342">
        <v>0.45242870090051868</v>
      </c>
      <c r="E342">
        <v>8.49</v>
      </c>
      <c r="F342">
        <v>-10.66</v>
      </c>
      <c r="G342">
        <v>-3.43</v>
      </c>
      <c r="H342">
        <v>5.2000000000000005E-2</v>
      </c>
      <c r="I342">
        <v>7.6730000000000001E-3</v>
      </c>
      <c r="J342">
        <v>8.185657262963034E-3</v>
      </c>
      <c r="K342">
        <v>-1.0277868836653232E-2</v>
      </c>
      <c r="L342">
        <v>-3.3070441003490232E-3</v>
      </c>
      <c r="M342">
        <v>4.2565417767407779E-4</v>
      </c>
      <c r="N342">
        <v>-5.3444917950596813E-4</v>
      </c>
      <c r="O342">
        <v>-1.7196629321814921E-4</v>
      </c>
      <c r="P342">
        <v>6.2808548178715364E-5</v>
      </c>
      <c r="Q342">
        <v>-7.8862087583640256E-5</v>
      </c>
      <c r="R342">
        <v>-2.5374949381978056E-5</v>
      </c>
    </row>
    <row r="343" spans="1:18">
      <c r="A343" t="s">
        <v>86</v>
      </c>
      <c r="B343">
        <v>2018</v>
      </c>
      <c r="C343">
        <v>-2.1251206240739378</v>
      </c>
      <c r="D343">
        <v>0.4138635464239494</v>
      </c>
      <c r="E343">
        <v>58.63</v>
      </c>
      <c r="F343">
        <v>5.25</v>
      </c>
      <c r="G343">
        <v>-57.17</v>
      </c>
      <c r="H343">
        <v>2.5600000000000001E-2</v>
      </c>
      <c r="I343">
        <v>2.1900000000000001E-3</v>
      </c>
      <c r="J343">
        <v>6.2707894370942388E-2</v>
      </c>
      <c r="K343">
        <v>5.6151534273826964E-3</v>
      </c>
      <c r="L343">
        <v>-6.1146346941613097E-2</v>
      </c>
      <c r="M343">
        <v>1.6053220958961252E-3</v>
      </c>
      <c r="N343">
        <v>1.4374792774099704E-4</v>
      </c>
      <c r="O343">
        <v>-1.5653464817052955E-3</v>
      </c>
      <c r="P343">
        <v>1.3733028867236383E-4</v>
      </c>
      <c r="Q343">
        <v>1.2297186005968106E-5</v>
      </c>
      <c r="R343">
        <v>-1.339104998021327E-4</v>
      </c>
    </row>
    <row r="344" spans="1:18">
      <c r="A344" t="s">
        <v>86</v>
      </c>
      <c r="B344">
        <v>2019</v>
      </c>
      <c r="C344">
        <v>-2.4274261170436215</v>
      </c>
      <c r="D344">
        <v>0.37131723901932862</v>
      </c>
      <c r="E344">
        <v>163.19</v>
      </c>
      <c r="F344">
        <v>-63.54</v>
      </c>
      <c r="G344">
        <v>-50.86</v>
      </c>
      <c r="H344">
        <v>2.53E-2</v>
      </c>
      <c r="I344">
        <v>9.8999999999999999E-4</v>
      </c>
      <c r="J344">
        <v>0.1801393074367211</v>
      </c>
      <c r="K344">
        <v>-7.0139417822962541E-2</v>
      </c>
      <c r="L344">
        <v>-5.6142442405978522E-2</v>
      </c>
      <c r="M344">
        <v>4.5575244781490441E-3</v>
      </c>
      <c r="N344">
        <v>-1.7745272709209523E-3</v>
      </c>
      <c r="O344">
        <v>-1.4204037928712565E-3</v>
      </c>
      <c r="P344">
        <v>1.7833791436235388E-4</v>
      </c>
      <c r="Q344">
        <v>-6.9438023644732909E-5</v>
      </c>
      <c r="R344">
        <v>-5.5581017981918738E-5</v>
      </c>
    </row>
    <row r="345" spans="1:18">
      <c r="A345" t="s">
        <v>86</v>
      </c>
      <c r="B345">
        <v>2020</v>
      </c>
      <c r="C345">
        <v>-2.742172243058739</v>
      </c>
      <c r="D345">
        <v>0.30229198053792389</v>
      </c>
      <c r="E345">
        <v>58.03</v>
      </c>
      <c r="F345">
        <v>-0.94</v>
      </c>
      <c r="G345">
        <v>-99.82</v>
      </c>
      <c r="H345">
        <v>2.0400000000000001E-2</v>
      </c>
      <c r="I345">
        <v>9.8999999999999999E-4</v>
      </c>
      <c r="J345">
        <v>7.1661438909333408E-2</v>
      </c>
      <c r="K345">
        <v>-1.160809108646793E-3</v>
      </c>
      <c r="L345">
        <v>-0.12326804811183284</v>
      </c>
      <c r="M345">
        <v>1.4618933537504017E-3</v>
      </c>
      <c r="N345">
        <v>-2.3680505816394578E-5</v>
      </c>
      <c r="O345">
        <v>-2.5146681814813901E-3</v>
      </c>
      <c r="P345">
        <v>7.0944824520240078E-5</v>
      </c>
      <c r="Q345">
        <v>-1.1492010175603251E-6</v>
      </c>
      <c r="R345">
        <v>-1.2203536763071451E-4</v>
      </c>
    </row>
    <row r="346" spans="1:18">
      <c r="A346" t="s">
        <v>86</v>
      </c>
      <c r="B346">
        <v>2021</v>
      </c>
      <c r="C346">
        <v>-2.680282378574506</v>
      </c>
      <c r="D346">
        <v>0.29915707670726105</v>
      </c>
      <c r="E346">
        <v>53.7</v>
      </c>
      <c r="F346">
        <v>-7.49</v>
      </c>
      <c r="G346">
        <v>-18.71</v>
      </c>
      <c r="H346">
        <v>2.24E-2</v>
      </c>
      <c r="I346">
        <v>6.9999999999999999E-4</v>
      </c>
      <c r="J346">
        <v>6.6664183829280105E-2</v>
      </c>
      <c r="K346">
        <v>-9.2982260126872988E-3</v>
      </c>
      <c r="L346">
        <v>-2.322694375131901E-2</v>
      </c>
      <c r="M346">
        <v>1.4932777177758744E-3</v>
      </c>
      <c r="N346">
        <v>-2.082802626841955E-4</v>
      </c>
      <c r="O346">
        <v>-5.2028354002954579E-4</v>
      </c>
      <c r="P346">
        <v>4.6664928680496076E-5</v>
      </c>
      <c r="Q346">
        <v>-6.5087582088811094E-6</v>
      </c>
      <c r="R346">
        <v>-1.6258860625923306E-5</v>
      </c>
    </row>
    <row r="347" spans="1:18">
      <c r="A347" t="s">
        <v>87</v>
      </c>
      <c r="B347">
        <v>2017</v>
      </c>
      <c r="C347">
        <v>-0.8746077767288597</v>
      </c>
      <c r="D347">
        <v>0.63858410307854663</v>
      </c>
      <c r="E347">
        <v>-57.93</v>
      </c>
      <c r="F347">
        <v>134.97999999999999</v>
      </c>
      <c r="G347">
        <v>-95.83</v>
      </c>
      <c r="H347">
        <v>0.44059999999999999</v>
      </c>
      <c r="I347">
        <v>0.127</v>
      </c>
      <c r="J347">
        <v>-1.5094388785387653E-2</v>
      </c>
      <c r="K347">
        <v>3.5170733613872351E-2</v>
      </c>
      <c r="L347">
        <v>-2.496970960303295E-2</v>
      </c>
      <c r="M347">
        <v>-6.6505876988417999E-3</v>
      </c>
      <c r="N347">
        <v>1.5496225230272158E-2</v>
      </c>
      <c r="O347">
        <v>-1.1001654051096318E-2</v>
      </c>
      <c r="P347">
        <v>-1.9169873757442319E-3</v>
      </c>
      <c r="Q347">
        <v>4.4666831689617889E-3</v>
      </c>
      <c r="R347">
        <v>-3.1711531195851845E-3</v>
      </c>
    </row>
    <row r="348" spans="1:18">
      <c r="A348" t="s">
        <v>87</v>
      </c>
      <c r="B348">
        <v>2018</v>
      </c>
      <c r="C348">
        <v>-1.1778649048596717</v>
      </c>
      <c r="D348">
        <v>0.59049171650875987</v>
      </c>
      <c r="E348">
        <v>-157.24</v>
      </c>
      <c r="F348">
        <v>-364.27</v>
      </c>
      <c r="G348">
        <v>481.55</v>
      </c>
      <c r="H348">
        <v>0.3664</v>
      </c>
      <c r="I348">
        <v>0.11333</v>
      </c>
      <c r="J348">
        <v>-3.3290636743767532E-2</v>
      </c>
      <c r="K348">
        <v>-7.7122743873392255E-2</v>
      </c>
      <c r="L348">
        <v>0.10195310432435294</v>
      </c>
      <c r="M348">
        <v>-1.2197689302916424E-2</v>
      </c>
      <c r="N348">
        <v>-2.8257773355210923E-2</v>
      </c>
      <c r="O348">
        <v>3.7355617424442919E-2</v>
      </c>
      <c r="P348">
        <v>-3.7728278621711746E-3</v>
      </c>
      <c r="Q348">
        <v>-8.7403205631715435E-3</v>
      </c>
      <c r="R348">
        <v>1.1554345313078918E-2</v>
      </c>
    </row>
    <row r="349" spans="1:18">
      <c r="A349" t="s">
        <v>87</v>
      </c>
      <c r="B349">
        <v>2019</v>
      </c>
      <c r="C349">
        <v>-1.2536742947268342</v>
      </c>
      <c r="D349">
        <v>0.56514433037152989</v>
      </c>
      <c r="E349">
        <v>-28.6</v>
      </c>
      <c r="F349">
        <v>-124.73</v>
      </c>
      <c r="G349">
        <v>197.26</v>
      </c>
      <c r="H349">
        <v>0.50439999999999996</v>
      </c>
      <c r="I349">
        <v>0.11333</v>
      </c>
      <c r="J349">
        <v>-5.0642235624510845E-3</v>
      </c>
      <c r="K349">
        <v>-2.2086035137920412E-2</v>
      </c>
      <c r="L349">
        <v>3.4928976920597932E-2</v>
      </c>
      <c r="M349">
        <v>-2.5543943649003267E-3</v>
      </c>
      <c r="N349">
        <v>-1.1140196123567054E-2</v>
      </c>
      <c r="O349">
        <v>1.7618175958749597E-2</v>
      </c>
      <c r="P349">
        <v>-5.7392845633258145E-4</v>
      </c>
      <c r="Q349">
        <v>-2.5030103621805203E-3</v>
      </c>
      <c r="R349">
        <v>3.9585009544113635E-3</v>
      </c>
    </row>
    <row r="350" spans="1:18">
      <c r="A350" t="s">
        <v>87</v>
      </c>
      <c r="B350">
        <v>2020</v>
      </c>
      <c r="C350">
        <v>-0.79855235167579364</v>
      </c>
      <c r="D350">
        <v>0.63084522227515483</v>
      </c>
      <c r="E350">
        <v>88.66</v>
      </c>
      <c r="F350">
        <v>-355.25</v>
      </c>
      <c r="G350">
        <v>388.52</v>
      </c>
      <c r="H350">
        <v>0.39250000000000002</v>
      </c>
      <c r="I350">
        <v>7.9860000000000014E-2</v>
      </c>
      <c r="J350">
        <v>1.3076484009846448E-2</v>
      </c>
      <c r="K350">
        <v>-5.2395905081186002E-2</v>
      </c>
      <c r="L350">
        <v>5.730290511510875E-2</v>
      </c>
      <c r="M350">
        <v>5.1325199738647305E-3</v>
      </c>
      <c r="N350">
        <v>-2.0565392744365505E-2</v>
      </c>
      <c r="O350">
        <v>2.2491390257680186E-2</v>
      </c>
      <c r="P350">
        <v>1.0442880130263376E-3</v>
      </c>
      <c r="Q350">
        <v>-4.184336979783515E-3</v>
      </c>
      <c r="R350">
        <v>4.5762100024925858E-3</v>
      </c>
    </row>
    <row r="351" spans="1:18">
      <c r="A351" t="s">
        <v>87</v>
      </c>
      <c r="B351">
        <v>2021</v>
      </c>
      <c r="C351">
        <v>-0.87596335078536713</v>
      </c>
      <c r="D351">
        <v>0.60921861867470695</v>
      </c>
      <c r="E351">
        <v>-110.39</v>
      </c>
      <c r="F351">
        <v>-1208.55</v>
      </c>
      <c r="G351">
        <v>1272.98</v>
      </c>
      <c r="H351">
        <v>0.32100000000000001</v>
      </c>
      <c r="I351">
        <v>4.1009999999999998E-2</v>
      </c>
      <c r="J351">
        <v>-1.472711020985365E-2</v>
      </c>
      <c r="K351">
        <v>-0.1612324399322278</v>
      </c>
      <c r="L351">
        <v>0.16982803473991756</v>
      </c>
      <c r="M351">
        <v>-4.7274023773630214E-3</v>
      </c>
      <c r="N351">
        <v>-5.1755613218245122E-2</v>
      </c>
      <c r="O351">
        <v>5.451479915151354E-2</v>
      </c>
      <c r="P351">
        <v>-6.0395878970609818E-4</v>
      </c>
      <c r="Q351">
        <v>-6.6121423616206619E-3</v>
      </c>
      <c r="R351">
        <v>6.9646477046840186E-3</v>
      </c>
    </row>
    <row r="352" spans="1:18">
      <c r="A352" t="s">
        <v>88</v>
      </c>
      <c r="B352">
        <v>2017</v>
      </c>
      <c r="C352">
        <v>-2.0140783786496277</v>
      </c>
      <c r="D352">
        <v>0.40416285212193914</v>
      </c>
      <c r="E352">
        <v>97.6</v>
      </c>
      <c r="F352">
        <v>-117.55</v>
      </c>
      <c r="G352">
        <v>21.34</v>
      </c>
      <c r="H352">
        <v>8.3999999999999995E-3</v>
      </c>
      <c r="I352">
        <v>3.3799999999999997E-2</v>
      </c>
      <c r="J352">
        <v>0.10270332838757879</v>
      </c>
      <c r="K352">
        <v>-0.12369647799139229</v>
      </c>
      <c r="L352">
        <v>2.2455830202775938E-2</v>
      </c>
      <c r="M352">
        <v>8.6270795845566173E-4</v>
      </c>
      <c r="N352">
        <v>-1.0390504151276952E-3</v>
      </c>
      <c r="O352">
        <v>1.8862897370331786E-4</v>
      </c>
      <c r="P352">
        <v>3.4713724995001625E-3</v>
      </c>
      <c r="Q352">
        <v>-4.1809409561090593E-3</v>
      </c>
      <c r="R352">
        <v>7.5900706085382666E-4</v>
      </c>
    </row>
    <row r="353" spans="1:18">
      <c r="A353" t="s">
        <v>88</v>
      </c>
      <c r="B353">
        <v>2018</v>
      </c>
      <c r="C353">
        <v>-1.7836805111545913</v>
      </c>
      <c r="D353">
        <v>0.41199517143522735</v>
      </c>
      <c r="E353">
        <v>0.6</v>
      </c>
      <c r="F353">
        <v>9.5</v>
      </c>
      <c r="G353">
        <v>9.68</v>
      </c>
      <c r="H353">
        <v>6.3E-3</v>
      </c>
      <c r="I353">
        <v>3.3799999999999997E-2</v>
      </c>
      <c r="J353">
        <v>6.3533747008619407E-4</v>
      </c>
      <c r="K353">
        <v>1.0059509943031408E-2</v>
      </c>
      <c r="L353">
        <v>1.0250111184057265E-2</v>
      </c>
      <c r="M353">
        <v>4.0026260615430227E-6</v>
      </c>
      <c r="N353">
        <v>6.3374912641097874E-5</v>
      </c>
      <c r="O353">
        <v>6.4575700459560767E-5</v>
      </c>
      <c r="P353">
        <v>2.1474406488913359E-5</v>
      </c>
      <c r="Q353">
        <v>3.4001143607446157E-4</v>
      </c>
      <c r="R353">
        <v>3.4645375802113554E-4</v>
      </c>
    </row>
    <row r="354" spans="1:18">
      <c r="A354" t="s">
        <v>88</v>
      </c>
      <c r="B354">
        <v>2019</v>
      </c>
      <c r="C354">
        <v>-2.5738451534405589</v>
      </c>
      <c r="D354">
        <v>0.35808163050900876</v>
      </c>
      <c r="E354">
        <v>-53.36</v>
      </c>
      <c r="F354">
        <v>53.57</v>
      </c>
      <c r="G354">
        <v>-23.42</v>
      </c>
      <c r="H354">
        <v>6.9999999999999999E-4</v>
      </c>
      <c r="I354">
        <v>3.3799999999999997E-2</v>
      </c>
      <c r="J354">
        <v>-5.6059253033566209E-2</v>
      </c>
      <c r="K354">
        <v>5.6279876030887216E-2</v>
      </c>
      <c r="L354">
        <v>-2.4604717129799863E-2</v>
      </c>
      <c r="M354">
        <v>-3.9241477123496344E-5</v>
      </c>
      <c r="N354">
        <v>3.939591322162105E-5</v>
      </c>
      <c r="O354">
        <v>-1.7223301990859905E-5</v>
      </c>
      <c r="P354">
        <v>-1.8948027525345376E-3</v>
      </c>
      <c r="Q354">
        <v>1.9022598098439878E-3</v>
      </c>
      <c r="R354">
        <v>-8.3163943898723535E-4</v>
      </c>
    </row>
    <row r="355" spans="1:18">
      <c r="A355" t="s">
        <v>88</v>
      </c>
      <c r="B355">
        <v>2020</v>
      </c>
      <c r="C355">
        <v>-1.8709988719701725</v>
      </c>
      <c r="D355">
        <v>0.40604343720491026</v>
      </c>
      <c r="E355">
        <v>1.45</v>
      </c>
      <c r="F355">
        <v>18</v>
      </c>
      <c r="G355">
        <v>-18.579999999999998</v>
      </c>
      <c r="H355">
        <v>6.9999999999999999E-4</v>
      </c>
      <c r="I355">
        <v>0</v>
      </c>
      <c r="J355">
        <v>1.4722755287499873E-3</v>
      </c>
      <c r="K355">
        <v>1.8276523805172255E-2</v>
      </c>
      <c r="L355">
        <v>-1.8865434016672251E-2</v>
      </c>
      <c r="M355">
        <v>1.030592870124991E-6</v>
      </c>
      <c r="N355">
        <v>1.2793566663620578E-5</v>
      </c>
      <c r="O355">
        <v>-1.3205803811670575E-5</v>
      </c>
      <c r="P355">
        <v>0</v>
      </c>
      <c r="Q355">
        <v>0</v>
      </c>
      <c r="R355">
        <v>0</v>
      </c>
    </row>
    <row r="356" spans="1:18">
      <c r="A356" t="s">
        <v>88</v>
      </c>
      <c r="B356">
        <v>2021</v>
      </c>
      <c r="C356">
        <v>-3.2184280506503757</v>
      </c>
      <c r="D356">
        <v>0.20151358874625641</v>
      </c>
      <c r="E356">
        <v>9.66</v>
      </c>
      <c r="F356">
        <v>81.180000000000007</v>
      </c>
      <c r="G356">
        <v>-52.02</v>
      </c>
      <c r="H356">
        <v>2.0000000000000001E-4</v>
      </c>
      <c r="I356">
        <v>4.6100000000000002E-2</v>
      </c>
      <c r="J356">
        <v>1.2004324539275017E-2</v>
      </c>
      <c r="K356">
        <v>0.10088106274310001</v>
      </c>
      <c r="L356">
        <v>-6.4644406059325726E-2</v>
      </c>
      <c r="M356">
        <v>2.4008649078550036E-6</v>
      </c>
      <c r="N356">
        <v>2.0176212548620002E-5</v>
      </c>
      <c r="O356">
        <v>-1.2928881211865146E-5</v>
      </c>
      <c r="P356">
        <v>5.533993612605783E-4</v>
      </c>
      <c r="Q356">
        <v>4.6506169924569107E-3</v>
      </c>
      <c r="R356">
        <v>-2.9801071193349161E-3</v>
      </c>
    </row>
    <row r="357" spans="1:18">
      <c r="A357" t="s">
        <v>89</v>
      </c>
      <c r="B357">
        <v>2017</v>
      </c>
      <c r="C357">
        <v>-3.3690269648526083</v>
      </c>
      <c r="D357">
        <v>0.18402119404264528</v>
      </c>
      <c r="E357">
        <v>96.91</v>
      </c>
      <c r="F357">
        <v>-757.62</v>
      </c>
      <c r="G357">
        <v>657.63</v>
      </c>
      <c r="H357">
        <v>6.7000000000000002E-3</v>
      </c>
      <c r="I357">
        <v>4.0000000000000002E-4</v>
      </c>
      <c r="J357">
        <v>1.9779609714480485E-2</v>
      </c>
      <c r="K357">
        <v>-0.15463242092544327</v>
      </c>
      <c r="L357">
        <v>0.13422417435284081</v>
      </c>
      <c r="M357">
        <v>1.3252338508701924E-4</v>
      </c>
      <c r="N357">
        <v>-1.0360372202004699E-3</v>
      </c>
      <c r="O357">
        <v>8.9930196816403346E-4</v>
      </c>
      <c r="P357">
        <v>7.9118438857921944E-6</v>
      </c>
      <c r="Q357">
        <v>-6.1852968370177316E-5</v>
      </c>
      <c r="R357">
        <v>5.368966974113633E-5</v>
      </c>
    </row>
    <row r="358" spans="1:18">
      <c r="A358" t="s">
        <v>89</v>
      </c>
      <c r="B358">
        <v>2018</v>
      </c>
      <c r="C358">
        <v>-2.9615915949642639</v>
      </c>
      <c r="D358">
        <v>0.23640589614972421</v>
      </c>
      <c r="E358">
        <v>-145.44</v>
      </c>
      <c r="F358">
        <v>-252.09</v>
      </c>
      <c r="G358">
        <v>394.19</v>
      </c>
      <c r="H358">
        <v>2.2499999999999999E-2</v>
      </c>
      <c r="I358">
        <v>4.0000000000000002E-4</v>
      </c>
      <c r="J358">
        <v>-2.7983814641861431E-2</v>
      </c>
      <c r="K358">
        <v>-4.8504124264761056E-2</v>
      </c>
      <c r="L358">
        <v>7.5845296298647946E-2</v>
      </c>
      <c r="M358">
        <v>-6.2963582944188217E-4</v>
      </c>
      <c r="N358">
        <v>-1.0913427959571237E-3</v>
      </c>
      <c r="O358">
        <v>1.7065191667195788E-3</v>
      </c>
      <c r="P358">
        <v>-1.1193525856744574E-5</v>
      </c>
      <c r="Q358">
        <v>-1.9401649705904422E-5</v>
      </c>
      <c r="R358">
        <v>3.033811851945918E-5</v>
      </c>
    </row>
    <row r="359" spans="1:18">
      <c r="A359" t="s">
        <v>89</v>
      </c>
      <c r="B359">
        <v>2019</v>
      </c>
      <c r="C359">
        <v>-3.0585171778844082</v>
      </c>
      <c r="D359">
        <v>0.23426829475978814</v>
      </c>
      <c r="E359">
        <v>128.69999999999999</v>
      </c>
      <c r="F359">
        <v>-125.63</v>
      </c>
      <c r="G359">
        <v>-19.98</v>
      </c>
      <c r="H359">
        <v>1.77E-2</v>
      </c>
      <c r="I359">
        <v>4.0000000000000002E-4</v>
      </c>
      <c r="J359">
        <v>2.4353275771045145E-2</v>
      </c>
      <c r="K359">
        <v>-2.3772354585209026E-2</v>
      </c>
      <c r="L359">
        <v>-3.780718336483932E-3</v>
      </c>
      <c r="M359">
        <v>4.3105298114749909E-4</v>
      </c>
      <c r="N359">
        <v>-4.207706761581998E-4</v>
      </c>
      <c r="O359">
        <v>-6.6918714555765603E-5</v>
      </c>
      <c r="P359">
        <v>9.741310308418059E-6</v>
      </c>
      <c r="Q359">
        <v>-9.5089418340836111E-6</v>
      </c>
      <c r="R359">
        <v>-1.5122873345935729E-6</v>
      </c>
    </row>
    <row r="360" spans="1:18">
      <c r="A360" t="s">
        <v>89</v>
      </c>
      <c r="B360">
        <v>2020</v>
      </c>
      <c r="C360">
        <v>-3.0542707673474756</v>
      </c>
      <c r="D360">
        <v>0.23417953890817153</v>
      </c>
      <c r="E360">
        <v>72.5</v>
      </c>
      <c r="F360">
        <v>-1.58</v>
      </c>
      <c r="G360">
        <v>-35.130000000000003</v>
      </c>
      <c r="H360">
        <v>1.6799999999999999E-2</v>
      </c>
      <c r="I360">
        <v>0</v>
      </c>
      <c r="J360">
        <v>1.3720718095072276E-2</v>
      </c>
      <c r="K360">
        <v>-2.9901702883054066E-4</v>
      </c>
      <c r="L360">
        <v>-6.6483976093777803E-3</v>
      </c>
      <c r="M360">
        <v>2.3050806399721422E-4</v>
      </c>
      <c r="N360">
        <v>-5.0234860843530825E-6</v>
      </c>
      <c r="O360">
        <v>-1.1169307983754671E-4</v>
      </c>
      <c r="P360">
        <v>0</v>
      </c>
      <c r="Q360">
        <v>0</v>
      </c>
      <c r="R360">
        <v>0</v>
      </c>
    </row>
    <row r="361" spans="1:18">
      <c r="A361" t="s">
        <v>89</v>
      </c>
      <c r="B361">
        <v>2021</v>
      </c>
      <c r="C361">
        <v>-3.2634190663800182</v>
      </c>
      <c r="D361">
        <v>0.21463115466370769</v>
      </c>
      <c r="E361">
        <v>-8.68</v>
      </c>
      <c r="F361">
        <v>269.20999999999998</v>
      </c>
      <c r="G361">
        <v>-22.74</v>
      </c>
      <c r="H361">
        <v>1.6799999999999999E-2</v>
      </c>
      <c r="I361">
        <v>4.0000000000000002E-4</v>
      </c>
      <c r="J361">
        <v>-1.4505153674416117E-3</v>
      </c>
      <c r="K361">
        <v>4.4987700699188511E-2</v>
      </c>
      <c r="L361">
        <v>-3.8000828865924251E-3</v>
      </c>
      <c r="M361">
        <v>-2.4368658173019074E-5</v>
      </c>
      <c r="N361">
        <v>7.5579337174636692E-4</v>
      </c>
      <c r="O361">
        <v>-6.3841392494752737E-5</v>
      </c>
      <c r="P361">
        <v>-5.8020614697664469E-7</v>
      </c>
      <c r="Q361">
        <v>1.7995080279675404E-5</v>
      </c>
      <c r="R361">
        <v>-1.5200331546369701E-6</v>
      </c>
    </row>
    <row r="362" spans="1:18">
      <c r="A362" t="s">
        <v>90</v>
      </c>
      <c r="B362">
        <v>2017</v>
      </c>
      <c r="C362">
        <v>-0.89537615659236325</v>
      </c>
      <c r="D362">
        <v>0.65195332626155478</v>
      </c>
      <c r="E362">
        <v>-279.97000000000003</v>
      </c>
      <c r="F362">
        <v>-47.46</v>
      </c>
      <c r="G362">
        <v>168.33</v>
      </c>
      <c r="H362">
        <v>0.1094</v>
      </c>
      <c r="I362">
        <v>2.3399999999999997E-2</v>
      </c>
      <c r="J362">
        <v>-0.16970450068192153</v>
      </c>
      <c r="K362">
        <v>-2.876799515078042E-2</v>
      </c>
      <c r="L362">
        <v>0.10203364146082741</v>
      </c>
      <c r="M362">
        <v>-1.8565672374602216E-2</v>
      </c>
      <c r="N362">
        <v>-3.1472186694953778E-3</v>
      </c>
      <c r="O362">
        <v>1.1162480375814519E-2</v>
      </c>
      <c r="P362">
        <v>-3.9710853159569629E-3</v>
      </c>
      <c r="Q362">
        <v>-6.7317108652826174E-4</v>
      </c>
      <c r="R362">
        <v>2.3875872101833612E-3</v>
      </c>
    </row>
    <row r="363" spans="1:18">
      <c r="A363" t="s">
        <v>90</v>
      </c>
      <c r="B363">
        <v>2018</v>
      </c>
      <c r="C363">
        <v>-1.7754373371530709</v>
      </c>
      <c r="D363">
        <v>0.53925122388379121</v>
      </c>
      <c r="E363">
        <v>364.37</v>
      </c>
      <c r="F363">
        <v>-76.08</v>
      </c>
      <c r="G363">
        <v>-427.96</v>
      </c>
      <c r="H363">
        <v>6.6600000000000006E-2</v>
      </c>
      <c r="I363">
        <v>3.3699999999999994E-2</v>
      </c>
      <c r="J363">
        <v>0.24368663224632836</v>
      </c>
      <c r="K363">
        <v>-5.0881463845268989E-2</v>
      </c>
      <c r="L363">
        <v>-0.28621492201920762</v>
      </c>
      <c r="M363">
        <v>1.622952970760547E-2</v>
      </c>
      <c r="N363">
        <v>-3.3887054920949148E-3</v>
      </c>
      <c r="O363">
        <v>-1.906191380647923E-2</v>
      </c>
      <c r="P363">
        <v>8.2122395067012639E-3</v>
      </c>
      <c r="Q363">
        <v>-1.7147053315855645E-3</v>
      </c>
      <c r="R363">
        <v>-9.6454428720472943E-3</v>
      </c>
    </row>
    <row r="364" spans="1:18">
      <c r="A364" t="s">
        <v>90</v>
      </c>
      <c r="B364">
        <v>2019</v>
      </c>
      <c r="C364">
        <v>-2.8059812187158766</v>
      </c>
      <c r="D364">
        <v>0.38273585650035513</v>
      </c>
      <c r="E364">
        <v>556.70000000000005</v>
      </c>
      <c r="F364">
        <v>-151.18</v>
      </c>
      <c r="G364">
        <v>-188.73</v>
      </c>
      <c r="H364">
        <v>7.3800000000000004E-2</v>
      </c>
      <c r="I364">
        <v>3.9099999999999996E-2</v>
      </c>
      <c r="J364">
        <v>0.36604771047578977</v>
      </c>
      <c r="K364">
        <v>-9.9405591646721553E-2</v>
      </c>
      <c r="L364">
        <v>-0.12409589437416164</v>
      </c>
      <c r="M364">
        <v>2.7014321033113287E-2</v>
      </c>
      <c r="N364">
        <v>-7.3361326635280506E-3</v>
      </c>
      <c r="O364">
        <v>-9.1582770048131302E-3</v>
      </c>
      <c r="P364">
        <v>1.4312465479603378E-2</v>
      </c>
      <c r="Q364">
        <v>-3.8867586333868123E-3</v>
      </c>
      <c r="R364">
        <v>-4.8521494700297201E-3</v>
      </c>
    </row>
    <row r="365" spans="1:18">
      <c r="A365" t="s">
        <v>90</v>
      </c>
      <c r="B365">
        <v>2020</v>
      </c>
      <c r="C365">
        <v>-2.8035006948913495</v>
      </c>
      <c r="D365">
        <v>0.36817714299071974</v>
      </c>
      <c r="E365">
        <v>42.01</v>
      </c>
      <c r="F365">
        <v>-60.85</v>
      </c>
      <c r="G365">
        <v>42.5</v>
      </c>
      <c r="H365">
        <v>8.4900000000000003E-2</v>
      </c>
      <c r="I365">
        <v>3.3099999999999997E-2</v>
      </c>
      <c r="J365">
        <v>2.4550597255662821E-2</v>
      </c>
      <c r="K365">
        <v>-3.5560672292479951E-2</v>
      </c>
      <c r="L365">
        <v>2.4836952710442037E-2</v>
      </c>
      <c r="M365">
        <v>2.0843457070057734E-3</v>
      </c>
      <c r="N365">
        <v>-3.0191010776315481E-3</v>
      </c>
      <c r="O365">
        <v>2.1086572851165292E-3</v>
      </c>
      <c r="P365">
        <v>8.1262476916243932E-4</v>
      </c>
      <c r="Q365">
        <v>-1.1770582528810862E-3</v>
      </c>
      <c r="R365">
        <v>8.2210313471563136E-4</v>
      </c>
    </row>
    <row r="366" spans="1:18">
      <c r="A366" t="s">
        <v>90</v>
      </c>
      <c r="B366">
        <v>2021</v>
      </c>
      <c r="C366">
        <v>-3.2640619669278603</v>
      </c>
      <c r="D366">
        <v>0.26781071050233718</v>
      </c>
      <c r="E366">
        <v>178.37</v>
      </c>
      <c r="F366">
        <v>-232.52</v>
      </c>
      <c r="G366">
        <v>555.17999999999995</v>
      </c>
      <c r="H366">
        <v>0.32450000000000001</v>
      </c>
      <c r="I366">
        <v>2.0100000000000003E-2</v>
      </c>
      <c r="J366">
        <v>6.6068346309699308E-2</v>
      </c>
      <c r="K366">
        <v>-8.6125536154797802E-2</v>
      </c>
      <c r="L366">
        <v>0.20563897799079922</v>
      </c>
      <c r="M366">
        <v>2.1439178377497425E-2</v>
      </c>
      <c r="N366">
        <v>-2.7947736482231887E-2</v>
      </c>
      <c r="O366">
        <v>6.6729848358014349E-2</v>
      </c>
      <c r="P366">
        <v>1.3279737608249563E-3</v>
      </c>
      <c r="Q366">
        <v>-1.7311232767114361E-3</v>
      </c>
      <c r="R366">
        <v>4.133343457615065E-3</v>
      </c>
    </row>
    <row r="367" spans="1:18">
      <c r="A367" t="s">
        <v>91</v>
      </c>
      <c r="B367">
        <v>2017</v>
      </c>
      <c r="C367">
        <v>-2.259244392752747</v>
      </c>
      <c r="D367">
        <v>0.47045802186267982</v>
      </c>
      <c r="E367">
        <v>1988.18</v>
      </c>
      <c r="F367">
        <v>-2608.7800000000002</v>
      </c>
      <c r="G367">
        <v>-1912.1</v>
      </c>
      <c r="H367">
        <v>0.49</v>
      </c>
      <c r="I367">
        <v>0.11649999999999999</v>
      </c>
      <c r="J367">
        <v>7.9528217961189904E-2</v>
      </c>
      <c r="K367">
        <v>-0.10435253571245713</v>
      </c>
      <c r="L367">
        <v>-7.6484979007731296E-2</v>
      </c>
      <c r="M367">
        <v>3.8968826800983049E-2</v>
      </c>
      <c r="N367">
        <v>-5.1132742499103996E-2</v>
      </c>
      <c r="O367">
        <v>-3.7477639713788334E-2</v>
      </c>
      <c r="P367">
        <v>9.2650373924786228E-3</v>
      </c>
      <c r="Q367">
        <v>-1.2157070410501255E-2</v>
      </c>
      <c r="R367">
        <v>-8.9105000544006958E-3</v>
      </c>
    </row>
    <row r="368" spans="1:18">
      <c r="A368" t="s">
        <v>91</v>
      </c>
      <c r="B368">
        <v>2018</v>
      </c>
      <c r="C368">
        <v>-1.9243169613746045</v>
      </c>
      <c r="D368">
        <v>0.50348034937579544</v>
      </c>
      <c r="E368">
        <v>3588.32</v>
      </c>
      <c r="F368">
        <v>-3696.73</v>
      </c>
      <c r="G368">
        <v>553.48</v>
      </c>
      <c r="H368">
        <v>0.49</v>
      </c>
      <c r="I368">
        <v>0.1164</v>
      </c>
      <c r="J368">
        <v>0.1205871411399039</v>
      </c>
      <c r="K368">
        <v>-0.12423030896523078</v>
      </c>
      <c r="L368">
        <v>1.8599949524600375E-2</v>
      </c>
      <c r="M368">
        <v>5.9087699158552914E-2</v>
      </c>
      <c r="N368">
        <v>-6.0872851392963084E-2</v>
      </c>
      <c r="O368">
        <v>9.1139752670541842E-3</v>
      </c>
      <c r="P368">
        <v>1.4036343228684814E-2</v>
      </c>
      <c r="Q368">
        <v>-1.4460407963552864E-2</v>
      </c>
      <c r="R368">
        <v>2.1650341246634837E-3</v>
      </c>
    </row>
    <row r="369" spans="1:18">
      <c r="A369" t="s">
        <v>91</v>
      </c>
      <c r="B369">
        <v>2019</v>
      </c>
      <c r="C369">
        <v>-1.999279700133018</v>
      </c>
      <c r="D369">
        <v>0.49693928519238084</v>
      </c>
      <c r="E369">
        <v>3898.75</v>
      </c>
      <c r="F369">
        <v>-3845.07</v>
      </c>
      <c r="G369">
        <v>-514.37</v>
      </c>
      <c r="H369">
        <v>0.49</v>
      </c>
      <c r="I369">
        <v>0.1096</v>
      </c>
      <c r="J369">
        <v>0.1167494555934331</v>
      </c>
      <c r="K369">
        <v>-0.11514198889865772</v>
      </c>
      <c r="L369">
        <v>-1.5402992619068722E-2</v>
      </c>
      <c r="M369">
        <v>5.7207233240782217E-2</v>
      </c>
      <c r="N369">
        <v>-5.641957456034228E-2</v>
      </c>
      <c r="O369">
        <v>-7.5474663833436737E-3</v>
      </c>
      <c r="P369">
        <v>1.2795740333040267E-2</v>
      </c>
      <c r="Q369">
        <v>-1.2619561983292886E-2</v>
      </c>
      <c r="R369">
        <v>-1.688167991049932E-3</v>
      </c>
    </row>
    <row r="370" spans="1:18">
      <c r="A370" t="s">
        <v>91</v>
      </c>
      <c r="B370">
        <v>2020</v>
      </c>
      <c r="C370">
        <v>-1.6226377213073373</v>
      </c>
      <c r="D370">
        <v>0.5541880160021776</v>
      </c>
      <c r="E370">
        <v>6339.68</v>
      </c>
      <c r="F370">
        <v>-8144.12</v>
      </c>
      <c r="G370">
        <v>3037.36</v>
      </c>
      <c r="H370">
        <v>0.49</v>
      </c>
      <c r="I370">
        <v>2.9000000000000002E-3</v>
      </c>
      <c r="J370">
        <v>0.15190567379557163</v>
      </c>
      <c r="K370">
        <v>-0.19514203178582998</v>
      </c>
      <c r="L370">
        <v>7.2778471052122096E-2</v>
      </c>
      <c r="M370">
        <v>7.4433780159830099E-2</v>
      </c>
      <c r="N370">
        <v>-9.5619595575056684E-2</v>
      </c>
      <c r="O370">
        <v>3.5661450815539827E-2</v>
      </c>
      <c r="P370">
        <v>4.4052645400715777E-4</v>
      </c>
      <c r="Q370">
        <v>-5.6591189217890703E-4</v>
      </c>
      <c r="R370">
        <v>2.1105756605115409E-4</v>
      </c>
    </row>
    <row r="371" spans="1:18">
      <c r="A371" t="s">
        <v>91</v>
      </c>
      <c r="B371">
        <v>2021</v>
      </c>
      <c r="C371">
        <v>-1.3265066807910013</v>
      </c>
      <c r="D371">
        <v>0.6011396340343782</v>
      </c>
      <c r="E371">
        <v>5839.69</v>
      </c>
      <c r="F371">
        <v>-10412.89</v>
      </c>
      <c r="G371">
        <v>5364.66</v>
      </c>
      <c r="H371">
        <v>0.49</v>
      </c>
      <c r="I371">
        <v>2.4000000000000002E-3</v>
      </c>
      <c r="J371">
        <v>0.10875072675041164</v>
      </c>
      <c r="K371">
        <v>-0.19391600497151285</v>
      </c>
      <c r="L371">
        <v>9.9904391118169511E-2</v>
      </c>
      <c r="M371">
        <v>5.3287856107701703E-2</v>
      </c>
      <c r="N371">
        <v>-9.5018842436041293E-2</v>
      </c>
      <c r="O371">
        <v>4.8953151647903058E-2</v>
      </c>
      <c r="P371">
        <v>2.6100174420098796E-4</v>
      </c>
      <c r="Q371">
        <v>-4.6539841193163085E-4</v>
      </c>
      <c r="R371">
        <v>2.3977053868360685E-4</v>
      </c>
    </row>
    <row r="372" spans="1:18">
      <c r="A372" t="s">
        <v>92</v>
      </c>
      <c r="B372">
        <v>2017</v>
      </c>
      <c r="C372">
        <v>-0.11423589340407252</v>
      </c>
      <c r="D372">
        <v>0.79426177209827364</v>
      </c>
      <c r="E372">
        <v>178.86</v>
      </c>
      <c r="F372">
        <v>263.27999999999997</v>
      </c>
      <c r="G372">
        <v>-1261.57</v>
      </c>
      <c r="H372">
        <v>0.309</v>
      </c>
      <c r="I372">
        <v>2.1000000000000001E-2</v>
      </c>
      <c r="J372">
        <v>4.6202369789446765E-2</v>
      </c>
      <c r="K372">
        <v>6.8009392363667348E-2</v>
      </c>
      <c r="L372">
        <v>-0.32588350472588812</v>
      </c>
      <c r="M372">
        <v>1.427653226493905E-2</v>
      </c>
      <c r="N372">
        <v>2.1014902240373209E-2</v>
      </c>
      <c r="O372">
        <v>-0.10069800296029943</v>
      </c>
      <c r="P372">
        <v>9.7024976557838212E-4</v>
      </c>
      <c r="Q372">
        <v>1.4281972396370144E-3</v>
      </c>
      <c r="R372">
        <v>-6.8435535992436508E-3</v>
      </c>
    </row>
    <row r="373" spans="1:18">
      <c r="A373" t="s">
        <v>92</v>
      </c>
      <c r="B373">
        <v>2018</v>
      </c>
      <c r="C373">
        <v>-0.1857615681625068</v>
      </c>
      <c r="D373">
        <v>0.77576548038090665</v>
      </c>
      <c r="E373">
        <v>-1386.74</v>
      </c>
      <c r="F373">
        <v>-104.61</v>
      </c>
      <c r="G373">
        <v>1801.65</v>
      </c>
      <c r="H373">
        <v>0.48699999999999999</v>
      </c>
      <c r="I373">
        <v>1.7000000000000001E-2</v>
      </c>
      <c r="J373">
        <v>-0.2683491786433731</v>
      </c>
      <c r="K373">
        <v>-2.0243165682019167E-2</v>
      </c>
      <c r="L373">
        <v>0.34863874821728169</v>
      </c>
      <c r="M373">
        <v>-0.13068604999932271</v>
      </c>
      <c r="N373">
        <v>-9.8584216871433344E-3</v>
      </c>
      <c r="O373">
        <v>0.16978707038181617</v>
      </c>
      <c r="P373">
        <v>-4.5619360369373429E-3</v>
      </c>
      <c r="Q373">
        <v>-3.4413381659432584E-4</v>
      </c>
      <c r="R373">
        <v>5.9268587196937891E-3</v>
      </c>
    </row>
    <row r="374" spans="1:18">
      <c r="A374" t="s">
        <v>92</v>
      </c>
      <c r="B374">
        <v>2019</v>
      </c>
      <c r="C374">
        <v>0.15028236567502568</v>
      </c>
      <c r="D374">
        <v>0.80597442737614433</v>
      </c>
      <c r="E374">
        <v>-108.2</v>
      </c>
      <c r="F374">
        <v>-646.99</v>
      </c>
      <c r="G374">
        <v>676.46</v>
      </c>
      <c r="H374">
        <v>0.52490000000000003</v>
      </c>
      <c r="I374">
        <v>1.21E-2</v>
      </c>
      <c r="J374">
        <v>-1.6409428900310444E-2</v>
      </c>
      <c r="K374">
        <v>-9.8121408541699207E-2</v>
      </c>
      <c r="L374">
        <v>0.1025907788715712</v>
      </c>
      <c r="M374">
        <v>-8.6133092297729537E-3</v>
      </c>
      <c r="N374">
        <v>-5.1503927343537918E-2</v>
      </c>
      <c r="O374">
        <v>5.3849899829687728E-2</v>
      </c>
      <c r="P374">
        <v>-1.9855408969375637E-4</v>
      </c>
      <c r="Q374">
        <v>-1.1872690433545603E-3</v>
      </c>
      <c r="R374">
        <v>1.2413484243460114E-3</v>
      </c>
    </row>
    <row r="375" spans="1:18">
      <c r="A375" t="s">
        <v>92</v>
      </c>
      <c r="B375">
        <v>2020</v>
      </c>
      <c r="C375">
        <v>9.0523298295258597E-2</v>
      </c>
      <c r="D375">
        <v>0.77260105650403332</v>
      </c>
      <c r="E375">
        <v>1518.33</v>
      </c>
      <c r="F375">
        <v>-396.26</v>
      </c>
      <c r="G375">
        <v>-1272.8399999999999</v>
      </c>
      <c r="H375">
        <v>0.17829999999999999</v>
      </c>
      <c r="I375">
        <v>1.21E-2</v>
      </c>
      <c r="J375">
        <v>0.28182040916329781</v>
      </c>
      <c r="K375">
        <v>-7.3550647971816666E-2</v>
      </c>
      <c r="L375">
        <v>-0.23625449645295288</v>
      </c>
      <c r="M375">
        <v>5.0248578953815994E-2</v>
      </c>
      <c r="N375">
        <v>-1.311408053337491E-2</v>
      </c>
      <c r="O375">
        <v>-4.2124176717561496E-2</v>
      </c>
      <c r="P375">
        <v>3.4100269508759037E-3</v>
      </c>
      <c r="Q375">
        <v>-8.899628404589816E-4</v>
      </c>
      <c r="R375">
        <v>-2.8586794070807296E-3</v>
      </c>
    </row>
    <row r="376" spans="1:18">
      <c r="A376" t="s">
        <v>92</v>
      </c>
      <c r="B376">
        <v>2021</v>
      </c>
      <c r="C376">
        <v>0.32288166248036088</v>
      </c>
      <c r="D376">
        <v>0.84431030022983355</v>
      </c>
      <c r="E376">
        <v>-1474.35</v>
      </c>
      <c r="F376">
        <v>-1686.13</v>
      </c>
      <c r="G376">
        <v>3564.19</v>
      </c>
      <c r="H376">
        <v>0.14860000000000001</v>
      </c>
      <c r="I376">
        <v>1.5300000000000001E-2</v>
      </c>
      <c r="J376">
        <v>-0.13669019392605461</v>
      </c>
      <c r="K376">
        <v>-0.15632477816294538</v>
      </c>
      <c r="L376">
        <v>0.33044380390633477</v>
      </c>
      <c r="M376">
        <v>-2.0312162817411716E-2</v>
      </c>
      <c r="N376">
        <v>-2.3229862035013683E-2</v>
      </c>
      <c r="O376">
        <v>4.9103949260481353E-2</v>
      </c>
      <c r="P376">
        <v>-2.0913599670686358E-3</v>
      </c>
      <c r="Q376">
        <v>-2.3917691058930645E-3</v>
      </c>
      <c r="R376">
        <v>5.0557901997669219E-3</v>
      </c>
    </row>
    <row r="377" spans="1:18">
      <c r="A377" t="s">
        <v>93</v>
      </c>
      <c r="B377">
        <v>2017</v>
      </c>
      <c r="C377">
        <v>-3.3219052845150721</v>
      </c>
      <c r="D377">
        <v>0.30082450386447818</v>
      </c>
      <c r="E377">
        <v>14385.55</v>
      </c>
      <c r="F377">
        <v>-8691.2099999999991</v>
      </c>
      <c r="G377">
        <v>-5728.94</v>
      </c>
      <c r="H377">
        <v>3.3099999999999997E-2</v>
      </c>
      <c r="I377">
        <v>1.3059999999999998E-4</v>
      </c>
      <c r="J377">
        <v>0.23243986767349595</v>
      </c>
      <c r="K377">
        <v>-0.1404314539466732</v>
      </c>
      <c r="L377">
        <v>-9.2567476079079211E-2</v>
      </c>
      <c r="M377">
        <v>7.6937596199927157E-3</v>
      </c>
      <c r="N377">
        <v>-4.6482811256348825E-3</v>
      </c>
      <c r="O377">
        <v>-3.0639834582175218E-3</v>
      </c>
      <c r="P377">
        <v>3.0356646718158564E-5</v>
      </c>
      <c r="Q377">
        <v>-1.8340347885435517E-5</v>
      </c>
      <c r="R377">
        <v>-1.2089312375927743E-5</v>
      </c>
    </row>
    <row r="378" spans="1:18">
      <c r="A378" t="s">
        <v>93</v>
      </c>
      <c r="B378">
        <v>2018</v>
      </c>
      <c r="C378">
        <v>-3.7217678289662404</v>
      </c>
      <c r="D378">
        <v>0.25149638054620643</v>
      </c>
      <c r="E378">
        <v>12421.89</v>
      </c>
      <c r="F378">
        <v>-7314.51</v>
      </c>
      <c r="G378">
        <v>-11905.05</v>
      </c>
      <c r="H378">
        <v>3.4000000000000002E-2</v>
      </c>
      <c r="I378">
        <v>7.4200000000000001E-5</v>
      </c>
      <c r="J378">
        <v>0.19838704886190753</v>
      </c>
      <c r="K378">
        <v>-0.11681829840474448</v>
      </c>
      <c r="L378">
        <v>-0.19013272022642708</v>
      </c>
      <c r="M378">
        <v>6.7451596613048561E-3</v>
      </c>
      <c r="N378">
        <v>-3.9718221457613126E-3</v>
      </c>
      <c r="O378">
        <v>-6.4645124876985208E-3</v>
      </c>
      <c r="P378">
        <v>1.472031902555354E-5</v>
      </c>
      <c r="Q378">
        <v>-8.6679177416320402E-6</v>
      </c>
      <c r="R378">
        <v>-1.410784784080089E-5</v>
      </c>
    </row>
    <row r="379" spans="1:18">
      <c r="A379" t="s">
        <v>93</v>
      </c>
      <c r="B379">
        <v>2019</v>
      </c>
      <c r="C379">
        <v>-4.0396679297270994</v>
      </c>
      <c r="D379">
        <v>0.20206665327517631</v>
      </c>
      <c r="E379">
        <v>12680.92</v>
      </c>
      <c r="F379">
        <v>-4722.13</v>
      </c>
      <c r="G379">
        <v>-10188.120000000001</v>
      </c>
      <c r="H379">
        <v>4.0000000000000001E-3</v>
      </c>
      <c r="I379">
        <v>4.1E-5</v>
      </c>
      <c r="J379">
        <v>0.20394285575515381</v>
      </c>
      <c r="K379">
        <v>-7.5944385537254744E-2</v>
      </c>
      <c r="L379">
        <v>-0.16385201448918515</v>
      </c>
      <c r="M379">
        <v>8.1577142302061525E-4</v>
      </c>
      <c r="N379">
        <v>-3.0377754214901896E-4</v>
      </c>
      <c r="O379">
        <v>-6.5540805795674065E-4</v>
      </c>
      <c r="P379">
        <v>8.361657085961307E-6</v>
      </c>
      <c r="Q379">
        <v>-3.1137198070274446E-6</v>
      </c>
      <c r="R379">
        <v>-6.7179325940565911E-6</v>
      </c>
    </row>
    <row r="380" spans="1:18">
      <c r="A380" t="s">
        <v>93</v>
      </c>
      <c r="B380">
        <v>2020</v>
      </c>
      <c r="C380">
        <v>-3.6475085463079959</v>
      </c>
      <c r="D380">
        <v>0.21688130058663088</v>
      </c>
      <c r="E380">
        <v>7330.4</v>
      </c>
      <c r="F380">
        <v>99.13</v>
      </c>
      <c r="G380">
        <v>-6668.27</v>
      </c>
      <c r="H380">
        <v>4.0000000000000001E-3</v>
      </c>
      <c r="I380">
        <v>0</v>
      </c>
      <c r="J380">
        <v>0.11597192778175051</v>
      </c>
      <c r="K380">
        <v>1.5683042127312191E-3</v>
      </c>
      <c r="L380">
        <v>-0.10549657956853836</v>
      </c>
      <c r="M380">
        <v>4.6388771112700208E-4</v>
      </c>
      <c r="N380">
        <v>6.2732168509248764E-6</v>
      </c>
      <c r="O380">
        <v>-4.2198631827415346E-4</v>
      </c>
      <c r="P380">
        <v>0</v>
      </c>
      <c r="Q380">
        <v>0</v>
      </c>
      <c r="R380">
        <v>0</v>
      </c>
    </row>
    <row r="381" spans="1:18">
      <c r="A381" t="s">
        <v>93</v>
      </c>
      <c r="B381">
        <v>2021</v>
      </c>
      <c r="C381">
        <v>-2.8950077726356938</v>
      </c>
      <c r="D381">
        <v>0.33738721794249876</v>
      </c>
      <c r="E381">
        <v>7594.82</v>
      </c>
      <c r="F381">
        <v>-6755.06</v>
      </c>
      <c r="G381">
        <v>-774.27</v>
      </c>
      <c r="H381">
        <v>2.5000000000000001E-2</v>
      </c>
      <c r="I381">
        <v>0.9575999999999999</v>
      </c>
      <c r="J381">
        <v>9.6420034158511178E-2</v>
      </c>
      <c r="K381">
        <v>-8.5758861426971617E-2</v>
      </c>
      <c r="L381">
        <v>-9.8297444637148006E-3</v>
      </c>
      <c r="M381">
        <v>2.4105008539627797E-3</v>
      </c>
      <c r="N381">
        <v>-2.1439715356742907E-3</v>
      </c>
      <c r="O381">
        <v>-2.4574361159287003E-4</v>
      </c>
      <c r="P381">
        <v>9.2331824710190288E-2</v>
      </c>
      <c r="Q381">
        <v>-8.2122685702468015E-2</v>
      </c>
      <c r="R381">
        <v>-9.4129632984532915E-3</v>
      </c>
    </row>
    <row r="382" spans="1:18">
      <c r="A382" t="s">
        <v>94</v>
      </c>
      <c r="B382">
        <v>2017</v>
      </c>
      <c r="C382">
        <v>-4.0819385807068258</v>
      </c>
      <c r="D382">
        <v>0.26876444241577041</v>
      </c>
      <c r="E382">
        <v>46.91</v>
      </c>
      <c r="F382">
        <v>32.1</v>
      </c>
      <c r="G382">
        <v>-82.31</v>
      </c>
      <c r="H382">
        <v>0.25650000000000001</v>
      </c>
      <c r="I382">
        <v>0.18130000000000002</v>
      </c>
      <c r="J382">
        <v>0.13382592074858071</v>
      </c>
      <c r="K382">
        <v>9.1575614070122394E-2</v>
      </c>
      <c r="L382">
        <v>-0.2348158502838559</v>
      </c>
      <c r="M382">
        <v>3.4326348672010953E-2</v>
      </c>
      <c r="N382">
        <v>2.3489145008986394E-2</v>
      </c>
      <c r="O382">
        <v>-6.0230265597809043E-2</v>
      </c>
      <c r="P382">
        <v>2.4262639431717685E-2</v>
      </c>
      <c r="Q382">
        <v>1.6602658830913192E-2</v>
      </c>
      <c r="R382">
        <v>-4.257211365646308E-2</v>
      </c>
    </row>
    <row r="383" spans="1:18">
      <c r="A383" t="s">
        <v>94</v>
      </c>
      <c r="B383">
        <v>2018</v>
      </c>
      <c r="C383">
        <v>-4.0763070682754714</v>
      </c>
      <c r="D383">
        <v>0.24773176689542864</v>
      </c>
      <c r="E383">
        <v>46.63</v>
      </c>
      <c r="F383">
        <v>56.49</v>
      </c>
      <c r="G383">
        <v>-86.94</v>
      </c>
      <c r="H383">
        <v>0.2326</v>
      </c>
      <c r="I383">
        <v>0.11149999999999997</v>
      </c>
      <c r="J383">
        <v>0.13559962777713155</v>
      </c>
      <c r="K383">
        <v>0.16427242061184136</v>
      </c>
      <c r="L383">
        <v>-0.25282075142491567</v>
      </c>
      <c r="M383">
        <v>3.15404734209608E-2</v>
      </c>
      <c r="N383">
        <v>3.8209765034314301E-2</v>
      </c>
      <c r="O383">
        <v>-5.8806106781435385E-2</v>
      </c>
      <c r="P383">
        <v>1.5119358497150164E-2</v>
      </c>
      <c r="Q383">
        <v>1.8316374898220307E-2</v>
      </c>
      <c r="R383">
        <v>-2.818951378387809E-2</v>
      </c>
    </row>
    <row r="384" spans="1:18">
      <c r="A384" t="s">
        <v>94</v>
      </c>
      <c r="B384">
        <v>2019</v>
      </c>
      <c r="C384">
        <v>-3.5704879785562293</v>
      </c>
      <c r="D384">
        <v>0.28150653105477824</v>
      </c>
      <c r="E384">
        <v>69.08</v>
      </c>
      <c r="F384">
        <v>-50.16</v>
      </c>
      <c r="G384">
        <v>-27.23</v>
      </c>
      <c r="H384">
        <v>0.21049999999999999</v>
      </c>
      <c r="I384">
        <v>0.1507</v>
      </c>
      <c r="J384">
        <v>0.17832619133667199</v>
      </c>
      <c r="K384">
        <v>-0.12948525995146884</v>
      </c>
      <c r="L384">
        <v>-7.0292735814962051E-2</v>
      </c>
      <c r="M384">
        <v>3.7537663276369454E-2</v>
      </c>
      <c r="N384">
        <v>-2.7256647219784189E-2</v>
      </c>
      <c r="O384">
        <v>-1.4796620889049511E-2</v>
      </c>
      <c r="P384">
        <v>2.6873757034436469E-2</v>
      </c>
      <c r="Q384">
        <v>-1.9513428674686355E-2</v>
      </c>
      <c r="R384">
        <v>-1.0593115287314782E-2</v>
      </c>
    </row>
    <row r="385" spans="1:18">
      <c r="A385" t="s">
        <v>94</v>
      </c>
      <c r="B385">
        <v>2020</v>
      </c>
      <c r="C385">
        <v>-3.3779770799372422</v>
      </c>
      <c r="D385">
        <v>0.32174196459910748</v>
      </c>
      <c r="E385">
        <v>71.59</v>
      </c>
      <c r="F385">
        <v>3.49</v>
      </c>
      <c r="G385">
        <v>-83.04</v>
      </c>
      <c r="H385">
        <v>0.19819999999999999</v>
      </c>
      <c r="I385">
        <v>0.11310000000000001</v>
      </c>
      <c r="J385">
        <v>0.17948653662939376</v>
      </c>
      <c r="K385">
        <v>8.7499373213658933E-3</v>
      </c>
      <c r="L385">
        <v>-0.20819335105049391</v>
      </c>
      <c r="M385">
        <v>3.5574231559945844E-2</v>
      </c>
      <c r="N385">
        <v>1.7342375770947199E-3</v>
      </c>
      <c r="O385">
        <v>-4.1263922178207894E-2</v>
      </c>
      <c r="P385">
        <v>2.0299927292784434E-2</v>
      </c>
      <c r="Q385">
        <v>9.8961791104648254E-4</v>
      </c>
      <c r="R385">
        <v>-2.3546668003810865E-2</v>
      </c>
    </row>
    <row r="386" spans="1:18">
      <c r="A386" t="s">
        <v>94</v>
      </c>
      <c r="B386">
        <v>2021</v>
      </c>
      <c r="C386">
        <v>-3.2971271258995456</v>
      </c>
      <c r="D386">
        <v>0.30335721972858753</v>
      </c>
      <c r="E386">
        <v>34.35</v>
      </c>
      <c r="F386">
        <v>38.28</v>
      </c>
      <c r="G386">
        <v>-65.239999999999995</v>
      </c>
      <c r="H386">
        <v>0.25119999999999998</v>
      </c>
      <c r="I386">
        <v>0.11280000000000001</v>
      </c>
      <c r="J386">
        <v>9.0164579888180163E-2</v>
      </c>
      <c r="K386">
        <v>0.10048035278368375</v>
      </c>
      <c r="L386">
        <v>-0.17124707982255818</v>
      </c>
      <c r="M386">
        <v>2.2649342467910855E-2</v>
      </c>
      <c r="N386">
        <v>2.5240664619261357E-2</v>
      </c>
      <c r="O386">
        <v>-4.301726645142661E-2</v>
      </c>
      <c r="P386">
        <v>1.0170564611386724E-2</v>
      </c>
      <c r="Q386">
        <v>1.1334183793999529E-2</v>
      </c>
      <c r="R386">
        <v>-1.9316670603984565E-2</v>
      </c>
    </row>
    <row r="387" spans="1:18">
      <c r="A387" t="s">
        <v>95</v>
      </c>
      <c r="B387">
        <v>2017</v>
      </c>
      <c r="C387">
        <v>-3.716168919926941</v>
      </c>
      <c r="D387">
        <v>0.20534664568524247</v>
      </c>
      <c r="E387">
        <v>243.8</v>
      </c>
      <c r="F387">
        <v>4.62</v>
      </c>
      <c r="G387">
        <v>-93.42</v>
      </c>
      <c r="H387">
        <v>0.33189999999999997</v>
      </c>
      <c r="I387">
        <v>2.8E-3</v>
      </c>
      <c r="J387">
        <v>0.14699055232996305</v>
      </c>
      <c r="K387">
        <v>2.7854649375079134E-3</v>
      </c>
      <c r="L387">
        <v>-5.6324271528569107E-2</v>
      </c>
      <c r="M387">
        <v>4.8786164318314736E-2</v>
      </c>
      <c r="N387">
        <v>9.2449581275887637E-4</v>
      </c>
      <c r="O387">
        <v>-1.8694025720332085E-2</v>
      </c>
      <c r="P387">
        <v>4.1157354652389654E-4</v>
      </c>
      <c r="Q387">
        <v>7.7993018250221569E-6</v>
      </c>
      <c r="R387">
        <v>-1.577079602799935E-4</v>
      </c>
    </row>
    <row r="388" spans="1:18">
      <c r="A388" t="s">
        <v>95</v>
      </c>
      <c r="B388">
        <v>2018</v>
      </c>
      <c r="C388">
        <v>-1.9501620749276736</v>
      </c>
      <c r="D388">
        <v>0.44779110939879274</v>
      </c>
      <c r="E388">
        <v>141.12</v>
      </c>
      <c r="F388">
        <v>-1945.88</v>
      </c>
      <c r="G388">
        <v>2191.1799999999998</v>
      </c>
      <c r="H388">
        <v>0.37090000000000001</v>
      </c>
      <c r="I388">
        <v>5.1000000000000004E-3</v>
      </c>
      <c r="J388">
        <v>3.2362815785128514E-2</v>
      </c>
      <c r="K388">
        <v>-0.4462454363659713</v>
      </c>
      <c r="L388">
        <v>0.50249967894031955</v>
      </c>
      <c r="M388">
        <v>1.2003368374704166E-2</v>
      </c>
      <c r="N388">
        <v>-0.16551243234813875</v>
      </c>
      <c r="O388">
        <v>0.18637713091896452</v>
      </c>
      <c r="P388">
        <v>1.6505036050415545E-4</v>
      </c>
      <c r="Q388">
        <v>-2.275851725466454E-3</v>
      </c>
      <c r="R388">
        <v>2.5627483625956298E-3</v>
      </c>
    </row>
    <row r="389" spans="1:18">
      <c r="A389" t="s">
        <v>95</v>
      </c>
      <c r="B389">
        <v>2019</v>
      </c>
      <c r="C389">
        <v>-0.97309048410602339</v>
      </c>
      <c r="D389">
        <v>0.61857961148683616</v>
      </c>
      <c r="E389">
        <v>-332.77</v>
      </c>
      <c r="F389">
        <v>-2642.11</v>
      </c>
      <c r="G389">
        <v>2471.13</v>
      </c>
      <c r="H389">
        <v>0.36380000000000001</v>
      </c>
      <c r="I389">
        <v>3.5600000000000007E-2</v>
      </c>
      <c r="J389">
        <v>-4.9202894479256916E-2</v>
      </c>
      <c r="K389">
        <v>-0.39065859161760225</v>
      </c>
      <c r="L389">
        <v>0.36537773427450237</v>
      </c>
      <c r="M389">
        <v>-1.7900013011553667E-2</v>
      </c>
      <c r="N389">
        <v>-0.14212159563048371</v>
      </c>
      <c r="O389">
        <v>0.13292441972906396</v>
      </c>
      <c r="P389">
        <v>-1.7516230434615465E-3</v>
      </c>
      <c r="Q389">
        <v>-1.3907445861586643E-2</v>
      </c>
      <c r="R389">
        <v>1.3007447340172286E-2</v>
      </c>
    </row>
    <row r="390" spans="1:18">
      <c r="A390" t="s">
        <v>95</v>
      </c>
      <c r="B390">
        <v>2020</v>
      </c>
      <c r="C390">
        <v>-1.3202379037855294</v>
      </c>
      <c r="D390">
        <v>0.55385682178690376</v>
      </c>
      <c r="E390">
        <v>420.56</v>
      </c>
      <c r="F390">
        <v>-937.16</v>
      </c>
      <c r="G390">
        <v>546.72</v>
      </c>
      <c r="H390">
        <v>0.36599999999999999</v>
      </c>
      <c r="I390">
        <v>8.1799999999999984E-2</v>
      </c>
      <c r="J390">
        <v>5.4104470411456933E-2</v>
      </c>
      <c r="K390">
        <v>-0.12056435583698159</v>
      </c>
      <c r="L390">
        <v>7.0334782345804966E-2</v>
      </c>
      <c r="M390">
        <v>1.9802236170593238E-2</v>
      </c>
      <c r="N390">
        <v>-4.4126554236335262E-2</v>
      </c>
      <c r="O390">
        <v>2.5742530338564617E-2</v>
      </c>
      <c r="P390">
        <v>4.4257456796571761E-3</v>
      </c>
      <c r="Q390">
        <v>-9.862164307465093E-3</v>
      </c>
      <c r="R390">
        <v>5.7533851958868447E-3</v>
      </c>
    </row>
    <row r="391" spans="1:18">
      <c r="A391" t="s">
        <v>95</v>
      </c>
      <c r="B391">
        <v>2021</v>
      </c>
      <c r="C391">
        <v>-0.43152940733653128</v>
      </c>
      <c r="D391">
        <v>0.70032984090027162</v>
      </c>
      <c r="E391">
        <v>2542.4699999999998</v>
      </c>
      <c r="F391">
        <v>-5883.44</v>
      </c>
      <c r="G391">
        <v>3455.61</v>
      </c>
      <c r="H391">
        <v>0.375</v>
      </c>
      <c r="I391">
        <v>1.2690000000000007E-2</v>
      </c>
      <c r="J391">
        <v>0.20384311952202733</v>
      </c>
      <c r="K391">
        <v>-0.47170616098544976</v>
      </c>
      <c r="L391">
        <v>0.27705432994352458</v>
      </c>
      <c r="M391">
        <v>7.6441169820760241E-2</v>
      </c>
      <c r="N391">
        <v>-0.17688981036954365</v>
      </c>
      <c r="O391">
        <v>0.10389537372882171</v>
      </c>
      <c r="P391">
        <v>2.5867691867345281E-3</v>
      </c>
      <c r="Q391">
        <v>-5.9859511829053608E-3</v>
      </c>
      <c r="R391">
        <v>3.5158194469833287E-3</v>
      </c>
    </row>
    <row r="392" spans="1:18">
      <c r="A392" t="s">
        <v>96</v>
      </c>
      <c r="B392">
        <v>2017</v>
      </c>
      <c r="C392">
        <v>-1.4528341208992051</v>
      </c>
      <c r="D392">
        <v>0.55258382694598196</v>
      </c>
      <c r="E392">
        <v>-30.51</v>
      </c>
      <c r="F392">
        <v>-2459.94</v>
      </c>
      <c r="G392">
        <v>676.26</v>
      </c>
      <c r="H392">
        <v>0.1176</v>
      </c>
      <c r="I392">
        <v>2.5000000000000001E-4</v>
      </c>
      <c r="J392">
        <v>-2.2171692177556665E-3</v>
      </c>
      <c r="K392">
        <v>-0.17876444593660684</v>
      </c>
      <c r="L392">
        <v>4.9143980832495805E-2</v>
      </c>
      <c r="M392">
        <v>-2.607391000080664E-4</v>
      </c>
      <c r="N392">
        <v>-2.1022698842144964E-2</v>
      </c>
      <c r="O392">
        <v>5.7793321459015069E-3</v>
      </c>
      <c r="P392">
        <v>-5.5429230443891666E-7</v>
      </c>
      <c r="Q392">
        <v>-4.4691111484151713E-5</v>
      </c>
      <c r="R392">
        <v>1.2285995208123951E-5</v>
      </c>
    </row>
    <row r="393" spans="1:18">
      <c r="A393" t="s">
        <v>96</v>
      </c>
      <c r="B393">
        <v>2018</v>
      </c>
      <c r="C393">
        <v>-1.5720730211965452</v>
      </c>
      <c r="D393">
        <v>0.53816921588102851</v>
      </c>
      <c r="E393">
        <v>493.4</v>
      </c>
      <c r="F393">
        <v>-1368.54</v>
      </c>
      <c r="G393">
        <v>701.35</v>
      </c>
      <c r="H393">
        <v>0.15429999999999999</v>
      </c>
      <c r="I393">
        <v>2.0000000000000001E-4</v>
      </c>
      <c r="J393">
        <v>2.8608719803275909E-2</v>
      </c>
      <c r="K393">
        <v>-7.9351798539876797E-2</v>
      </c>
      <c r="L393">
        <v>4.0666245711446211E-2</v>
      </c>
      <c r="M393">
        <v>4.4143254656454729E-3</v>
      </c>
      <c r="N393">
        <v>-1.2243982514702989E-2</v>
      </c>
      <c r="O393">
        <v>6.2748017132761499E-3</v>
      </c>
      <c r="P393">
        <v>5.7217439606551817E-6</v>
      </c>
      <c r="Q393">
        <v>-1.5870359707975359E-5</v>
      </c>
      <c r="R393">
        <v>8.1332491422892423E-6</v>
      </c>
    </row>
    <row r="394" spans="1:18">
      <c r="A394" t="s">
        <v>96</v>
      </c>
      <c r="B394">
        <v>2019</v>
      </c>
      <c r="C394">
        <v>-1.1109852369315387</v>
      </c>
      <c r="D394">
        <v>0.59189762730741158</v>
      </c>
      <c r="E394">
        <v>1167.8900000000001</v>
      </c>
      <c r="F394">
        <v>-3933.91</v>
      </c>
      <c r="G394">
        <v>2763.28</v>
      </c>
      <c r="H394">
        <v>0.15210000000000001</v>
      </c>
      <c r="I394">
        <v>0.17899999999999999</v>
      </c>
      <c r="J394">
        <v>5.4928717632274048E-2</v>
      </c>
      <c r="K394">
        <v>-0.18502139035421072</v>
      </c>
      <c r="L394">
        <v>0.12996380383333209</v>
      </c>
      <c r="M394">
        <v>8.3546579518688838E-3</v>
      </c>
      <c r="N394">
        <v>-2.8141753472875453E-2</v>
      </c>
      <c r="O394">
        <v>1.9767494563049812E-2</v>
      </c>
      <c r="P394">
        <v>9.8322404561770535E-3</v>
      </c>
      <c r="Q394">
        <v>-3.311882887340372E-2</v>
      </c>
      <c r="R394">
        <v>2.3263520886166442E-2</v>
      </c>
    </row>
    <row r="395" spans="1:18">
      <c r="A395" t="s">
        <v>96</v>
      </c>
      <c r="B395">
        <v>2020</v>
      </c>
      <c r="C395">
        <v>-0.49178872625263165</v>
      </c>
      <c r="D395">
        <v>0.69743839240367866</v>
      </c>
      <c r="E395">
        <v>373.32</v>
      </c>
      <c r="F395">
        <v>-2979.94</v>
      </c>
      <c r="G395">
        <v>3245.45</v>
      </c>
      <c r="H395">
        <v>0.129</v>
      </c>
      <c r="I395">
        <v>0.12744</v>
      </c>
      <c r="J395">
        <v>1.3749217831850145E-2</v>
      </c>
      <c r="K395">
        <v>-0.10974993085246845</v>
      </c>
      <c r="L395">
        <v>0.11952855194572498</v>
      </c>
      <c r="M395">
        <v>1.7736491003086689E-3</v>
      </c>
      <c r="N395">
        <v>-1.4157741079968431E-2</v>
      </c>
      <c r="O395">
        <v>1.5419183200998523E-2</v>
      </c>
      <c r="P395">
        <v>1.7522003204909825E-3</v>
      </c>
      <c r="Q395">
        <v>-1.398653118783858E-2</v>
      </c>
      <c r="R395">
        <v>1.5232718659963191E-2</v>
      </c>
    </row>
    <row r="396" spans="1:18">
      <c r="A396" t="s">
        <v>96</v>
      </c>
      <c r="B396">
        <v>2021</v>
      </c>
      <c r="C396">
        <v>-0.63717785210419386</v>
      </c>
      <c r="D396">
        <v>0.66501033268044196</v>
      </c>
      <c r="E396">
        <v>-2513.7600000000002</v>
      </c>
      <c r="F396">
        <v>-5776.73</v>
      </c>
      <c r="G396">
        <v>11640.09</v>
      </c>
      <c r="H396">
        <v>8.5099999999999995E-2</v>
      </c>
      <c r="I396">
        <v>0.24729999999999996</v>
      </c>
      <c r="J396">
        <v>-4.108165881807864E-2</v>
      </c>
      <c r="K396">
        <v>-9.440744181789805E-2</v>
      </c>
      <c r="L396">
        <v>0.19023065288322233</v>
      </c>
      <c r="M396">
        <v>-3.496049165418492E-3</v>
      </c>
      <c r="N396">
        <v>-8.0340732987031239E-3</v>
      </c>
      <c r="O396">
        <v>1.6188628560362218E-2</v>
      </c>
      <c r="P396">
        <v>-1.0159494225710846E-2</v>
      </c>
      <c r="Q396">
        <v>-2.3346960361566183E-2</v>
      </c>
      <c r="R396">
        <v>4.7044040458020873E-2</v>
      </c>
    </row>
    <row r="397" spans="1:18">
      <c r="A397" t="s">
        <v>97</v>
      </c>
      <c r="B397">
        <v>2017</v>
      </c>
      <c r="C397">
        <v>-1.1848249761447209</v>
      </c>
      <c r="D397">
        <v>0.62356603951208356</v>
      </c>
      <c r="E397">
        <v>9.7899999999999991</v>
      </c>
      <c r="F397">
        <v>-10.01</v>
      </c>
      <c r="G397">
        <v>58.17</v>
      </c>
      <c r="H397">
        <v>9.1700000000000004E-2</v>
      </c>
      <c r="I397">
        <v>0.18840000000000001</v>
      </c>
      <c r="J397">
        <v>6.5831058272926551E-3</v>
      </c>
      <c r="K397">
        <v>-6.7310407897037258E-3</v>
      </c>
      <c r="L397">
        <v>3.9115348924781794E-2</v>
      </c>
      <c r="M397">
        <v>6.0367080436273652E-4</v>
      </c>
      <c r="N397">
        <v>-6.1723644041583169E-4</v>
      </c>
      <c r="O397">
        <v>3.5868774964024908E-3</v>
      </c>
      <c r="P397">
        <v>1.2402571378619363E-3</v>
      </c>
      <c r="Q397">
        <v>-1.2681280847801821E-3</v>
      </c>
      <c r="R397">
        <v>7.3693317374288903E-3</v>
      </c>
    </row>
    <row r="398" spans="1:18">
      <c r="A398" t="s">
        <v>97</v>
      </c>
      <c r="B398">
        <v>2018</v>
      </c>
      <c r="C398">
        <v>-1.1961914431331444</v>
      </c>
      <c r="D398">
        <v>0.61534705039718707</v>
      </c>
      <c r="E398">
        <v>-56.03</v>
      </c>
      <c r="F398">
        <v>-22.42</v>
      </c>
      <c r="G398">
        <v>141.05000000000001</v>
      </c>
      <c r="H398">
        <v>7.0099999999999996E-2</v>
      </c>
      <c r="I398">
        <v>0.18909999999999999</v>
      </c>
      <c r="J398">
        <v>-3.0402179103181839E-2</v>
      </c>
      <c r="K398">
        <v>-1.2165212484264444E-2</v>
      </c>
      <c r="L398">
        <v>7.6534487997569137E-2</v>
      </c>
      <c r="M398">
        <v>-2.1311927551330469E-3</v>
      </c>
      <c r="N398">
        <v>-8.5278139514693746E-4</v>
      </c>
      <c r="O398">
        <v>5.3650676086295958E-3</v>
      </c>
      <c r="P398">
        <v>-5.7490520684116853E-3</v>
      </c>
      <c r="Q398">
        <v>-2.3004416807744063E-3</v>
      </c>
      <c r="R398">
        <v>1.4472671680340323E-2</v>
      </c>
    </row>
    <row r="399" spans="1:18">
      <c r="A399" t="s">
        <v>97</v>
      </c>
      <c r="B399">
        <v>2019</v>
      </c>
      <c r="C399">
        <v>-1.4978079972426315</v>
      </c>
      <c r="D399">
        <v>0.55938792172561824</v>
      </c>
      <c r="E399">
        <v>311</v>
      </c>
      <c r="F399">
        <v>-71.2</v>
      </c>
      <c r="G399">
        <v>-114.85</v>
      </c>
      <c r="H399">
        <v>4.4200000000000003E-2</v>
      </c>
      <c r="I399">
        <v>0.19079999999999997</v>
      </c>
      <c r="J399">
        <v>0.16381785140509361</v>
      </c>
      <c r="K399">
        <v>-3.7504279807211147E-2</v>
      </c>
      <c r="L399">
        <v>-6.0496721009244379E-2</v>
      </c>
      <c r="M399">
        <v>7.2407490321051383E-3</v>
      </c>
      <c r="N399">
        <v>-1.6576891674787329E-3</v>
      </c>
      <c r="O399">
        <v>-2.6739550686086019E-3</v>
      </c>
      <c r="P399">
        <v>3.1256446048091857E-2</v>
      </c>
      <c r="Q399">
        <v>-7.1558165872158859E-3</v>
      </c>
      <c r="R399">
        <v>-1.1542774368563826E-2</v>
      </c>
    </row>
    <row r="400" spans="1:18">
      <c r="A400" t="s">
        <v>97</v>
      </c>
      <c r="B400">
        <v>2020</v>
      </c>
      <c r="C400">
        <v>-1.8346465325508419</v>
      </c>
      <c r="D400">
        <v>0.52373585964497738</v>
      </c>
      <c r="E400">
        <v>250.85</v>
      </c>
      <c r="F400">
        <v>-370.22</v>
      </c>
      <c r="G400">
        <v>314.35000000000002</v>
      </c>
      <c r="H400">
        <v>3.8800000000000001E-2</v>
      </c>
      <c r="I400">
        <v>0.17429999999999995</v>
      </c>
      <c r="J400">
        <v>9.2613787399946829E-2</v>
      </c>
      <c r="K400">
        <v>-0.13668517588681811</v>
      </c>
      <c r="L400">
        <v>0.11605797914759135</v>
      </c>
      <c r="M400">
        <v>3.5934149511179371E-3</v>
      </c>
      <c r="N400">
        <v>-5.3033848244085427E-3</v>
      </c>
      <c r="O400">
        <v>4.5030495909265441E-3</v>
      </c>
      <c r="P400">
        <v>1.6142583143810729E-2</v>
      </c>
      <c r="Q400">
        <v>-2.382422615707239E-2</v>
      </c>
      <c r="R400">
        <v>2.0228905765425166E-2</v>
      </c>
    </row>
    <row r="401" spans="1:18">
      <c r="A401" t="s">
        <v>97</v>
      </c>
      <c r="B401">
        <v>2021</v>
      </c>
      <c r="C401">
        <v>-1.4387394569094463</v>
      </c>
      <c r="D401">
        <v>0.57235116044399592</v>
      </c>
      <c r="E401">
        <v>114.47</v>
      </c>
      <c r="F401">
        <v>-142.85</v>
      </c>
      <c r="G401">
        <v>208.08</v>
      </c>
      <c r="H401">
        <v>5.21E-2</v>
      </c>
      <c r="I401">
        <v>0.21349999999999997</v>
      </c>
      <c r="J401">
        <v>3.0397259546444313E-2</v>
      </c>
      <c r="K401">
        <v>-3.7933506824579105E-2</v>
      </c>
      <c r="L401">
        <v>5.5255191459981944E-2</v>
      </c>
      <c r="M401">
        <v>1.5836972223697487E-3</v>
      </c>
      <c r="N401">
        <v>-1.9763357055605714E-3</v>
      </c>
      <c r="O401">
        <v>2.8787954750650593E-3</v>
      </c>
      <c r="P401">
        <v>6.4898149131658598E-3</v>
      </c>
      <c r="Q401">
        <v>-8.0988037070476374E-3</v>
      </c>
      <c r="R401">
        <v>1.1796983376706142E-2</v>
      </c>
    </row>
    <row r="402" spans="1:18">
      <c r="A402" t="s">
        <v>98</v>
      </c>
      <c r="B402">
        <v>2017</v>
      </c>
      <c r="C402">
        <v>-0.9050249281587206</v>
      </c>
      <c r="D402">
        <v>0.64737746069493995</v>
      </c>
      <c r="E402">
        <v>40.200000000000003</v>
      </c>
      <c r="F402">
        <v>-8.65</v>
      </c>
      <c r="G402">
        <v>-38.950000000000003</v>
      </c>
      <c r="H402">
        <v>0.14940000000000001</v>
      </c>
      <c r="I402">
        <v>0.12050000000000001</v>
      </c>
      <c r="J402">
        <v>4.4259479455674468E-2</v>
      </c>
      <c r="K402">
        <v>-9.5234949575020919E-3</v>
      </c>
      <c r="L402">
        <v>-4.2883251860659714E-2</v>
      </c>
      <c r="M402">
        <v>6.6123662306777657E-3</v>
      </c>
      <c r="N402">
        <v>-1.4228101466508126E-3</v>
      </c>
      <c r="O402">
        <v>-6.4067578279825618E-3</v>
      </c>
      <c r="P402">
        <v>5.3332672744087735E-3</v>
      </c>
      <c r="Q402">
        <v>-1.1475811423790022E-3</v>
      </c>
      <c r="R402">
        <v>-5.1674318492094962E-3</v>
      </c>
    </row>
    <row r="403" spans="1:18">
      <c r="A403" t="s">
        <v>98</v>
      </c>
      <c r="B403">
        <v>2018</v>
      </c>
      <c r="C403">
        <v>-1.2876500131259045</v>
      </c>
      <c r="D403">
        <v>0.62342802299464717</v>
      </c>
      <c r="E403">
        <v>98.14</v>
      </c>
      <c r="F403">
        <v>-7.64</v>
      </c>
      <c r="G403">
        <v>-59.43</v>
      </c>
      <c r="H403">
        <v>0.12609999999999999</v>
      </c>
      <c r="I403">
        <v>0.1099</v>
      </c>
      <c r="J403">
        <v>9.7103901372356957E-2</v>
      </c>
      <c r="K403">
        <v>-7.5593418227512445E-3</v>
      </c>
      <c r="L403">
        <v>-5.8802576508652678E-2</v>
      </c>
      <c r="M403">
        <v>1.2244801963054211E-2</v>
      </c>
      <c r="N403">
        <v>-9.5323300384893186E-4</v>
      </c>
      <c r="O403">
        <v>-7.4150048977411022E-3</v>
      </c>
      <c r="P403">
        <v>1.0671718760822029E-2</v>
      </c>
      <c r="Q403">
        <v>-8.3077166632036174E-4</v>
      </c>
      <c r="R403">
        <v>-6.462403158300929E-3</v>
      </c>
    </row>
    <row r="404" spans="1:18">
      <c r="A404" t="s">
        <v>98</v>
      </c>
      <c r="B404">
        <v>2019</v>
      </c>
      <c r="C404">
        <v>-1.7408284657372568</v>
      </c>
      <c r="D404">
        <v>0.5301897977628548</v>
      </c>
      <c r="E404">
        <v>203.74</v>
      </c>
      <c r="F404">
        <v>-8.91</v>
      </c>
      <c r="G404">
        <v>-90.48</v>
      </c>
      <c r="H404">
        <v>0.1348</v>
      </c>
      <c r="I404">
        <v>5.6202999999999996E-2</v>
      </c>
      <c r="J404">
        <v>0.19799998056346516</v>
      </c>
      <c r="K404">
        <v>-8.6589762777092103E-3</v>
      </c>
      <c r="L404">
        <v>-8.7930883682057162E-2</v>
      </c>
      <c r="M404">
        <v>2.6690397379955103E-2</v>
      </c>
      <c r="N404">
        <v>-1.1672300022352016E-3</v>
      </c>
      <c r="O404">
        <v>-1.1853083120341305E-2</v>
      </c>
      <c r="P404">
        <v>1.1128192907608431E-2</v>
      </c>
      <c r="Q404">
        <v>-4.8666044373609071E-4</v>
      </c>
      <c r="R404">
        <v>-4.9419794555826584E-3</v>
      </c>
    </row>
    <row r="405" spans="1:18">
      <c r="A405" t="s">
        <v>98</v>
      </c>
      <c r="B405">
        <v>2020</v>
      </c>
      <c r="C405">
        <v>-1.8474315872662177</v>
      </c>
      <c r="D405">
        <v>0.46153468706809841</v>
      </c>
      <c r="E405">
        <v>127.83</v>
      </c>
      <c r="F405">
        <v>-23.87</v>
      </c>
      <c r="G405">
        <v>247.92</v>
      </c>
      <c r="H405">
        <v>0.1036</v>
      </c>
      <c r="I405">
        <v>1E-3</v>
      </c>
      <c r="J405">
        <v>0.10453961841362786</v>
      </c>
      <c r="K405">
        <v>-1.9520931639938177E-2</v>
      </c>
      <c r="L405">
        <v>0.20274945002821415</v>
      </c>
      <c r="M405">
        <v>1.0830304467651845E-2</v>
      </c>
      <c r="N405">
        <v>-2.0223685178975951E-3</v>
      </c>
      <c r="O405">
        <v>2.1004843022922985E-2</v>
      </c>
      <c r="P405">
        <v>1.0453961841362785E-4</v>
      </c>
      <c r="Q405">
        <v>-1.9520931639938179E-5</v>
      </c>
      <c r="R405">
        <v>2.0274945002821416E-4</v>
      </c>
    </row>
    <row r="406" spans="1:18">
      <c r="A406" t="s">
        <v>98</v>
      </c>
      <c r="B406">
        <v>2021</v>
      </c>
      <c r="C406">
        <v>-3.7006549487625451</v>
      </c>
      <c r="D406">
        <v>0.15077715197370012</v>
      </c>
      <c r="E406">
        <v>147.24</v>
      </c>
      <c r="F406">
        <v>-30.42</v>
      </c>
      <c r="G406">
        <v>-364.42</v>
      </c>
      <c r="H406">
        <v>8.3500000000000005E-2</v>
      </c>
      <c r="I406">
        <v>1.07E-3</v>
      </c>
      <c r="J406">
        <v>0.17795934153593271</v>
      </c>
      <c r="K406">
        <v>-3.6766661026372403E-2</v>
      </c>
      <c r="L406">
        <v>-0.44045057893591821</v>
      </c>
      <c r="M406">
        <v>1.4859605018250382E-2</v>
      </c>
      <c r="N406">
        <v>-3.0700161957020957E-3</v>
      </c>
      <c r="O406">
        <v>-3.6777623341149174E-2</v>
      </c>
      <c r="P406">
        <v>1.9041649544344799E-4</v>
      </c>
      <c r="Q406">
        <v>-3.9340327298218468E-5</v>
      </c>
      <c r="R406">
        <v>-4.712821194614325E-4</v>
      </c>
    </row>
    <row r="407" spans="1:18">
      <c r="A407" t="s">
        <v>99</v>
      </c>
      <c r="B407">
        <v>2017</v>
      </c>
      <c r="C407">
        <v>-2.4164942367945974</v>
      </c>
      <c r="D407">
        <v>0.37167639989301426</v>
      </c>
      <c r="E407">
        <v>632.88</v>
      </c>
      <c r="F407">
        <v>-840.85</v>
      </c>
      <c r="G407">
        <v>264.39999999999998</v>
      </c>
      <c r="H407">
        <v>0.48470000000000002</v>
      </c>
      <c r="I407">
        <v>1.4800000000000001E-2</v>
      </c>
      <c r="J407">
        <v>5.6050630489885067E-2</v>
      </c>
      <c r="K407">
        <v>-7.446936646349997E-2</v>
      </c>
      <c r="L407">
        <v>2.3416424443062838E-2</v>
      </c>
      <c r="M407">
        <v>2.7167740598447294E-2</v>
      </c>
      <c r="N407">
        <v>-3.6095301924858436E-2</v>
      </c>
      <c r="O407">
        <v>1.1349940927552558E-2</v>
      </c>
      <c r="P407">
        <v>8.2954933125029906E-4</v>
      </c>
      <c r="Q407">
        <v>-1.1021466236597996E-3</v>
      </c>
      <c r="R407">
        <v>3.4656308175733E-4</v>
      </c>
    </row>
    <row r="408" spans="1:18">
      <c r="A408" t="s">
        <v>99</v>
      </c>
      <c r="B408">
        <v>2018</v>
      </c>
      <c r="C408">
        <v>-3.1874963053548031</v>
      </c>
      <c r="D408">
        <v>0.34605961903273819</v>
      </c>
      <c r="E408">
        <v>545.29</v>
      </c>
      <c r="F408">
        <v>1008.01</v>
      </c>
      <c r="G408">
        <v>-2159.91</v>
      </c>
      <c r="H408">
        <v>0.44019999999999998</v>
      </c>
      <c r="I408">
        <v>8.5900000000000004E-2</v>
      </c>
      <c r="J408">
        <v>5.4616057996446338E-2</v>
      </c>
      <c r="K408">
        <v>0.10096193332171481</v>
      </c>
      <c r="L408">
        <v>-0.21633583932788866</v>
      </c>
      <c r="M408">
        <v>2.4041988730035678E-2</v>
      </c>
      <c r="N408">
        <v>4.4443443048218859E-2</v>
      </c>
      <c r="O408">
        <v>-9.5231036472136585E-2</v>
      </c>
      <c r="P408">
        <v>4.6915193818947406E-3</v>
      </c>
      <c r="Q408">
        <v>8.6726300723353033E-3</v>
      </c>
      <c r="R408">
        <v>-1.8583248598265639E-2</v>
      </c>
    </row>
    <row r="409" spans="1:18">
      <c r="A409" t="s">
        <v>99</v>
      </c>
      <c r="B409">
        <v>2019</v>
      </c>
      <c r="C409">
        <v>-2.5744169996867305</v>
      </c>
      <c r="D409">
        <v>0.35105549357652394</v>
      </c>
      <c r="E409">
        <v>1057.44</v>
      </c>
      <c r="F409">
        <v>-376.61</v>
      </c>
      <c r="G409">
        <v>-667.51</v>
      </c>
      <c r="H409">
        <v>0.48770000000000002</v>
      </c>
      <c r="I409">
        <v>1.9599999999999999E-2</v>
      </c>
      <c r="J409">
        <v>0.10449104784528716</v>
      </c>
      <c r="K409">
        <v>-3.7214757838755483E-2</v>
      </c>
      <c r="L409">
        <v>-6.596007276744556E-2</v>
      </c>
      <c r="M409">
        <v>5.0960284034146555E-2</v>
      </c>
      <c r="N409">
        <v>-1.8149637397961049E-2</v>
      </c>
      <c r="O409">
        <v>-3.2168727488683199E-2</v>
      </c>
      <c r="P409">
        <v>2.0480245377676285E-3</v>
      </c>
      <c r="Q409">
        <v>-7.2940925363960745E-4</v>
      </c>
      <c r="R409">
        <v>-1.2928174262419329E-3</v>
      </c>
    </row>
    <row r="410" spans="1:18">
      <c r="A410" t="s">
        <v>99</v>
      </c>
      <c r="B410">
        <v>2020</v>
      </c>
      <c r="C410">
        <v>-2.6270144949950098</v>
      </c>
      <c r="D410">
        <v>0.3294114417146099</v>
      </c>
      <c r="E410">
        <v>655.36</v>
      </c>
      <c r="F410">
        <v>73.08</v>
      </c>
      <c r="G410">
        <v>-486.19</v>
      </c>
      <c r="H410">
        <v>0.49</v>
      </c>
      <c r="I410">
        <v>2.2000000000000002E-2</v>
      </c>
      <c r="J410">
        <v>6.6638602313885548E-2</v>
      </c>
      <c r="K410">
        <v>7.4309525407390675E-3</v>
      </c>
      <c r="L410">
        <v>-4.9436984342938251E-2</v>
      </c>
      <c r="M410">
        <v>3.2652915133803917E-2</v>
      </c>
      <c r="N410">
        <v>3.6411667449621431E-3</v>
      </c>
      <c r="O410">
        <v>-2.4224122328039742E-2</v>
      </c>
      <c r="P410">
        <v>1.4660492509054822E-3</v>
      </c>
      <c r="Q410">
        <v>1.634809558962595E-4</v>
      </c>
      <c r="R410">
        <v>-1.0876136555446417E-3</v>
      </c>
    </row>
    <row r="411" spans="1:18">
      <c r="A411" t="s">
        <v>99</v>
      </c>
      <c r="B411">
        <v>2021</v>
      </c>
      <c r="C411">
        <v>-2.6469717965932915</v>
      </c>
      <c r="D411">
        <v>0.34353907900413844</v>
      </c>
      <c r="E411">
        <v>964.82</v>
      </c>
      <c r="F411">
        <v>-356.31</v>
      </c>
      <c r="G411">
        <v>-397.51</v>
      </c>
      <c r="H411">
        <v>0.41660000000000003</v>
      </c>
      <c r="I411">
        <v>1.66E-2</v>
      </c>
      <c r="J411">
        <v>8.9907848229603196E-2</v>
      </c>
      <c r="K411">
        <v>-3.3203152300625934E-2</v>
      </c>
      <c r="L411">
        <v>-3.7042421124924403E-2</v>
      </c>
      <c r="M411">
        <v>3.7455609572452697E-2</v>
      </c>
      <c r="N411">
        <v>-1.3832433248440764E-2</v>
      </c>
      <c r="O411">
        <v>-1.5431872640643508E-2</v>
      </c>
      <c r="P411">
        <v>1.4924702806114131E-3</v>
      </c>
      <c r="Q411">
        <v>-5.511723281903905E-4</v>
      </c>
      <c r="R411">
        <v>-6.1490419067374512E-4</v>
      </c>
    </row>
    <row r="412" spans="1:18">
      <c r="A412" t="s">
        <v>100</v>
      </c>
      <c r="B412">
        <v>2017</v>
      </c>
      <c r="C412">
        <v>-3.3974312583038384</v>
      </c>
      <c r="D412">
        <v>0.24220979786526958</v>
      </c>
      <c r="E412">
        <v>22.78</v>
      </c>
      <c r="F412">
        <v>-7.82</v>
      </c>
      <c r="G412">
        <v>-46.98</v>
      </c>
      <c r="H412">
        <v>0.12</v>
      </c>
      <c r="I412">
        <v>5.9999999999999995E-4</v>
      </c>
      <c r="J412">
        <v>4.4532196895648433E-2</v>
      </c>
      <c r="K412">
        <v>-1.5287172068655432E-2</v>
      </c>
      <c r="L412">
        <v>-9.1840325292254749E-2</v>
      </c>
      <c r="M412">
        <v>5.3438636274778118E-3</v>
      </c>
      <c r="N412">
        <v>-1.8344606482386518E-3</v>
      </c>
      <c r="O412">
        <v>-1.1020839035070569E-2</v>
      </c>
      <c r="P412">
        <v>2.6719318137389059E-5</v>
      </c>
      <c r="Q412">
        <v>-9.1723032411932587E-6</v>
      </c>
      <c r="R412">
        <v>-5.5104195175352842E-5</v>
      </c>
    </row>
    <row r="413" spans="1:18">
      <c r="A413" t="s">
        <v>100</v>
      </c>
      <c r="B413">
        <v>2018</v>
      </c>
      <c r="C413">
        <v>-2.3593688327437841</v>
      </c>
      <c r="D413">
        <v>0.41568462808003009</v>
      </c>
      <c r="E413">
        <v>15.4</v>
      </c>
      <c r="F413">
        <v>-182.27</v>
      </c>
      <c r="G413">
        <v>104.22</v>
      </c>
      <c r="H413">
        <v>0.1421</v>
      </c>
      <c r="I413">
        <v>2.0000000000000001E-4</v>
      </c>
      <c r="J413">
        <v>2.2294930074992038E-2</v>
      </c>
      <c r="K413">
        <v>-0.26387642238758435</v>
      </c>
      <c r="L413">
        <v>0.15088166314387469</v>
      </c>
      <c r="M413">
        <v>3.1681095636563687E-3</v>
      </c>
      <c r="N413">
        <v>-3.7496839621275736E-2</v>
      </c>
      <c r="O413">
        <v>2.1440284332744593E-2</v>
      </c>
      <c r="P413">
        <v>4.4589860149984082E-6</v>
      </c>
      <c r="Q413">
        <v>-5.2775284477516876E-5</v>
      </c>
      <c r="R413">
        <v>3.0176332628774941E-5</v>
      </c>
    </row>
    <row r="414" spans="1:18">
      <c r="A414" t="s">
        <v>100</v>
      </c>
      <c r="B414">
        <v>2019</v>
      </c>
      <c r="C414">
        <v>-1.7244563523512975</v>
      </c>
      <c r="D414">
        <v>0.49895847183441916</v>
      </c>
      <c r="E414">
        <v>126.31</v>
      </c>
      <c r="F414">
        <v>-244.26</v>
      </c>
      <c r="G414">
        <v>146.22</v>
      </c>
      <c r="H414">
        <v>0.12590000000000001</v>
      </c>
      <c r="I414">
        <v>2.0000000000000001E-4</v>
      </c>
      <c r="J414">
        <v>0.13995257722820548</v>
      </c>
      <c r="K414">
        <v>-0.27064220183486237</v>
      </c>
      <c r="L414">
        <v>0.16201303018215663</v>
      </c>
      <c r="M414">
        <v>1.7620029473031072E-2</v>
      </c>
      <c r="N414">
        <v>-3.4073853211009177E-2</v>
      </c>
      <c r="O414">
        <v>2.0397440499933521E-2</v>
      </c>
      <c r="P414">
        <v>2.7990515445641096E-5</v>
      </c>
      <c r="Q414">
        <v>-5.4128440366972475E-5</v>
      </c>
      <c r="R414">
        <v>3.2402606036431324E-5</v>
      </c>
    </row>
    <row r="415" spans="1:18">
      <c r="A415" t="s">
        <v>100</v>
      </c>
      <c r="B415">
        <v>2020</v>
      </c>
      <c r="C415">
        <v>-1.9147228755082366</v>
      </c>
      <c r="D415">
        <v>0.47366201196922197</v>
      </c>
      <c r="E415">
        <v>137.94</v>
      </c>
      <c r="F415">
        <v>-7.86</v>
      </c>
      <c r="G415">
        <v>-104.45</v>
      </c>
      <c r="H415">
        <v>8.5000000000000006E-2</v>
      </c>
      <c r="I415">
        <v>6.2000000000000006E-3</v>
      </c>
      <c r="J415">
        <v>0.15724137931034482</v>
      </c>
      <c r="K415">
        <v>-8.9598176118552298E-3</v>
      </c>
      <c r="L415">
        <v>-0.11906526075805073</v>
      </c>
      <c r="M415">
        <v>1.3365517241379311E-2</v>
      </c>
      <c r="N415">
        <v>-7.6158449700769459E-4</v>
      </c>
      <c r="O415">
        <v>-1.0120547164434312E-2</v>
      </c>
      <c r="P415">
        <v>9.74896551724138E-4</v>
      </c>
      <c r="Q415">
        <v>-5.5550869193502433E-5</v>
      </c>
      <c r="R415">
        <v>-7.3820461669991456E-4</v>
      </c>
    </row>
    <row r="416" spans="1:18">
      <c r="A416" t="s">
        <v>100</v>
      </c>
      <c r="B416">
        <v>2021</v>
      </c>
      <c r="C416">
        <v>-1.6866675973318299</v>
      </c>
      <c r="D416">
        <v>0.49370567990206271</v>
      </c>
      <c r="E416">
        <v>39.72</v>
      </c>
      <c r="F416">
        <v>-287.91000000000003</v>
      </c>
      <c r="G416">
        <v>308.93</v>
      </c>
      <c r="H416">
        <v>1.5299999999999999E-2</v>
      </c>
      <c r="I416">
        <v>2.0000000000000001E-4</v>
      </c>
      <c r="J416">
        <v>3.0582311228143116E-2</v>
      </c>
      <c r="K416">
        <v>-0.22167555955928211</v>
      </c>
      <c r="L416">
        <v>0.23785985417196007</v>
      </c>
      <c r="M416">
        <v>4.6790936179058964E-4</v>
      </c>
      <c r="N416">
        <v>-3.3916360612570163E-3</v>
      </c>
      <c r="O416">
        <v>3.639255768830989E-3</v>
      </c>
      <c r="P416">
        <v>6.1164622456286238E-6</v>
      </c>
      <c r="Q416">
        <v>-4.4335111911856425E-5</v>
      </c>
      <c r="R416">
        <v>4.7571970834392013E-5</v>
      </c>
    </row>
    <row r="417" spans="1:18">
      <c r="A417" t="s">
        <v>101</v>
      </c>
      <c r="B417">
        <v>2017</v>
      </c>
      <c r="C417">
        <v>-0.83203873745805745</v>
      </c>
      <c r="D417">
        <v>0.63746568573624673</v>
      </c>
      <c r="E417">
        <v>-15.03</v>
      </c>
      <c r="F417">
        <v>40.53</v>
      </c>
      <c r="G417">
        <v>-33.950000000000003</v>
      </c>
      <c r="H417">
        <v>9.74E-2</v>
      </c>
      <c r="I417">
        <v>3.6800000000000001E-3</v>
      </c>
      <c r="J417">
        <v>-3.3007576589436691E-2</v>
      </c>
      <c r="K417">
        <v>8.9008455034588776E-2</v>
      </c>
      <c r="L417">
        <v>-7.4558032282859343E-2</v>
      </c>
      <c r="M417">
        <v>-3.2149379598111335E-3</v>
      </c>
      <c r="N417">
        <v>8.6694235203689466E-3</v>
      </c>
      <c r="O417">
        <v>-7.2619523443504998E-3</v>
      </c>
      <c r="P417">
        <v>-1.2146788184912703E-4</v>
      </c>
      <c r="Q417">
        <v>3.2755111452728672E-4</v>
      </c>
      <c r="R417">
        <v>-2.7437355880092237E-4</v>
      </c>
    </row>
    <row r="418" spans="1:18">
      <c r="A418" t="s">
        <v>101</v>
      </c>
      <c r="B418">
        <v>2018</v>
      </c>
      <c r="C418">
        <v>-0.16229575323190509</v>
      </c>
      <c r="D418">
        <v>0.74755769288933249</v>
      </c>
      <c r="E418">
        <v>-3.23</v>
      </c>
      <c r="F418">
        <v>-86.64</v>
      </c>
      <c r="G418">
        <v>106.62</v>
      </c>
      <c r="H418">
        <v>0.1048</v>
      </c>
      <c r="I418">
        <v>9.300000000000001E-3</v>
      </c>
      <c r="J418">
        <v>-4.8846142213350274E-3</v>
      </c>
      <c r="K418">
        <v>-0.13102259323110427</v>
      </c>
      <c r="L418">
        <v>0.16123763723800019</v>
      </c>
      <c r="M418">
        <v>-5.1190757039591087E-4</v>
      </c>
      <c r="N418">
        <v>-1.3731167770619728E-2</v>
      </c>
      <c r="O418">
        <v>1.6897704382542421E-2</v>
      </c>
      <c r="P418">
        <v>-4.5426912258415762E-5</v>
      </c>
      <c r="Q418">
        <v>-1.2185101170492699E-3</v>
      </c>
      <c r="R418">
        <v>1.4995100263134019E-3</v>
      </c>
    </row>
    <row r="419" spans="1:18">
      <c r="A419" t="s">
        <v>101</v>
      </c>
      <c r="B419">
        <v>2019</v>
      </c>
      <c r="C419">
        <v>-0.49837384497685966</v>
      </c>
      <c r="D419">
        <v>0.69409351630000726</v>
      </c>
      <c r="E419">
        <v>-4.82</v>
      </c>
      <c r="F419">
        <v>26.56</v>
      </c>
      <c r="G419">
        <v>-48.99</v>
      </c>
      <c r="H419">
        <v>5.4000000000000003E-3</v>
      </c>
      <c r="I419">
        <v>1.042E-2</v>
      </c>
      <c r="J419">
        <v>-8.7490016699339306E-3</v>
      </c>
      <c r="K419">
        <v>4.8210266463370365E-2</v>
      </c>
      <c r="L419">
        <v>-8.8923981703332614E-2</v>
      </c>
      <c r="M419">
        <v>-4.7244609017643225E-5</v>
      </c>
      <c r="N419">
        <v>2.603354389022E-4</v>
      </c>
      <c r="O419">
        <v>-4.8018950119799614E-4</v>
      </c>
      <c r="P419">
        <v>-9.1164597400711565E-5</v>
      </c>
      <c r="Q419">
        <v>5.0235097654831925E-4</v>
      </c>
      <c r="R419">
        <v>-9.2658788934872583E-4</v>
      </c>
    </row>
    <row r="420" spans="1:18">
      <c r="A420" t="s">
        <v>101</v>
      </c>
      <c r="B420">
        <v>2020</v>
      </c>
      <c r="C420">
        <v>-0.66564557363059329</v>
      </c>
      <c r="D420">
        <v>0.66703380996400685</v>
      </c>
      <c r="E420">
        <v>24.01</v>
      </c>
      <c r="F420">
        <v>17.89</v>
      </c>
      <c r="G420">
        <v>-2.88</v>
      </c>
      <c r="H420">
        <v>5.4000000000000003E-3</v>
      </c>
      <c r="I420">
        <v>8.6999999999999994E-3</v>
      </c>
      <c r="J420">
        <v>4.7223806620380386E-2</v>
      </c>
      <c r="K420">
        <v>3.5186751371870266E-2</v>
      </c>
      <c r="L420">
        <v>-5.6644965875341739E-3</v>
      </c>
      <c r="M420">
        <v>2.5500855575005409E-4</v>
      </c>
      <c r="N420">
        <v>1.9000845740809943E-4</v>
      </c>
      <c r="O420">
        <v>-3.058828157268454E-5</v>
      </c>
      <c r="P420">
        <v>4.1084711759730932E-4</v>
      </c>
      <c r="Q420">
        <v>3.0612473693527128E-4</v>
      </c>
      <c r="R420">
        <v>-4.928112031154731E-5</v>
      </c>
    </row>
    <row r="421" spans="1:18">
      <c r="A421" t="s">
        <v>101</v>
      </c>
      <c r="B421">
        <v>2021</v>
      </c>
      <c r="C421">
        <v>-0.79614031675834118</v>
      </c>
      <c r="D421">
        <v>0.64216692320848301</v>
      </c>
      <c r="E421">
        <v>-33.53</v>
      </c>
      <c r="F421">
        <v>69</v>
      </c>
      <c r="G421">
        <v>-63.27</v>
      </c>
      <c r="H421">
        <v>7.0000000000000001E-3</v>
      </c>
      <c r="I421">
        <v>2.9979999999999998E-3</v>
      </c>
      <c r="J421">
        <v>-7.1682059175645629E-2</v>
      </c>
      <c r="K421">
        <v>0.14751154438173422</v>
      </c>
      <c r="L421">
        <v>-0.13526167265264238</v>
      </c>
      <c r="M421">
        <v>-5.0177441422951936E-4</v>
      </c>
      <c r="N421">
        <v>1.0325808106721396E-3</v>
      </c>
      <c r="O421">
        <v>-9.4683170856849671E-4</v>
      </c>
      <c r="P421">
        <v>-2.1490281340858557E-4</v>
      </c>
      <c r="Q421">
        <v>4.4223961005643915E-4</v>
      </c>
      <c r="R421">
        <v>-4.0551449461262185E-4</v>
      </c>
    </row>
    <row r="422" spans="1:18">
      <c r="A422" t="s">
        <v>102</v>
      </c>
      <c r="B422">
        <v>2017</v>
      </c>
      <c r="C422">
        <v>-0.54517032188786407</v>
      </c>
      <c r="D422">
        <v>0.66477071312440728</v>
      </c>
      <c r="E422">
        <v>1014.52</v>
      </c>
      <c r="F422">
        <v>-2561.83</v>
      </c>
      <c r="G422">
        <v>1066.56</v>
      </c>
      <c r="H422">
        <v>5.9199999999999996E-2</v>
      </c>
      <c r="I422">
        <v>0.36190000000000011</v>
      </c>
      <c r="J422">
        <v>1.9119473718827346E-2</v>
      </c>
      <c r="K422">
        <v>-4.8279818394022254E-2</v>
      </c>
      <c r="L422">
        <v>2.0100210828325211E-2</v>
      </c>
      <c r="M422">
        <v>1.1318728441545788E-3</v>
      </c>
      <c r="N422">
        <v>-2.8581652489261173E-3</v>
      </c>
      <c r="O422">
        <v>1.1899324810368524E-3</v>
      </c>
      <c r="P422">
        <v>6.9193375388436184E-3</v>
      </c>
      <c r="Q422">
        <v>-1.7472466276796658E-2</v>
      </c>
      <c r="R422">
        <v>7.2742662987708958E-3</v>
      </c>
    </row>
    <row r="423" spans="1:18">
      <c r="A423" t="s">
        <v>102</v>
      </c>
      <c r="B423">
        <v>2018</v>
      </c>
      <c r="C423">
        <v>-0.59425270042347433</v>
      </c>
      <c r="D423">
        <v>0.65058435166355444</v>
      </c>
      <c r="E423">
        <v>-2917.68</v>
      </c>
      <c r="F423">
        <v>-353.58</v>
      </c>
      <c r="G423">
        <v>3467.52</v>
      </c>
      <c r="H423">
        <v>1.9599999999999999E-2</v>
      </c>
      <c r="I423">
        <v>0.36490000000000011</v>
      </c>
      <c r="J423">
        <v>-6.0644204372182577E-2</v>
      </c>
      <c r="K423">
        <v>-7.3491876360383306E-3</v>
      </c>
      <c r="L423">
        <v>7.2072671281508099E-2</v>
      </c>
      <c r="M423">
        <v>-1.1886264056947785E-3</v>
      </c>
      <c r="N423">
        <v>-1.4404407766635129E-4</v>
      </c>
      <c r="O423">
        <v>1.4126243571175587E-3</v>
      </c>
      <c r="P423">
        <v>-2.2129070175409431E-2</v>
      </c>
      <c r="Q423">
        <v>-2.6817185683903877E-3</v>
      </c>
      <c r="R423">
        <v>2.6299317750622313E-2</v>
      </c>
    </row>
    <row r="424" spans="1:18">
      <c r="A424" t="s">
        <v>102</v>
      </c>
      <c r="B424">
        <v>2019</v>
      </c>
      <c r="C424">
        <v>-0.34169805019100746</v>
      </c>
      <c r="D424">
        <v>0.64998939701162517</v>
      </c>
      <c r="E424">
        <v>-2537.58</v>
      </c>
      <c r="F424">
        <v>6232.25</v>
      </c>
      <c r="G424">
        <v>-3777.98</v>
      </c>
      <c r="H424">
        <v>1.5299999999999999E-2</v>
      </c>
      <c r="I424">
        <v>0.35650000000000004</v>
      </c>
      <c r="J424">
        <v>-7.5578458539932752E-2</v>
      </c>
      <c r="K424">
        <v>0.18561930982885108</v>
      </c>
      <c r="L424">
        <v>-0.11252212927068118</v>
      </c>
      <c r="M424">
        <v>-1.1563504156609711E-3</v>
      </c>
      <c r="N424">
        <v>2.8399754403814212E-3</v>
      </c>
      <c r="O424">
        <v>-1.7215885778414221E-3</v>
      </c>
      <c r="P424">
        <v>-2.6943720469486031E-2</v>
      </c>
      <c r="Q424">
        <v>6.6173283953985418E-2</v>
      </c>
      <c r="R424">
        <v>-4.0114139084997849E-2</v>
      </c>
    </row>
    <row r="425" spans="1:18">
      <c r="A425" t="s">
        <v>102</v>
      </c>
      <c r="B425">
        <v>2020</v>
      </c>
      <c r="C425">
        <v>0.1516789202286602</v>
      </c>
      <c r="D425">
        <v>0.73091159673931771</v>
      </c>
      <c r="E425">
        <v>-1764.14</v>
      </c>
      <c r="F425">
        <v>-1467.64</v>
      </c>
      <c r="G425">
        <v>3074.5</v>
      </c>
      <c r="H425">
        <v>1.52E-2</v>
      </c>
      <c r="I425">
        <v>0.37190000000000006</v>
      </c>
      <c r="J425">
        <v>-4.7339358157153129E-2</v>
      </c>
      <c r="K425">
        <v>-3.9383005660414826E-2</v>
      </c>
      <c r="L425">
        <v>8.2501874371743333E-2</v>
      </c>
      <c r="M425">
        <v>-7.1955824398872758E-4</v>
      </c>
      <c r="N425">
        <v>-5.986216860383054E-4</v>
      </c>
      <c r="O425">
        <v>1.2540284904504987E-3</v>
      </c>
      <c r="P425">
        <v>-1.760550729864525E-2</v>
      </c>
      <c r="Q425">
        <v>-1.4646539805108277E-2</v>
      </c>
      <c r="R425">
        <v>3.0682447078851351E-2</v>
      </c>
    </row>
    <row r="426" spans="1:18">
      <c r="A426" t="s">
        <v>102</v>
      </c>
      <c r="B426">
        <v>2021</v>
      </c>
      <c r="C426">
        <v>-7.9888026771836984E-2</v>
      </c>
      <c r="D426">
        <v>0.7465666432389283</v>
      </c>
      <c r="E426">
        <v>-640.28</v>
      </c>
      <c r="F426">
        <v>1288.68</v>
      </c>
      <c r="G426">
        <v>-667.25</v>
      </c>
      <c r="H426">
        <v>8.9999999999999993E-3</v>
      </c>
      <c r="I426">
        <v>0.34584999999999999</v>
      </c>
      <c r="J426">
        <v>-3.4722945300569207E-2</v>
      </c>
      <c r="K426">
        <v>6.9886245314452311E-2</v>
      </c>
      <c r="L426">
        <v>-3.6185552026933222E-2</v>
      </c>
      <c r="M426">
        <v>-3.1250650770512284E-4</v>
      </c>
      <c r="N426">
        <v>6.289762078300707E-4</v>
      </c>
      <c r="O426">
        <v>-3.2566996824239897E-4</v>
      </c>
      <c r="P426">
        <v>-1.200893063220186E-2</v>
      </c>
      <c r="Q426">
        <v>2.4170157942003331E-2</v>
      </c>
      <c r="R426">
        <v>-1.2514773168514855E-2</v>
      </c>
    </row>
    <row r="427" spans="1:18">
      <c r="A427" t="s">
        <v>103</v>
      </c>
      <c r="B427">
        <v>2017</v>
      </c>
      <c r="C427">
        <v>-2.7706448743931515</v>
      </c>
      <c r="D427">
        <v>0.36124118649117315</v>
      </c>
      <c r="E427">
        <v>46.39</v>
      </c>
      <c r="F427">
        <v>-280.45999999999998</v>
      </c>
      <c r="G427">
        <v>179.84</v>
      </c>
      <c r="H427">
        <v>0.28689999999999999</v>
      </c>
      <c r="I427">
        <v>0.37720000000000004</v>
      </c>
      <c r="J427">
        <v>3.5437371569129232E-2</v>
      </c>
      <c r="K427">
        <v>-0.21424369972575949</v>
      </c>
      <c r="L427">
        <v>0.1373799720412201</v>
      </c>
      <c r="M427">
        <v>1.0166981903183176E-2</v>
      </c>
      <c r="N427">
        <v>-6.1466517451320396E-2</v>
      </c>
      <c r="O427">
        <v>3.9414313978626048E-2</v>
      </c>
      <c r="P427">
        <v>1.3366976555875548E-2</v>
      </c>
      <c r="Q427">
        <v>-8.0812723536556483E-2</v>
      </c>
      <c r="R427">
        <v>5.1819725453948223E-2</v>
      </c>
    </row>
    <row r="428" spans="1:18">
      <c r="A428" t="s">
        <v>103</v>
      </c>
      <c r="B428">
        <v>2018</v>
      </c>
      <c r="C428">
        <v>-3.2360741932382484</v>
      </c>
      <c r="D428">
        <v>0.26407323759948792</v>
      </c>
      <c r="E428">
        <v>-17.63</v>
      </c>
      <c r="F428">
        <v>-131.71</v>
      </c>
      <c r="G428">
        <v>253.9</v>
      </c>
      <c r="H428">
        <v>0.20170000000000002</v>
      </c>
      <c r="I428">
        <v>0.27346999999999999</v>
      </c>
      <c r="J428">
        <v>-1.0646263843766228E-2</v>
      </c>
      <c r="K428">
        <v>-7.9535984734115148E-2</v>
      </c>
      <c r="L428">
        <v>0.15332310776700203</v>
      </c>
      <c r="M428">
        <v>-2.1473514172876485E-3</v>
      </c>
      <c r="N428">
        <v>-1.6042408120871026E-2</v>
      </c>
      <c r="O428">
        <v>3.0925270836604311E-2</v>
      </c>
      <c r="P428">
        <v>-2.9114337733547502E-3</v>
      </c>
      <c r="Q428">
        <v>-2.175070574523847E-2</v>
      </c>
      <c r="R428">
        <v>4.1929270281042041E-2</v>
      </c>
    </row>
    <row r="429" spans="1:18">
      <c r="A429" t="s">
        <v>103</v>
      </c>
      <c r="B429">
        <v>2019</v>
      </c>
      <c r="C429">
        <v>-2.8494298089183032</v>
      </c>
      <c r="D429">
        <v>0.31345962331877825</v>
      </c>
      <c r="E429">
        <v>184.16</v>
      </c>
      <c r="F429">
        <v>-219.5</v>
      </c>
      <c r="G429">
        <v>6.63</v>
      </c>
      <c r="H429">
        <v>0.20170000000000002</v>
      </c>
      <c r="I429">
        <v>0.19278800000000001</v>
      </c>
      <c r="J429">
        <v>0.10076934020595993</v>
      </c>
      <c r="K429">
        <v>-0.12010681024765532</v>
      </c>
      <c r="L429">
        <v>3.6278275714895433E-3</v>
      </c>
      <c r="M429">
        <v>2.032517591954212E-2</v>
      </c>
      <c r="N429">
        <v>-2.4225543626952079E-2</v>
      </c>
      <c r="O429">
        <v>7.3173282116944095E-4</v>
      </c>
      <c r="P429">
        <v>1.9427119559626605E-2</v>
      </c>
      <c r="Q429">
        <v>-2.3155151734024975E-2</v>
      </c>
      <c r="R429">
        <v>6.9940162185232614E-4</v>
      </c>
    </row>
    <row r="430" spans="1:18">
      <c r="A430" t="s">
        <v>103</v>
      </c>
      <c r="B430">
        <v>2020</v>
      </c>
      <c r="C430">
        <v>-2.5588143742344429</v>
      </c>
      <c r="D430">
        <v>0.36224964789572939</v>
      </c>
      <c r="E430">
        <v>276.89</v>
      </c>
      <c r="F430">
        <v>-383.45</v>
      </c>
      <c r="G430">
        <v>84.5</v>
      </c>
      <c r="H430">
        <v>0.1419</v>
      </c>
      <c r="I430">
        <v>0.212088</v>
      </c>
      <c r="J430">
        <v>0.13219545964526985</v>
      </c>
      <c r="K430">
        <v>-0.18307034923969348</v>
      </c>
      <c r="L430">
        <v>4.0342794394977441E-2</v>
      </c>
      <c r="M430">
        <v>1.8758535723663792E-2</v>
      </c>
      <c r="N430">
        <v>-2.5977682557112504E-2</v>
      </c>
      <c r="O430">
        <v>5.724642524647299E-3</v>
      </c>
      <c r="P430">
        <v>2.8037070645245993E-2</v>
      </c>
      <c r="Q430">
        <v>-3.8827024229548111E-2</v>
      </c>
      <c r="R430">
        <v>8.5562225776419747E-3</v>
      </c>
    </row>
    <row r="431" spans="1:18">
      <c r="A431" t="s">
        <v>103</v>
      </c>
      <c r="B431">
        <v>2021</v>
      </c>
      <c r="C431">
        <v>-2.7289399303840232</v>
      </c>
      <c r="D431">
        <v>0.41156434173279499</v>
      </c>
      <c r="E431">
        <v>790.08</v>
      </c>
      <c r="F431">
        <v>-649.54</v>
      </c>
      <c r="G431">
        <v>123.66</v>
      </c>
      <c r="H431">
        <v>0.1205</v>
      </c>
      <c r="I431">
        <v>0.15179799999999999</v>
      </c>
      <c r="J431">
        <v>0.244428975822544</v>
      </c>
      <c r="K431">
        <v>-0.20094977338468914</v>
      </c>
      <c r="L431">
        <v>3.8256995684254488E-2</v>
      </c>
      <c r="M431">
        <v>2.9453691586616551E-2</v>
      </c>
      <c r="N431">
        <v>-2.4214447692855041E-2</v>
      </c>
      <c r="O431">
        <v>4.6099679799526654E-3</v>
      </c>
      <c r="P431">
        <v>3.7103829671910532E-2</v>
      </c>
      <c r="Q431">
        <v>-3.0503773700249041E-2</v>
      </c>
      <c r="R431">
        <v>5.8073354308784625E-3</v>
      </c>
    </row>
    <row r="432" spans="1:18">
      <c r="A432" t="s">
        <v>104</v>
      </c>
      <c r="B432">
        <v>2017</v>
      </c>
      <c r="C432">
        <v>-3.4784325241308371</v>
      </c>
      <c r="D432">
        <v>0.16014328808446454</v>
      </c>
      <c r="E432">
        <v>122.93</v>
      </c>
      <c r="F432">
        <v>160.24</v>
      </c>
      <c r="G432">
        <v>-183.99</v>
      </c>
      <c r="H432">
        <v>7.3800000000000004E-2</v>
      </c>
      <c r="I432">
        <v>0.1539886</v>
      </c>
      <c r="J432">
        <v>0.15451231774761187</v>
      </c>
      <c r="K432">
        <v>0.20140774258421318</v>
      </c>
      <c r="L432">
        <v>-0.23125942684766215</v>
      </c>
      <c r="M432">
        <v>1.1403009049773757E-2</v>
      </c>
      <c r="N432">
        <v>1.4863891402714933E-2</v>
      </c>
      <c r="O432">
        <v>-1.7066945701357469E-2</v>
      </c>
      <c r="P432">
        <v>2.3793135492709908E-2</v>
      </c>
      <c r="Q432">
        <v>3.101449630970337E-2</v>
      </c>
      <c r="R432">
        <v>-3.5611315377073911E-2</v>
      </c>
    </row>
    <row r="433" spans="1:18">
      <c r="A433" t="s">
        <v>104</v>
      </c>
      <c r="B433">
        <v>2018</v>
      </c>
      <c r="C433">
        <v>-3.6782381404964082</v>
      </c>
      <c r="D433">
        <v>0.14421014139444174</v>
      </c>
      <c r="E433">
        <v>38.36</v>
      </c>
      <c r="F433">
        <v>-121.13</v>
      </c>
      <c r="G433">
        <v>-17.62</v>
      </c>
      <c r="H433">
        <v>6.8199999999999997E-2</v>
      </c>
      <c r="I433">
        <v>0.1539886</v>
      </c>
      <c r="J433">
        <v>4.6757679180887371E-2</v>
      </c>
      <c r="K433">
        <v>-0.14764748902974159</v>
      </c>
      <c r="L433">
        <v>-2.1477328132618236E-2</v>
      </c>
      <c r="M433">
        <v>3.1888737201365186E-3</v>
      </c>
      <c r="N433">
        <v>-1.0069558751828377E-2</v>
      </c>
      <c r="O433">
        <v>-1.4647537786445636E-3</v>
      </c>
      <c r="P433">
        <v>7.2001495563139934E-3</v>
      </c>
      <c r="Q433">
        <v>-2.2736030129205265E-2</v>
      </c>
      <c r="R433">
        <v>-3.3072636908824966E-3</v>
      </c>
    </row>
    <row r="434" spans="1:18">
      <c r="A434" t="s">
        <v>104</v>
      </c>
      <c r="B434">
        <v>2019</v>
      </c>
      <c r="C434">
        <v>-3.5638630637347002</v>
      </c>
      <c r="D434">
        <v>0.15137518629370975</v>
      </c>
      <c r="E434">
        <v>35.29</v>
      </c>
      <c r="F434">
        <v>2.98</v>
      </c>
      <c r="G434">
        <v>-34.65</v>
      </c>
      <c r="H434">
        <v>6.8199999999999997E-2</v>
      </c>
      <c r="I434">
        <v>0.1539886</v>
      </c>
      <c r="J434">
        <v>4.3466479449186468E-2</v>
      </c>
      <c r="K434">
        <v>3.6704479670891378E-3</v>
      </c>
      <c r="L434">
        <v>-4.267819532202638E-2</v>
      </c>
      <c r="M434">
        <v>2.9644138984345168E-3</v>
      </c>
      <c r="N434">
        <v>2.5032455135547919E-4</v>
      </c>
      <c r="O434">
        <v>-2.910652920962199E-3</v>
      </c>
      <c r="P434">
        <v>6.6933423173089956E-3</v>
      </c>
      <c r="Q434">
        <v>5.6520714382490237E-4</v>
      </c>
      <c r="R434">
        <v>-6.5719555481653915E-3</v>
      </c>
    </row>
    <row r="435" spans="1:18">
      <c r="A435" t="s">
        <v>104</v>
      </c>
      <c r="B435">
        <v>2020</v>
      </c>
      <c r="C435">
        <v>-3.8703155529381417</v>
      </c>
      <c r="D435">
        <v>0.11201306736623273</v>
      </c>
      <c r="E435">
        <v>22.5</v>
      </c>
      <c r="F435">
        <v>60.19</v>
      </c>
      <c r="G435">
        <v>-36.049999999999997</v>
      </c>
      <c r="H435">
        <v>4.6199999999999998E-2</v>
      </c>
      <c r="I435">
        <v>0.2520886</v>
      </c>
      <c r="J435">
        <v>2.7842399643617285E-2</v>
      </c>
      <c r="K435">
        <v>7.4481512646636633E-2</v>
      </c>
      <c r="L435">
        <v>-4.4609711428995689E-2</v>
      </c>
      <c r="M435">
        <v>1.2863188635351185E-3</v>
      </c>
      <c r="N435">
        <v>3.4410458842746121E-3</v>
      </c>
      <c r="O435">
        <v>-2.0609686680196008E-3</v>
      </c>
      <c r="P435">
        <v>7.0187515467999805E-3</v>
      </c>
      <c r="Q435">
        <v>1.8775940248972924E-2</v>
      </c>
      <c r="R435">
        <v>-1.1245599700539522E-2</v>
      </c>
    </row>
    <row r="436" spans="1:18">
      <c r="A436" t="s">
        <v>104</v>
      </c>
      <c r="B436">
        <v>2021</v>
      </c>
      <c r="C436">
        <v>-4.0086956554849058</v>
      </c>
      <c r="D436">
        <v>9.6190488050909712E-2</v>
      </c>
      <c r="E436">
        <v>-15.81</v>
      </c>
      <c r="F436">
        <v>17.91</v>
      </c>
      <c r="G436">
        <v>-42.18</v>
      </c>
      <c r="H436">
        <v>3.0099999999999998E-2</v>
      </c>
      <c r="I436">
        <v>0.25607000000000002</v>
      </c>
      <c r="J436">
        <v>-1.9688912688825513E-2</v>
      </c>
      <c r="K436">
        <v>2.2304138283166665E-2</v>
      </c>
      <c r="L436">
        <v>-5.2528674080623665E-2</v>
      </c>
      <c r="M436">
        <v>-5.9263627193364792E-4</v>
      </c>
      <c r="N436">
        <v>6.7135456232331658E-4</v>
      </c>
      <c r="O436">
        <v>-1.5811130898267722E-3</v>
      </c>
      <c r="P436">
        <v>-5.0417398722275497E-3</v>
      </c>
      <c r="Q436">
        <v>5.7114206901704885E-3</v>
      </c>
      <c r="R436">
        <v>-1.3451017571825303E-2</v>
      </c>
    </row>
    <row r="437" spans="1:18">
      <c r="A437" t="s">
        <v>105</v>
      </c>
      <c r="B437">
        <v>2017</v>
      </c>
      <c r="C437">
        <v>-3.1698246975040925</v>
      </c>
      <c r="D437">
        <v>0.21584697443443074</v>
      </c>
      <c r="E437">
        <v>-41.97</v>
      </c>
      <c r="F437">
        <v>-16.14</v>
      </c>
      <c r="G437">
        <v>-25.47</v>
      </c>
      <c r="H437">
        <v>1.5E-3</v>
      </c>
      <c r="I437">
        <v>0.17829999999999999</v>
      </c>
      <c r="J437">
        <v>-3.0877322052602536E-2</v>
      </c>
      <c r="K437">
        <v>-1.1874195328306051E-2</v>
      </c>
      <c r="L437">
        <v>-1.8738274783888172E-2</v>
      </c>
      <c r="M437">
        <v>-4.6315983078903804E-5</v>
      </c>
      <c r="N437">
        <v>-1.7811292992459077E-5</v>
      </c>
      <c r="O437">
        <v>-2.810741217583226E-5</v>
      </c>
      <c r="P437">
        <v>-5.5054265219790319E-3</v>
      </c>
      <c r="Q437">
        <v>-2.1171690270369689E-3</v>
      </c>
      <c r="R437">
        <v>-3.3410343939672608E-3</v>
      </c>
    </row>
    <row r="438" spans="1:18">
      <c r="A438" t="s">
        <v>105</v>
      </c>
      <c r="B438">
        <v>2018</v>
      </c>
      <c r="C438">
        <v>-3.7396090092423888</v>
      </c>
      <c r="D438">
        <v>0.11020819740198112</v>
      </c>
      <c r="E438">
        <v>100.19</v>
      </c>
      <c r="F438">
        <v>-62.92</v>
      </c>
      <c r="G438">
        <v>-37.979999999999997</v>
      </c>
      <c r="H438">
        <v>5.0000000000000001E-4</v>
      </c>
      <c r="I438">
        <v>0.1787</v>
      </c>
      <c r="J438">
        <v>8.4897426554701588E-2</v>
      </c>
      <c r="K438">
        <v>-5.3316160084058532E-2</v>
      </c>
      <c r="L438">
        <v>-3.2182895104776586E-2</v>
      </c>
      <c r="M438">
        <v>4.2448713277350796E-5</v>
      </c>
      <c r="N438">
        <v>-2.6658080042029267E-5</v>
      </c>
      <c r="O438">
        <v>-1.6091447552388293E-5</v>
      </c>
      <c r="P438">
        <v>1.5171170125325173E-2</v>
      </c>
      <c r="Q438">
        <v>-9.5275978070212593E-3</v>
      </c>
      <c r="R438">
        <v>-5.751083355223576E-3</v>
      </c>
    </row>
    <row r="439" spans="1:18">
      <c r="A439" t="s">
        <v>105</v>
      </c>
      <c r="B439">
        <v>2019</v>
      </c>
      <c r="C439">
        <v>-3.9455062315142464</v>
      </c>
      <c r="D439">
        <v>7.6796537558169203E-2</v>
      </c>
      <c r="E439">
        <v>45.81</v>
      </c>
      <c r="F439">
        <v>-7.26</v>
      </c>
      <c r="G439">
        <v>-42.67</v>
      </c>
      <c r="H439">
        <v>2.3E-3</v>
      </c>
      <c r="I439">
        <v>0.1782</v>
      </c>
      <c r="J439">
        <v>4.0298389295987759E-2</v>
      </c>
      <c r="K439">
        <v>-6.3865161818133839E-3</v>
      </c>
      <c r="L439">
        <v>-3.7536177063082245E-2</v>
      </c>
      <c r="M439">
        <v>9.2686295380771844E-5</v>
      </c>
      <c r="N439">
        <v>-1.4688987218170783E-5</v>
      </c>
      <c r="O439">
        <v>-8.6333207245089161E-5</v>
      </c>
      <c r="P439">
        <v>7.1811729725450189E-3</v>
      </c>
      <c r="Q439">
        <v>-1.1380771835991449E-3</v>
      </c>
      <c r="R439">
        <v>-6.688946752641256E-3</v>
      </c>
    </row>
    <row r="440" spans="1:18">
      <c r="A440" t="s">
        <v>105</v>
      </c>
      <c r="B440">
        <v>2020</v>
      </c>
      <c r="C440">
        <v>-3.2925545565090126</v>
      </c>
      <c r="D440">
        <v>0.17909784695447983</v>
      </c>
      <c r="E440">
        <v>63.56</v>
      </c>
      <c r="F440">
        <v>-167.92</v>
      </c>
      <c r="G440">
        <v>118.07</v>
      </c>
      <c r="H440">
        <v>2E-3</v>
      </c>
      <c r="I440">
        <v>0.1782</v>
      </c>
      <c r="J440">
        <v>5.0422834658162378E-2</v>
      </c>
      <c r="K440">
        <v>-0.13321275009123074</v>
      </c>
      <c r="L440">
        <v>9.3666206546400746E-2</v>
      </c>
      <c r="M440">
        <v>1.0084566931632476E-4</v>
      </c>
      <c r="N440">
        <v>-2.6642550018246146E-4</v>
      </c>
      <c r="O440">
        <v>1.8733241309280149E-4</v>
      </c>
      <c r="P440">
        <v>8.9853491360845361E-3</v>
      </c>
      <c r="Q440">
        <v>-2.3738512066257315E-2</v>
      </c>
      <c r="R440">
        <v>1.6691318006568614E-2</v>
      </c>
    </row>
    <row r="441" spans="1:18">
      <c r="A441" t="s">
        <v>105</v>
      </c>
      <c r="B441">
        <v>2021</v>
      </c>
      <c r="C441">
        <v>-3.600643998666337</v>
      </c>
      <c r="D441">
        <v>0.14697672934909167</v>
      </c>
      <c r="E441">
        <v>-6.36</v>
      </c>
      <c r="F441">
        <v>47.15</v>
      </c>
      <c r="G441">
        <v>-42.5</v>
      </c>
      <c r="H441">
        <v>1.8E-3</v>
      </c>
      <c r="I441">
        <v>0.1782</v>
      </c>
      <c r="J441">
        <v>-5.0720130149767935E-3</v>
      </c>
      <c r="K441">
        <v>3.7601480134615686E-2</v>
      </c>
      <c r="L441">
        <v>-3.389316873215624E-2</v>
      </c>
      <c r="M441">
        <v>-9.1296234269582288E-6</v>
      </c>
      <c r="N441">
        <v>6.7682664242308232E-5</v>
      </c>
      <c r="O441">
        <v>-6.100770371788123E-5</v>
      </c>
      <c r="P441">
        <v>-9.0383271926886455E-4</v>
      </c>
      <c r="Q441">
        <v>6.7005837599885152E-3</v>
      </c>
      <c r="R441">
        <v>-6.0397626680702421E-3</v>
      </c>
    </row>
    <row r="442" spans="1:18">
      <c r="A442" t="s">
        <v>106</v>
      </c>
      <c r="B442">
        <v>2017</v>
      </c>
      <c r="C442">
        <v>-0.36553286050518868</v>
      </c>
      <c r="D442">
        <v>0.73608410841422844</v>
      </c>
      <c r="E442">
        <v>-324.14999999999998</v>
      </c>
      <c r="F442">
        <v>-195.25</v>
      </c>
      <c r="G442">
        <v>547.41</v>
      </c>
      <c r="H442">
        <v>0.14000000000000001</v>
      </c>
      <c r="I442">
        <v>0.39319999999999999</v>
      </c>
      <c r="J442">
        <v>-0.21958555470501762</v>
      </c>
      <c r="K442">
        <v>-0.13226617169876506</v>
      </c>
      <c r="L442">
        <v>0.37082624865362857</v>
      </c>
      <c r="M442">
        <v>-3.0741977658702468E-2</v>
      </c>
      <c r="N442">
        <v>-1.8517264037827112E-2</v>
      </c>
      <c r="O442">
        <v>5.1915674811508002E-2</v>
      </c>
      <c r="P442">
        <v>-8.6341040110012923E-2</v>
      </c>
      <c r="Q442">
        <v>-5.2007058711954421E-2</v>
      </c>
      <c r="R442">
        <v>0.14580888097060674</v>
      </c>
    </row>
    <row r="443" spans="1:18">
      <c r="A443" t="s">
        <v>106</v>
      </c>
      <c r="B443">
        <v>2018</v>
      </c>
      <c r="C443">
        <v>-0.26768649135928629</v>
      </c>
      <c r="D443">
        <v>0.75081449358311136</v>
      </c>
      <c r="E443">
        <v>58.99</v>
      </c>
      <c r="F443">
        <v>-85.05</v>
      </c>
      <c r="G443">
        <v>78.260000000000005</v>
      </c>
      <c r="H443">
        <v>0.1206</v>
      </c>
      <c r="I443">
        <v>0.39319999999999999</v>
      </c>
      <c r="J443">
        <v>3.2464173289013146E-2</v>
      </c>
      <c r="K443">
        <v>-4.6805864353798403E-2</v>
      </c>
      <c r="L443">
        <v>4.3069099874523967E-2</v>
      </c>
      <c r="M443">
        <v>3.9151792986549857E-3</v>
      </c>
      <c r="N443">
        <v>-5.6447872410680874E-3</v>
      </c>
      <c r="O443">
        <v>5.1941334448675908E-3</v>
      </c>
      <c r="P443">
        <v>1.2764912937239969E-2</v>
      </c>
      <c r="Q443">
        <v>-1.8404065863913532E-2</v>
      </c>
      <c r="R443">
        <v>1.6934770070662825E-2</v>
      </c>
    </row>
    <row r="444" spans="1:18">
      <c r="A444" t="s">
        <v>106</v>
      </c>
      <c r="B444">
        <v>2019</v>
      </c>
      <c r="C444">
        <v>-0.36982155405082479</v>
      </c>
      <c r="D444">
        <v>0.71476534738389907</v>
      </c>
      <c r="E444">
        <v>77.25</v>
      </c>
      <c r="F444">
        <v>-1.5</v>
      </c>
      <c r="G444">
        <v>-86.92</v>
      </c>
      <c r="H444">
        <v>0.1028</v>
      </c>
      <c r="I444">
        <v>0.43189999999999995</v>
      </c>
      <c r="J444">
        <v>4.7328758730547725E-2</v>
      </c>
      <c r="K444">
        <v>-9.1900502389413057E-4</v>
      </c>
      <c r="L444">
        <v>-5.3253277784585225E-2</v>
      </c>
      <c r="M444">
        <v>4.8653963975003062E-3</v>
      </c>
      <c r="N444">
        <v>-9.4473716456316625E-5</v>
      </c>
      <c r="O444">
        <v>-5.4744369562553614E-3</v>
      </c>
      <c r="P444">
        <v>2.0441290895723559E-2</v>
      </c>
      <c r="Q444">
        <v>-3.9691826981987495E-4</v>
      </c>
      <c r="R444">
        <v>-2.3000090675162357E-2</v>
      </c>
    </row>
    <row r="445" spans="1:18">
      <c r="A445" t="s">
        <v>106</v>
      </c>
      <c r="B445">
        <v>2020</v>
      </c>
      <c r="C445">
        <v>-1.5389053802977186</v>
      </c>
      <c r="D445">
        <v>0.56563369767196547</v>
      </c>
      <c r="E445">
        <v>422.23</v>
      </c>
      <c r="F445">
        <v>52.38</v>
      </c>
      <c r="G445">
        <v>-502.78</v>
      </c>
      <c r="H445">
        <v>9.1700000000000004E-2</v>
      </c>
      <c r="I445">
        <v>0.4546</v>
      </c>
      <c r="J445">
        <v>0.34261625972719234</v>
      </c>
      <c r="K445">
        <v>4.2503468925728483E-2</v>
      </c>
      <c r="L445">
        <v>-0.40797812345318374</v>
      </c>
      <c r="M445">
        <v>3.1417911016983539E-2</v>
      </c>
      <c r="N445">
        <v>3.8975681004893019E-3</v>
      </c>
      <c r="O445">
        <v>-3.7411593920656953E-2</v>
      </c>
      <c r="P445">
        <v>0.15575335167198165</v>
      </c>
      <c r="Q445">
        <v>1.9322076973636169E-2</v>
      </c>
      <c r="R445">
        <v>-0.18546685492181733</v>
      </c>
    </row>
    <row r="446" spans="1:18">
      <c r="A446" t="s">
        <v>106</v>
      </c>
      <c r="B446">
        <v>2021</v>
      </c>
      <c r="C446">
        <v>-2.3384870765040944</v>
      </c>
      <c r="D446">
        <v>0.44409733640249921</v>
      </c>
      <c r="E446">
        <v>335.9</v>
      </c>
      <c r="F446">
        <v>-42.32</v>
      </c>
      <c r="G446">
        <v>-287.49</v>
      </c>
      <c r="H446">
        <v>0.15179999999999999</v>
      </c>
      <c r="I446">
        <v>0.37280000000000008</v>
      </c>
      <c r="J446">
        <v>0.26299306305883086</v>
      </c>
      <c r="K446">
        <v>-3.3134463913812813E-2</v>
      </c>
      <c r="L446">
        <v>-0.2250904307793489</v>
      </c>
      <c r="M446">
        <v>3.9922346972330519E-2</v>
      </c>
      <c r="N446">
        <v>-5.0298116221167847E-3</v>
      </c>
      <c r="O446">
        <v>-3.4168727392305163E-2</v>
      </c>
      <c r="P446">
        <v>9.8043813908332167E-2</v>
      </c>
      <c r="Q446">
        <v>-1.2352528147069419E-2</v>
      </c>
      <c r="R446">
        <v>-8.3913712594541293E-2</v>
      </c>
    </row>
    <row r="447" spans="1:18">
      <c r="A447" t="s">
        <v>107</v>
      </c>
      <c r="B447">
        <v>2017</v>
      </c>
      <c r="C447">
        <v>0.1145687880979676</v>
      </c>
      <c r="D447">
        <v>0.82376868246559243</v>
      </c>
      <c r="E447">
        <v>-1095.07</v>
      </c>
      <c r="F447">
        <v>-356.92</v>
      </c>
      <c r="G447">
        <v>1374.14</v>
      </c>
      <c r="H447">
        <v>0.22020000000000001</v>
      </c>
      <c r="I447">
        <v>0.1862</v>
      </c>
      <c r="J447">
        <v>-7.822811431575849E-2</v>
      </c>
      <c r="K447">
        <v>-2.5497163251281218E-2</v>
      </c>
      <c r="L447">
        <v>9.8163935644165562E-2</v>
      </c>
      <c r="M447">
        <v>-1.722583077233002E-2</v>
      </c>
      <c r="N447">
        <v>-5.6144753479321239E-3</v>
      </c>
      <c r="O447">
        <v>2.1615698628845256E-2</v>
      </c>
      <c r="P447">
        <v>-1.4566074885594232E-2</v>
      </c>
      <c r="Q447">
        <v>-4.7475717973885631E-3</v>
      </c>
      <c r="R447">
        <v>1.8278124816943627E-2</v>
      </c>
    </row>
    <row r="448" spans="1:18">
      <c r="A448" t="s">
        <v>107</v>
      </c>
      <c r="B448">
        <v>2018</v>
      </c>
      <c r="C448">
        <v>0.17233934148938701</v>
      </c>
      <c r="D448">
        <v>0.81618062325084118</v>
      </c>
      <c r="E448">
        <v>-182.45</v>
      </c>
      <c r="F448">
        <v>325.58999999999997</v>
      </c>
      <c r="G448">
        <v>-323.54000000000002</v>
      </c>
      <c r="H448">
        <v>0.18390000000000001</v>
      </c>
      <c r="I448">
        <v>0.20379999999999995</v>
      </c>
      <c r="J448">
        <v>-1.1474481934530359E-2</v>
      </c>
      <c r="K448">
        <v>2.0476714568724252E-2</v>
      </c>
      <c r="L448">
        <v>-2.0347787805414925E-2</v>
      </c>
      <c r="M448">
        <v>-2.1101572277601333E-3</v>
      </c>
      <c r="N448">
        <v>3.7656678091883902E-3</v>
      </c>
      <c r="O448">
        <v>-3.7419581774158048E-3</v>
      </c>
      <c r="P448">
        <v>-2.3384994182572868E-3</v>
      </c>
      <c r="Q448">
        <v>4.1731544291060017E-3</v>
      </c>
      <c r="R448">
        <v>-4.1468791547435609E-3</v>
      </c>
    </row>
    <row r="449" spans="1:18">
      <c r="A449" t="s">
        <v>107</v>
      </c>
      <c r="B449">
        <v>2019</v>
      </c>
      <c r="C449">
        <v>-6.3755514352758585E-2</v>
      </c>
      <c r="D449">
        <v>0.76319006297357272</v>
      </c>
      <c r="E449">
        <v>-706.24</v>
      </c>
      <c r="F449">
        <v>-164.63</v>
      </c>
      <c r="G449">
        <v>1130.5899999999999</v>
      </c>
      <c r="H449">
        <v>0.2301</v>
      </c>
      <c r="I449">
        <v>0.19079999999999997</v>
      </c>
      <c r="J449">
        <v>-4.2235950554083718E-2</v>
      </c>
      <c r="K449">
        <v>-9.8455263645769175E-3</v>
      </c>
      <c r="L449">
        <v>6.7613762087875937E-2</v>
      </c>
      <c r="M449">
        <v>-9.7184922224946638E-3</v>
      </c>
      <c r="N449">
        <v>-2.2654556164891488E-3</v>
      </c>
      <c r="O449">
        <v>1.5557926656420253E-2</v>
      </c>
      <c r="P449">
        <v>-8.0586193657191715E-3</v>
      </c>
      <c r="Q449">
        <v>-1.8785264303612756E-3</v>
      </c>
      <c r="R449">
        <v>1.2900705806366727E-2</v>
      </c>
    </row>
    <row r="450" spans="1:18">
      <c r="A450" t="s">
        <v>107</v>
      </c>
      <c r="B450">
        <v>2020</v>
      </c>
      <c r="C450">
        <v>-0.14955043128157522</v>
      </c>
      <c r="D450">
        <v>0.73328489446864598</v>
      </c>
      <c r="E450">
        <v>-290.79000000000002</v>
      </c>
      <c r="F450">
        <v>-93.57</v>
      </c>
      <c r="G450">
        <v>54.26</v>
      </c>
      <c r="H450">
        <v>0.1603</v>
      </c>
      <c r="I450">
        <v>0.18469999999999998</v>
      </c>
      <c r="J450">
        <v>-1.8697616100564227E-2</v>
      </c>
      <c r="K450">
        <v>-6.0164927904322518E-3</v>
      </c>
      <c r="L450">
        <v>3.488884245044929E-3</v>
      </c>
      <c r="M450">
        <v>-2.9972278609204455E-3</v>
      </c>
      <c r="N450">
        <v>-9.6444379430628995E-4</v>
      </c>
      <c r="O450">
        <v>5.5926814448070217E-4</v>
      </c>
      <c r="P450">
        <v>-3.4534496937742125E-3</v>
      </c>
      <c r="Q450">
        <v>-1.1112462183928368E-3</v>
      </c>
      <c r="R450">
        <v>6.443969200597983E-4</v>
      </c>
    </row>
    <row r="451" spans="1:18">
      <c r="A451" t="s">
        <v>107</v>
      </c>
      <c r="B451">
        <v>2021</v>
      </c>
      <c r="C451">
        <v>-2.6304114513591298E-2</v>
      </c>
      <c r="D451">
        <v>0.75528605952238759</v>
      </c>
      <c r="E451">
        <v>563.52</v>
      </c>
      <c r="F451">
        <v>-53.05</v>
      </c>
      <c r="G451">
        <v>-20.14</v>
      </c>
      <c r="H451">
        <v>0.15</v>
      </c>
      <c r="I451">
        <v>0.17803000000000002</v>
      </c>
      <c r="J451">
        <v>3.3994867469966737E-2</v>
      </c>
      <c r="K451">
        <v>-3.2002905296737213E-3</v>
      </c>
      <c r="L451">
        <v>-1.2149642086263666E-3</v>
      </c>
      <c r="M451">
        <v>5.0992301204950104E-3</v>
      </c>
      <c r="N451">
        <v>-4.8004357945105819E-4</v>
      </c>
      <c r="O451">
        <v>-1.8224463129395499E-4</v>
      </c>
      <c r="P451">
        <v>6.052106255678179E-3</v>
      </c>
      <c r="Q451">
        <v>-5.6974772299781267E-4</v>
      </c>
      <c r="R451">
        <v>-2.1630007806175208E-4</v>
      </c>
    </row>
    <row r="452" spans="1:18">
      <c r="A452" t="s">
        <v>108</v>
      </c>
      <c r="B452">
        <v>2017</v>
      </c>
      <c r="C452">
        <v>-1.5739072016219364</v>
      </c>
      <c r="D452">
        <v>0.52322515348044374</v>
      </c>
      <c r="E452">
        <v>134.91</v>
      </c>
      <c r="F452">
        <v>-94.22</v>
      </c>
      <c r="G452">
        <v>25.08</v>
      </c>
      <c r="H452">
        <v>0.1842</v>
      </c>
      <c r="I452">
        <v>0.11919999999999999</v>
      </c>
      <c r="J452">
        <v>8.9831005047209381E-2</v>
      </c>
      <c r="K452">
        <v>-6.2737212182551835E-2</v>
      </c>
      <c r="L452">
        <v>1.6699737651649331E-2</v>
      </c>
      <c r="M452">
        <v>1.6546871129695967E-2</v>
      </c>
      <c r="N452">
        <v>-1.1556194484026049E-2</v>
      </c>
      <c r="O452">
        <v>3.076091675433807E-3</v>
      </c>
      <c r="P452">
        <v>1.0707855801627357E-2</v>
      </c>
      <c r="Q452">
        <v>-7.4782756921601776E-3</v>
      </c>
      <c r="R452">
        <v>1.9906087280765999E-3</v>
      </c>
    </row>
    <row r="453" spans="1:18">
      <c r="A453" t="s">
        <v>108</v>
      </c>
      <c r="B453">
        <v>2018</v>
      </c>
      <c r="C453">
        <v>-1.6936433512632025</v>
      </c>
      <c r="D453">
        <v>0.51002471848393294</v>
      </c>
      <c r="E453">
        <v>-198.55</v>
      </c>
      <c r="F453">
        <v>114.77</v>
      </c>
      <c r="G453">
        <v>74.34</v>
      </c>
      <c r="H453">
        <v>0.18360000000000001</v>
      </c>
      <c r="I453">
        <v>0.12159999999999999</v>
      </c>
      <c r="J453">
        <v>-0.12118160456529037</v>
      </c>
      <c r="K453">
        <v>7.0047911135524429E-2</v>
      </c>
      <c r="L453">
        <v>4.5372150508102171E-2</v>
      </c>
      <c r="M453">
        <v>-2.2248942598187313E-2</v>
      </c>
      <c r="N453">
        <v>1.2860796484482287E-2</v>
      </c>
      <c r="O453">
        <v>8.3303268332875595E-3</v>
      </c>
      <c r="P453">
        <v>-1.4735683115139307E-2</v>
      </c>
      <c r="Q453">
        <v>8.5178259940797696E-3</v>
      </c>
      <c r="R453">
        <v>5.5172535017852234E-3</v>
      </c>
    </row>
    <row r="454" spans="1:18">
      <c r="A454" t="s">
        <v>108</v>
      </c>
      <c r="B454">
        <v>2019</v>
      </c>
      <c r="C454">
        <v>-1.5527650811245044</v>
      </c>
      <c r="D454">
        <v>0.53007514218557805</v>
      </c>
      <c r="E454">
        <v>81.77</v>
      </c>
      <c r="F454">
        <v>-417.44</v>
      </c>
      <c r="G454">
        <v>305.64999999999998</v>
      </c>
      <c r="H454">
        <v>0.15790000000000001</v>
      </c>
      <c r="I454">
        <v>0.12620000000000001</v>
      </c>
      <c r="J454">
        <v>3.3194902834780562E-2</v>
      </c>
      <c r="K454">
        <v>-0.1694616636829008</v>
      </c>
      <c r="L454">
        <v>0.12408000552098175</v>
      </c>
      <c r="M454">
        <v>5.2414751576118513E-3</v>
      </c>
      <c r="N454">
        <v>-2.6757996695530039E-2</v>
      </c>
      <c r="O454">
        <v>1.9592232871763021E-2</v>
      </c>
      <c r="P454">
        <v>4.189196737749307E-3</v>
      </c>
      <c r="Q454">
        <v>-2.1386061956782082E-2</v>
      </c>
      <c r="R454">
        <v>1.5658896696747897E-2</v>
      </c>
    </row>
    <row r="455" spans="1:18">
      <c r="A455" t="s">
        <v>108</v>
      </c>
      <c r="B455">
        <v>2020</v>
      </c>
      <c r="C455">
        <v>-0.87086351095170955</v>
      </c>
      <c r="D455">
        <v>0.65725269185062474</v>
      </c>
      <c r="E455">
        <v>277.3</v>
      </c>
      <c r="F455">
        <v>-394.58</v>
      </c>
      <c r="G455">
        <v>93.3</v>
      </c>
      <c r="H455">
        <v>6.0999999999999999E-2</v>
      </c>
      <c r="I455">
        <v>0.15222000000000002</v>
      </c>
      <c r="J455">
        <v>8.3216296349646487E-2</v>
      </c>
      <c r="K455">
        <v>-0.11841141800809055</v>
      </c>
      <c r="L455">
        <v>2.7998847635852926E-2</v>
      </c>
      <c r="M455">
        <v>5.0761940773284353E-3</v>
      </c>
      <c r="N455">
        <v>-7.2230964984935234E-3</v>
      </c>
      <c r="O455">
        <v>1.7079297057870284E-3</v>
      </c>
      <c r="P455">
        <v>1.2667184630343191E-2</v>
      </c>
      <c r="Q455">
        <v>-1.8024586049191545E-2</v>
      </c>
      <c r="R455">
        <v>4.2619845871295333E-3</v>
      </c>
    </row>
    <row r="456" spans="1:18">
      <c r="A456" t="s">
        <v>108</v>
      </c>
      <c r="B456">
        <v>2021</v>
      </c>
      <c r="C456">
        <v>-1.2177084357041348</v>
      </c>
      <c r="D456">
        <v>0.60708839041748741</v>
      </c>
      <c r="E456">
        <v>-309.16000000000003</v>
      </c>
      <c r="F456">
        <v>-46.8</v>
      </c>
      <c r="G456">
        <v>387.73</v>
      </c>
      <c r="H456">
        <v>2.0499999999999997E-2</v>
      </c>
      <c r="I456">
        <v>0.16899999999999998</v>
      </c>
      <c r="J456">
        <v>-8.1855923407680414E-2</v>
      </c>
      <c r="K456">
        <v>-1.2391180021605133E-2</v>
      </c>
      <c r="L456">
        <v>0.1026588083285675</v>
      </c>
      <c r="M456">
        <v>-1.6780464298574483E-3</v>
      </c>
      <c r="N456">
        <v>-2.5401919044290517E-4</v>
      </c>
      <c r="O456">
        <v>2.1045055707356332E-3</v>
      </c>
      <c r="P456">
        <v>-1.3833651055897988E-2</v>
      </c>
      <c r="Q456">
        <v>-2.0941094236512671E-3</v>
      </c>
      <c r="R456">
        <v>1.7349338607527905E-2</v>
      </c>
    </row>
    <row r="457" spans="1:18">
      <c r="A457" t="s">
        <v>109</v>
      </c>
      <c r="B457">
        <v>2017</v>
      </c>
      <c r="C457">
        <v>-0.17118463001031611</v>
      </c>
      <c r="D457">
        <v>0.75234507753549995</v>
      </c>
      <c r="E457">
        <v>1861.2</v>
      </c>
      <c r="F457">
        <v>-1009.02</v>
      </c>
      <c r="G457">
        <v>-771.88</v>
      </c>
      <c r="H457">
        <v>0.17</v>
      </c>
      <c r="I457">
        <v>0.44369999999999998</v>
      </c>
      <c r="J457">
        <v>0.22116332957043552</v>
      </c>
      <c r="K457">
        <v>-0.11990018418394628</v>
      </c>
      <c r="L457">
        <v>-9.1721228685164274E-2</v>
      </c>
      <c r="M457">
        <v>3.7597766026974039E-2</v>
      </c>
      <c r="N457">
        <v>-2.038303131127087E-2</v>
      </c>
      <c r="O457">
        <v>-1.5592608876477928E-2</v>
      </c>
      <c r="P457">
        <v>9.8130169330402237E-2</v>
      </c>
      <c r="Q457">
        <v>-5.3199711722416963E-2</v>
      </c>
      <c r="R457">
        <v>-4.0696709167607384E-2</v>
      </c>
    </row>
    <row r="458" spans="1:18">
      <c r="A458" t="s">
        <v>109</v>
      </c>
      <c r="B458">
        <v>2018</v>
      </c>
      <c r="C458">
        <v>-0.31010397823681651</v>
      </c>
      <c r="D458">
        <v>0.75730207151348738</v>
      </c>
      <c r="E458">
        <v>395.68</v>
      </c>
      <c r="F458">
        <v>-1442.18</v>
      </c>
      <c r="G458">
        <v>730.92</v>
      </c>
      <c r="H458">
        <v>0.1163</v>
      </c>
      <c r="I458">
        <v>0.45229999999999992</v>
      </c>
      <c r="J458">
        <v>3.5689996373994504E-2</v>
      </c>
      <c r="K458">
        <v>-0.13008339812638345</v>
      </c>
      <c r="L458">
        <v>6.5928356625758341E-2</v>
      </c>
      <c r="M458">
        <v>4.150746578295561E-3</v>
      </c>
      <c r="N458">
        <v>-1.5128699202098396E-2</v>
      </c>
      <c r="O458">
        <v>7.6674678755756951E-3</v>
      </c>
      <c r="P458">
        <v>1.614258535995771E-2</v>
      </c>
      <c r="Q458">
        <v>-5.8836720972563226E-2</v>
      </c>
      <c r="R458">
        <v>2.9819395701830492E-2</v>
      </c>
    </row>
    <row r="459" spans="1:18">
      <c r="A459" t="s">
        <v>109</v>
      </c>
      <c r="B459">
        <v>2019</v>
      </c>
      <c r="C459">
        <v>-0.31507333688716843</v>
      </c>
      <c r="D459">
        <v>0.76342894149276819</v>
      </c>
      <c r="E459">
        <v>758.18</v>
      </c>
      <c r="F459">
        <v>-2614.6999999999998</v>
      </c>
      <c r="G459">
        <v>1887.74</v>
      </c>
      <c r="H459">
        <v>0.18</v>
      </c>
      <c r="I459">
        <v>0.45119999999999988</v>
      </c>
      <c r="J459">
        <v>5.4677809252923627E-2</v>
      </c>
      <c r="K459">
        <v>-0.18856481027410299</v>
      </c>
      <c r="L459">
        <v>0.13613849961633656</v>
      </c>
      <c r="M459">
        <v>9.8420056655262531E-3</v>
      </c>
      <c r="N459">
        <v>-3.394166584933854E-2</v>
      </c>
      <c r="O459">
        <v>2.450492993094058E-2</v>
      </c>
      <c r="P459">
        <v>2.4670627534919134E-2</v>
      </c>
      <c r="Q459">
        <v>-8.5080442395675249E-2</v>
      </c>
      <c r="R459">
        <v>6.1425691026891042E-2</v>
      </c>
    </row>
    <row r="460" spans="1:18">
      <c r="A460" t="s">
        <v>109</v>
      </c>
      <c r="B460">
        <v>2020</v>
      </c>
      <c r="C460">
        <v>-0.64424145957871715</v>
      </c>
      <c r="D460">
        <v>0.71341448916140981</v>
      </c>
      <c r="E460">
        <v>1425.84</v>
      </c>
      <c r="F460">
        <v>-2055.3000000000002</v>
      </c>
      <c r="G460">
        <v>688.47</v>
      </c>
      <c r="H460">
        <v>7.7399999999999997E-2</v>
      </c>
      <c r="I460">
        <v>0.44969999999999993</v>
      </c>
      <c r="J460">
        <v>0.10273621713927507</v>
      </c>
      <c r="K460">
        <v>-0.14809077251749991</v>
      </c>
      <c r="L460">
        <v>4.9606409845337984E-2</v>
      </c>
      <c r="M460">
        <v>7.9517832065798891E-3</v>
      </c>
      <c r="N460">
        <v>-1.1462225792854493E-2</v>
      </c>
      <c r="O460">
        <v>3.8395361220291599E-3</v>
      </c>
      <c r="P460">
        <v>4.6200476847531993E-2</v>
      </c>
      <c r="Q460">
        <v>-6.6596420401119696E-2</v>
      </c>
      <c r="R460">
        <v>2.230800250744849E-2</v>
      </c>
    </row>
    <row r="461" spans="1:18">
      <c r="A461" t="s">
        <v>109</v>
      </c>
      <c r="B461">
        <v>2021</v>
      </c>
      <c r="C461">
        <v>-0.91773286848152513</v>
      </c>
      <c r="D461">
        <v>0.66080505728205063</v>
      </c>
      <c r="E461">
        <v>1056.93</v>
      </c>
      <c r="F461">
        <v>-2073.9299999999998</v>
      </c>
      <c r="G461">
        <v>845.04</v>
      </c>
      <c r="H461">
        <v>0.10399999999999998</v>
      </c>
      <c r="I461">
        <v>0.41981999999999997</v>
      </c>
      <c r="J461">
        <v>6.6508972698681182E-2</v>
      </c>
      <c r="K461">
        <v>-0.13050528771912601</v>
      </c>
      <c r="L461">
        <v>5.3175463170970209E-2</v>
      </c>
      <c r="M461">
        <v>6.9169331606628416E-3</v>
      </c>
      <c r="N461">
        <v>-1.3572549922789102E-2</v>
      </c>
      <c r="O461">
        <v>5.5302481697809009E-3</v>
      </c>
      <c r="P461">
        <v>2.7921796918360331E-2</v>
      </c>
      <c r="Q461">
        <v>-5.4788729890243477E-2</v>
      </c>
      <c r="R461">
        <v>2.2324122948436713E-2</v>
      </c>
    </row>
    <row r="462" spans="1:18">
      <c r="A462" t="s">
        <v>110</v>
      </c>
      <c r="B462">
        <v>2017</v>
      </c>
      <c r="C462">
        <v>-4.2795533557196919</v>
      </c>
      <c r="D462">
        <v>4.6784716301979737E-2</v>
      </c>
      <c r="E462">
        <v>-429.92</v>
      </c>
      <c r="F462">
        <v>-126.69</v>
      </c>
      <c r="G462">
        <v>0</v>
      </c>
      <c r="H462">
        <v>7.1300000000000002E-2</v>
      </c>
      <c r="I462">
        <v>5.3899999999999997E-2</v>
      </c>
      <c r="J462">
        <v>-0.12726153263237663</v>
      </c>
      <c r="K462">
        <v>-3.750177607274794E-2</v>
      </c>
      <c r="L462">
        <v>0</v>
      </c>
      <c r="M462">
        <v>-9.0737472766884535E-3</v>
      </c>
      <c r="N462">
        <v>-2.673876633986928E-3</v>
      </c>
      <c r="O462">
        <v>0</v>
      </c>
      <c r="P462">
        <v>-6.8593966088850997E-3</v>
      </c>
      <c r="Q462">
        <v>-2.0213457303211138E-3</v>
      </c>
      <c r="R462">
        <v>0</v>
      </c>
    </row>
    <row r="463" spans="1:18">
      <c r="A463" t="s">
        <v>110</v>
      </c>
      <c r="B463">
        <v>2018</v>
      </c>
      <c r="C463">
        <v>-4.2229388771163645</v>
      </c>
      <c r="D463">
        <v>7.0004335870197734E-2</v>
      </c>
      <c r="E463">
        <v>644.94000000000005</v>
      </c>
      <c r="F463">
        <v>-614.19000000000005</v>
      </c>
      <c r="G463">
        <v>-92.6</v>
      </c>
      <c r="H463">
        <v>7.1300000000000002E-2</v>
      </c>
      <c r="I463">
        <v>5.9299999999999999E-2</v>
      </c>
      <c r="J463">
        <v>0.18397211350851772</v>
      </c>
      <c r="K463">
        <v>-0.17520053399664542</v>
      </c>
      <c r="L463">
        <v>-2.6414577652012185E-2</v>
      </c>
      <c r="M463">
        <v>1.3117211693157315E-2</v>
      </c>
      <c r="N463">
        <v>-1.2491798073960819E-2</v>
      </c>
      <c r="O463">
        <v>-1.883359386588469E-3</v>
      </c>
      <c r="P463">
        <v>1.0909546331055101E-2</v>
      </c>
      <c r="Q463">
        <v>-1.0389391666001073E-2</v>
      </c>
      <c r="R463">
        <v>-1.5663844547643226E-3</v>
      </c>
    </row>
    <row r="464" spans="1:18">
      <c r="A464" t="s">
        <v>110</v>
      </c>
      <c r="B464">
        <v>2019</v>
      </c>
      <c r="C464">
        <v>-4.3463525644809078</v>
      </c>
      <c r="D464">
        <v>5.3934702788528334E-2</v>
      </c>
      <c r="E464">
        <v>-95.55</v>
      </c>
      <c r="F464">
        <v>129.13</v>
      </c>
      <c r="G464">
        <v>0</v>
      </c>
      <c r="H464">
        <v>4.1300000000000003E-2</v>
      </c>
      <c r="I464">
        <v>5.9299999999999999E-2</v>
      </c>
      <c r="J464">
        <v>-2.6338857464192386E-2</v>
      </c>
      <c r="K464">
        <v>3.5595360171126772E-2</v>
      </c>
      <c r="L464">
        <v>0</v>
      </c>
      <c r="M464">
        <v>-1.0877948132711457E-3</v>
      </c>
      <c r="N464">
        <v>1.4700883750675359E-3</v>
      </c>
      <c r="O464">
        <v>0</v>
      </c>
      <c r="P464">
        <v>-1.5618942476266085E-3</v>
      </c>
      <c r="Q464">
        <v>2.1108048581478175E-3</v>
      </c>
      <c r="R464">
        <v>0</v>
      </c>
    </row>
    <row r="465" spans="1:18">
      <c r="A465" t="s">
        <v>110</v>
      </c>
      <c r="B465">
        <v>2020</v>
      </c>
      <c r="C465">
        <v>-4.3707125401929154</v>
      </c>
      <c r="D465">
        <v>5.1831168633730801E-2</v>
      </c>
      <c r="E465">
        <v>807.65</v>
      </c>
      <c r="F465">
        <v>-806.71</v>
      </c>
      <c r="G465">
        <v>24.55</v>
      </c>
      <c r="H465">
        <v>3.5299999999999998E-2</v>
      </c>
      <c r="I465">
        <v>5.3899999999999997E-2</v>
      </c>
      <c r="J465">
        <v>0.20464139297532596</v>
      </c>
      <c r="K465">
        <v>-0.20440321689732585</v>
      </c>
      <c r="L465">
        <v>6.2204496967055694E-3</v>
      </c>
      <c r="M465">
        <v>7.2238411720290064E-3</v>
      </c>
      <c r="N465">
        <v>-7.215433556475602E-3</v>
      </c>
      <c r="O465">
        <v>2.1958187429370658E-4</v>
      </c>
      <c r="P465">
        <v>1.1030171081370069E-2</v>
      </c>
      <c r="Q465">
        <v>-1.1017333390765863E-2</v>
      </c>
      <c r="R465">
        <v>3.3528223865243018E-4</v>
      </c>
    </row>
    <row r="466" spans="1:18">
      <c r="A466" t="s">
        <v>110</v>
      </c>
      <c r="B466">
        <v>2021</v>
      </c>
      <c r="C466">
        <v>-4.1405869991223785</v>
      </c>
      <c r="D466">
        <v>7.5777326587359264E-2</v>
      </c>
      <c r="E466">
        <v>-81.67</v>
      </c>
      <c r="F466">
        <v>-90.04</v>
      </c>
      <c r="G466">
        <v>109.24</v>
      </c>
      <c r="H466">
        <v>1.7600000000000001E-2</v>
      </c>
      <c r="I466">
        <v>0</v>
      </c>
      <c r="J466">
        <v>-1.9147719013612299E-2</v>
      </c>
      <c r="K466">
        <v>-2.1110084731059773E-2</v>
      </c>
      <c r="L466">
        <v>2.5611568814093395E-2</v>
      </c>
      <c r="M466">
        <v>-3.3699985463957649E-4</v>
      </c>
      <c r="N466">
        <v>-3.7153749126665205E-4</v>
      </c>
      <c r="O466">
        <v>4.5076361112804375E-4</v>
      </c>
      <c r="P466">
        <v>0</v>
      </c>
      <c r="Q466">
        <v>0</v>
      </c>
      <c r="R466">
        <v>0</v>
      </c>
    </row>
    <row r="467" spans="1:18">
      <c r="A467" t="s">
        <v>111</v>
      </c>
      <c r="B467">
        <v>2017</v>
      </c>
      <c r="C467">
        <v>-0.47920065160773273</v>
      </c>
      <c r="D467">
        <v>0.71613381521638408</v>
      </c>
      <c r="E467">
        <v>-160.22999999999999</v>
      </c>
      <c r="F467">
        <v>-223.2</v>
      </c>
      <c r="G467">
        <v>372.21</v>
      </c>
      <c r="H467">
        <v>3.1899999999999998E-2</v>
      </c>
      <c r="I467">
        <v>3.8699999999999998E-2</v>
      </c>
      <c r="J467">
        <v>-0.1484848484848485</v>
      </c>
      <c r="K467">
        <v>-0.20683903252710592</v>
      </c>
      <c r="L467">
        <v>0.34492632749513485</v>
      </c>
      <c r="M467">
        <v>-4.7366666666666668E-3</v>
      </c>
      <c r="N467">
        <v>-6.5981651376146788E-3</v>
      </c>
      <c r="O467">
        <v>1.1003149847094801E-2</v>
      </c>
      <c r="P467">
        <v>-5.7463636363636363E-3</v>
      </c>
      <c r="Q467">
        <v>-8.0046705587989986E-3</v>
      </c>
      <c r="R467">
        <v>1.3348648874061718E-2</v>
      </c>
    </row>
    <row r="468" spans="1:18">
      <c r="A468" t="s">
        <v>111</v>
      </c>
      <c r="B468">
        <v>2018</v>
      </c>
      <c r="C468">
        <v>-0.20377163662703585</v>
      </c>
      <c r="D468">
        <v>0.7350037698795393</v>
      </c>
      <c r="E468">
        <v>80.760000000000005</v>
      </c>
      <c r="F468">
        <v>-716.92</v>
      </c>
      <c r="G468">
        <v>660.82</v>
      </c>
      <c r="H468">
        <v>6.1999999999999998E-3</v>
      </c>
      <c r="I468">
        <v>3.8699999999999998E-2</v>
      </c>
      <c r="J468">
        <v>3.5401799021584759E-2</v>
      </c>
      <c r="K468">
        <v>-0.31426767898160651</v>
      </c>
      <c r="L468">
        <v>0.28967579035962904</v>
      </c>
      <c r="M468">
        <v>2.194911539338255E-4</v>
      </c>
      <c r="N468">
        <v>-1.9484596096859604E-3</v>
      </c>
      <c r="O468">
        <v>1.7959899002297E-3</v>
      </c>
      <c r="P468">
        <v>1.3700496221353302E-3</v>
      </c>
      <c r="Q468">
        <v>-1.2162159176588172E-2</v>
      </c>
      <c r="R468">
        <v>1.1210453086917644E-2</v>
      </c>
    </row>
    <row r="469" spans="1:18">
      <c r="A469" t="s">
        <v>111</v>
      </c>
      <c r="B469">
        <v>2019</v>
      </c>
      <c r="C469">
        <v>-0.57134330356611618</v>
      </c>
      <c r="D469">
        <v>0.67928636329868397</v>
      </c>
      <c r="E469">
        <v>-9.3699999999999992</v>
      </c>
      <c r="F469">
        <v>-21.65</v>
      </c>
      <c r="G469">
        <v>-62.61</v>
      </c>
      <c r="H469">
        <v>1.8E-3</v>
      </c>
      <c r="I469">
        <v>3.0000000000000001E-3</v>
      </c>
      <c r="J469">
        <v>-5.354561091713287E-3</v>
      </c>
      <c r="K469">
        <v>-1.2372064849049378E-2</v>
      </c>
      <c r="L469">
        <v>-3.5778982919121551E-2</v>
      </c>
      <c r="M469">
        <v>-9.6382099650839172E-6</v>
      </c>
      <c r="N469">
        <v>-2.2269716728288881E-5</v>
      </c>
      <c r="O469">
        <v>-6.4402169254418787E-5</v>
      </c>
      <c r="P469">
        <v>-1.6063683275139863E-5</v>
      </c>
      <c r="Q469">
        <v>-3.7116194547148135E-5</v>
      </c>
      <c r="R469">
        <v>-1.0733694875736465E-4</v>
      </c>
    </row>
    <row r="470" spans="1:18">
      <c r="A470" t="s">
        <v>111</v>
      </c>
      <c r="B470">
        <v>2020</v>
      </c>
      <c r="C470">
        <v>-0.89506508831619724</v>
      </c>
      <c r="D470">
        <v>0.62543941037335182</v>
      </c>
      <c r="E470">
        <v>-182.07</v>
      </c>
      <c r="F470">
        <v>294.75</v>
      </c>
      <c r="G470">
        <v>-99.81</v>
      </c>
      <c r="H470">
        <v>1.29E-2</v>
      </c>
      <c r="I470">
        <v>2.8E-3</v>
      </c>
      <c r="J470">
        <v>-0.11896423297570664</v>
      </c>
      <c r="K470">
        <v>0.19258915620140349</v>
      </c>
      <c r="L470">
        <v>-6.5215686786979074E-2</v>
      </c>
      <c r="M470">
        <v>-1.5346386053866157E-3</v>
      </c>
      <c r="N470">
        <v>2.4844001149981051E-3</v>
      </c>
      <c r="O470">
        <v>-8.4128235955203002E-4</v>
      </c>
      <c r="P470">
        <v>-3.330998523319786E-4</v>
      </c>
      <c r="Q470">
        <v>5.3924963736392975E-4</v>
      </c>
      <c r="R470">
        <v>-1.826039230035414E-4</v>
      </c>
    </row>
    <row r="471" spans="1:18">
      <c r="A471" t="s">
        <v>111</v>
      </c>
      <c r="B471">
        <v>2021</v>
      </c>
      <c r="C471">
        <v>-0.47846771788066994</v>
      </c>
      <c r="D471">
        <v>0.70804278334524751</v>
      </c>
      <c r="E471">
        <v>-86.16</v>
      </c>
      <c r="F471">
        <v>-37.79</v>
      </c>
      <c r="G471">
        <v>162.65</v>
      </c>
      <c r="H471">
        <v>7.6E-3</v>
      </c>
      <c r="I471">
        <v>0</v>
      </c>
      <c r="J471">
        <v>-3.8737001119488537E-2</v>
      </c>
      <c r="K471">
        <v>-1.6990149400017085E-2</v>
      </c>
      <c r="L471">
        <v>7.3126430270250828E-2</v>
      </c>
      <c r="M471">
        <v>-2.9440120850811286E-4</v>
      </c>
      <c r="N471">
        <v>-1.2912513544012985E-4</v>
      </c>
      <c r="O471">
        <v>5.5576087005390629E-4</v>
      </c>
      <c r="P471">
        <v>0</v>
      </c>
      <c r="Q471">
        <v>0</v>
      </c>
      <c r="R471">
        <v>0</v>
      </c>
    </row>
    <row r="472" spans="1:18">
      <c r="A472" t="s">
        <v>112</v>
      </c>
      <c r="B472">
        <v>2017</v>
      </c>
      <c r="C472">
        <v>-1.0592362568085778</v>
      </c>
      <c r="D472">
        <v>0.62966631760676994</v>
      </c>
      <c r="E472">
        <v>26.6</v>
      </c>
      <c r="F472">
        <v>4.82</v>
      </c>
      <c r="G472">
        <v>-41.19</v>
      </c>
      <c r="H472">
        <v>4.5999999999999999E-3</v>
      </c>
      <c r="I472">
        <v>8.0000000000000002E-3</v>
      </c>
      <c r="J472">
        <v>2.5094576363927961E-2</v>
      </c>
      <c r="K472">
        <v>4.5472127095538637E-3</v>
      </c>
      <c r="L472">
        <v>-3.88588571590298E-2</v>
      </c>
      <c r="M472">
        <v>1.1543505127406862E-4</v>
      </c>
      <c r="N472">
        <v>2.0917178463947772E-5</v>
      </c>
      <c r="O472">
        <v>-1.7875074293153707E-4</v>
      </c>
      <c r="P472">
        <v>2.007566109114237E-4</v>
      </c>
      <c r="Q472">
        <v>3.6377701676430908E-5</v>
      </c>
      <c r="R472">
        <v>-3.1087085727223842E-4</v>
      </c>
    </row>
    <row r="473" spans="1:18">
      <c r="A473" t="s">
        <v>112</v>
      </c>
      <c r="B473">
        <v>2018</v>
      </c>
      <c r="C473">
        <v>-1.7997378675617879</v>
      </c>
      <c r="D473">
        <v>0.52715143729646285</v>
      </c>
      <c r="E473">
        <v>19.46</v>
      </c>
      <c r="F473">
        <v>12.1</v>
      </c>
      <c r="G473">
        <v>-27.96</v>
      </c>
      <c r="H473">
        <v>6.3E-3</v>
      </c>
      <c r="I473">
        <v>4.5999999999999999E-2</v>
      </c>
      <c r="J473">
        <v>2.192849013443314E-2</v>
      </c>
      <c r="K473">
        <v>1.363487824391783E-2</v>
      </c>
      <c r="L473">
        <v>-3.1506710388425008E-2</v>
      </c>
      <c r="M473">
        <v>1.381494878469288E-4</v>
      </c>
      <c r="N473">
        <v>8.5899732936682333E-5</v>
      </c>
      <c r="O473">
        <v>-1.9849227544707754E-4</v>
      </c>
      <c r="P473">
        <v>1.0087105461839244E-3</v>
      </c>
      <c r="Q473">
        <v>6.2720439922022016E-4</v>
      </c>
      <c r="R473">
        <v>-1.4493086778675503E-3</v>
      </c>
    </row>
    <row r="474" spans="1:18">
      <c r="A474" t="s">
        <v>112</v>
      </c>
      <c r="B474">
        <v>2019</v>
      </c>
      <c r="C474">
        <v>-0.77052922860603867</v>
      </c>
      <c r="D474">
        <v>0.62964011576695611</v>
      </c>
      <c r="E474">
        <v>249.4</v>
      </c>
      <c r="F474">
        <v>13.83</v>
      </c>
      <c r="G474">
        <v>-265.55</v>
      </c>
      <c r="H474">
        <v>2.1600000000000001E-2</v>
      </c>
      <c r="I474">
        <v>2.7000000000000001E-3</v>
      </c>
      <c r="J474">
        <v>0.26152426492177344</v>
      </c>
      <c r="K474">
        <v>1.4502327922486473E-2</v>
      </c>
      <c r="L474">
        <v>-0.27845937670399734</v>
      </c>
      <c r="M474">
        <v>5.6489241223103065E-3</v>
      </c>
      <c r="N474">
        <v>3.1325028312570783E-4</v>
      </c>
      <c r="O474">
        <v>-6.0147225368063426E-3</v>
      </c>
      <c r="P474">
        <v>7.0611551528878831E-4</v>
      </c>
      <c r="Q474">
        <v>3.9156285390713478E-5</v>
      </c>
      <c r="R474">
        <v>-7.5184031710079282E-4</v>
      </c>
    </row>
    <row r="475" spans="1:18">
      <c r="A475" t="s">
        <v>112</v>
      </c>
      <c r="B475">
        <v>2020</v>
      </c>
      <c r="C475">
        <v>-1.3689842223684627</v>
      </c>
      <c r="D475">
        <v>0.57477687320126758</v>
      </c>
      <c r="E475">
        <v>15.32</v>
      </c>
      <c r="F475">
        <v>0.68</v>
      </c>
      <c r="G475">
        <v>-24.81</v>
      </c>
      <c r="H475">
        <v>9.1999999999999998E-3</v>
      </c>
      <c r="I475">
        <v>2.7000000000000001E-3</v>
      </c>
      <c r="J475">
        <v>1.7155847209935161E-2</v>
      </c>
      <c r="K475">
        <v>7.6148669078041195E-4</v>
      </c>
      <c r="L475">
        <v>-2.7783065879797085E-2</v>
      </c>
      <c r="M475">
        <v>1.5783379433140349E-4</v>
      </c>
      <c r="N475">
        <v>7.0056775551797901E-6</v>
      </c>
      <c r="O475">
        <v>-2.5560420609413317E-4</v>
      </c>
      <c r="P475">
        <v>4.6320787466824939E-5</v>
      </c>
      <c r="Q475">
        <v>2.0560140651071124E-6</v>
      </c>
      <c r="R475">
        <v>-7.5014277875452137E-5</v>
      </c>
    </row>
    <row r="476" spans="1:18">
      <c r="A476" t="s">
        <v>112</v>
      </c>
      <c r="B476">
        <v>2021</v>
      </c>
      <c r="C476">
        <v>-1.3005404243341259</v>
      </c>
      <c r="D476">
        <v>0.61619372225745084</v>
      </c>
      <c r="E476">
        <v>17.59</v>
      </c>
      <c r="F476">
        <v>1.87</v>
      </c>
      <c r="G476">
        <v>-12.55</v>
      </c>
      <c r="H476">
        <v>1.8499999999999999E-2</v>
      </c>
      <c r="I476">
        <v>1E-4</v>
      </c>
      <c r="J476">
        <v>1.3942612555485099E-2</v>
      </c>
      <c r="K476">
        <v>1.4822447685478759E-3</v>
      </c>
      <c r="L476">
        <v>-9.9476854787571359E-3</v>
      </c>
      <c r="M476">
        <v>2.5793833227647433E-4</v>
      </c>
      <c r="N476">
        <v>2.7421528218135702E-5</v>
      </c>
      <c r="O476">
        <v>-1.8403218135700701E-4</v>
      </c>
      <c r="P476">
        <v>1.39426125554851E-6</v>
      </c>
      <c r="Q476">
        <v>1.4822447685478761E-7</v>
      </c>
      <c r="R476">
        <v>-9.9476854787571362E-7</v>
      </c>
    </row>
    <row r="477" spans="1:18">
      <c r="A477" t="s">
        <v>113</v>
      </c>
      <c r="B477">
        <v>2017</v>
      </c>
      <c r="C477">
        <v>-0.46927444626783438</v>
      </c>
      <c r="D477">
        <v>0.68549924447481547</v>
      </c>
      <c r="E477">
        <v>1235.96</v>
      </c>
      <c r="F477">
        <v>1032.69</v>
      </c>
      <c r="G477">
        <v>-2526.84</v>
      </c>
      <c r="H477">
        <v>1.2999999999999999E-2</v>
      </c>
      <c r="I477">
        <v>6.7000000000000002E-4</v>
      </c>
      <c r="J477">
        <v>3.8286138048917388E-2</v>
      </c>
      <c r="K477">
        <v>3.1989475308049208E-2</v>
      </c>
      <c r="L477">
        <v>-7.8273524278719725E-2</v>
      </c>
      <c r="M477">
        <v>4.9771979463592605E-4</v>
      </c>
      <c r="N477">
        <v>4.1586317900463966E-4</v>
      </c>
      <c r="O477">
        <v>-1.0175558156233565E-3</v>
      </c>
      <c r="P477">
        <v>2.5651712492774651E-5</v>
      </c>
      <c r="Q477">
        <v>2.1432948456392971E-5</v>
      </c>
      <c r="R477">
        <v>-5.2443261266742215E-5</v>
      </c>
    </row>
    <row r="478" spans="1:18">
      <c r="A478" t="s">
        <v>113</v>
      </c>
      <c r="B478">
        <v>2018</v>
      </c>
      <c r="C478">
        <v>-0.49836237931790511</v>
      </c>
      <c r="D478">
        <v>0.6503328524100479</v>
      </c>
      <c r="E478">
        <v>-1663.21</v>
      </c>
      <c r="F478">
        <v>-1255.98</v>
      </c>
      <c r="G478">
        <v>2938.38</v>
      </c>
      <c r="H478">
        <v>8.2000000000000007E-3</v>
      </c>
      <c r="I478">
        <v>5.8E-4</v>
      </c>
      <c r="J478">
        <v>-5.4475124911771595E-2</v>
      </c>
      <c r="K478">
        <v>-4.1137118816437425E-2</v>
      </c>
      <c r="L478">
        <v>9.6240773887994555E-2</v>
      </c>
      <c r="M478">
        <v>-4.4669602427652714E-4</v>
      </c>
      <c r="N478">
        <v>-3.3732437429478691E-4</v>
      </c>
      <c r="O478">
        <v>7.891743458815554E-4</v>
      </c>
      <c r="P478">
        <v>-3.1595572448827529E-5</v>
      </c>
      <c r="Q478">
        <v>-2.3859528913533708E-5</v>
      </c>
      <c r="R478">
        <v>5.5819648855036841E-5</v>
      </c>
    </row>
    <row r="479" spans="1:18">
      <c r="A479" t="s">
        <v>113</v>
      </c>
      <c r="B479">
        <v>2019</v>
      </c>
      <c r="C479">
        <v>-0.51370915284189722</v>
      </c>
      <c r="D479">
        <v>0.58171198286633996</v>
      </c>
      <c r="E479">
        <v>-1831.57</v>
      </c>
      <c r="F479">
        <v>4604</v>
      </c>
      <c r="G479">
        <v>-2733.39</v>
      </c>
      <c r="H479">
        <v>3.0999999999999999E-3</v>
      </c>
      <c r="I479">
        <v>1E-3</v>
      </c>
      <c r="J479">
        <v>-7.8674031345560155E-2</v>
      </c>
      <c r="K479">
        <v>0.19776216050435363</v>
      </c>
      <c r="L479">
        <v>-0.11741118851020746</v>
      </c>
      <c r="M479">
        <v>-2.4388949717123648E-4</v>
      </c>
      <c r="N479">
        <v>6.1306269756349627E-4</v>
      </c>
      <c r="O479">
        <v>-3.6397468438164314E-4</v>
      </c>
      <c r="P479">
        <v>-7.8674031345560153E-5</v>
      </c>
      <c r="Q479">
        <v>1.9776216050435363E-4</v>
      </c>
      <c r="R479">
        <v>-1.1741118851020746E-4</v>
      </c>
    </row>
    <row r="480" spans="1:18">
      <c r="A480" t="s">
        <v>113</v>
      </c>
      <c r="B480">
        <v>2020</v>
      </c>
      <c r="C480">
        <v>-0.61161012896775091</v>
      </c>
      <c r="D480">
        <v>0.6481529898617221</v>
      </c>
      <c r="E480">
        <v>-26.05</v>
      </c>
      <c r="F480">
        <v>-2589.11</v>
      </c>
      <c r="G480">
        <v>2530.37</v>
      </c>
      <c r="H480">
        <v>1E-3</v>
      </c>
      <c r="I480">
        <v>4.58E-2</v>
      </c>
      <c r="J480">
        <v>-1.0559439510625715E-3</v>
      </c>
      <c r="K480">
        <v>-0.1049502895637472</v>
      </c>
      <c r="L480">
        <v>0.10256924742611129</v>
      </c>
      <c r="M480">
        <v>-1.0559439510625716E-6</v>
      </c>
      <c r="N480">
        <v>-1.0495028956374721E-4</v>
      </c>
      <c r="O480">
        <v>1.0256924742611128E-4</v>
      </c>
      <c r="P480">
        <v>-4.8362232958665774E-5</v>
      </c>
      <c r="Q480">
        <v>-4.8067232620196219E-3</v>
      </c>
      <c r="R480">
        <v>4.697671532115897E-3</v>
      </c>
    </row>
    <row r="481" spans="1:18">
      <c r="A481" t="s">
        <v>113</v>
      </c>
      <c r="B481">
        <v>2021</v>
      </c>
      <c r="C481">
        <v>-0.68165873145408096</v>
      </c>
      <c r="D481">
        <v>0.57216176014211273</v>
      </c>
      <c r="E481">
        <v>-1586.07</v>
      </c>
      <c r="F481">
        <v>2803.36</v>
      </c>
      <c r="G481">
        <v>-1214.06</v>
      </c>
      <c r="H481">
        <v>1.7399999999999999E-2</v>
      </c>
      <c r="I481">
        <v>4.58E-2</v>
      </c>
      <c r="J481">
        <v>-0.11315291020578509</v>
      </c>
      <c r="K481">
        <v>0.19999643291562777</v>
      </c>
      <c r="L481">
        <v>-8.661308905939552E-2</v>
      </c>
      <c r="M481">
        <v>-1.9688606375806604E-3</v>
      </c>
      <c r="N481">
        <v>3.4799379327319232E-3</v>
      </c>
      <c r="O481">
        <v>-1.507067749633482E-3</v>
      </c>
      <c r="P481">
        <v>-5.1824032874249575E-3</v>
      </c>
      <c r="Q481">
        <v>9.1598366275357519E-3</v>
      </c>
      <c r="R481">
        <v>-3.9668794789203153E-3</v>
      </c>
    </row>
    <row r="482" spans="1:18">
      <c r="A482" t="s">
        <v>114</v>
      </c>
      <c r="B482">
        <v>2017</v>
      </c>
      <c r="C482">
        <v>-3.2530396626314646</v>
      </c>
      <c r="D482">
        <v>0.2464736451373423</v>
      </c>
      <c r="E482">
        <v>32.590000000000003</v>
      </c>
      <c r="F482">
        <v>-2.54</v>
      </c>
      <c r="G482">
        <v>-8.7200000000000006</v>
      </c>
      <c r="H482">
        <v>2.0000000000000001E-4</v>
      </c>
      <c r="I482">
        <v>4.0000000000000002E-4</v>
      </c>
      <c r="J482">
        <v>0.21995005736653847</v>
      </c>
      <c r="K482">
        <v>-1.7142471485455897E-2</v>
      </c>
      <c r="L482">
        <v>-5.8851319430384026E-2</v>
      </c>
      <c r="M482">
        <v>4.3990011473307693E-5</v>
      </c>
      <c r="N482">
        <v>-3.4284942970911795E-6</v>
      </c>
      <c r="O482">
        <v>-1.1770263886076806E-5</v>
      </c>
      <c r="P482">
        <v>8.7980022946615387E-5</v>
      </c>
      <c r="Q482">
        <v>-6.8569885941823591E-6</v>
      </c>
      <c r="R482">
        <v>-2.3540527772153612E-5</v>
      </c>
    </row>
    <row r="483" spans="1:18">
      <c r="A483" t="s">
        <v>114</v>
      </c>
      <c r="B483">
        <v>2018</v>
      </c>
      <c r="C483">
        <v>-3.8157977643820966</v>
      </c>
      <c r="D483">
        <v>0.19081557184159215</v>
      </c>
      <c r="E483">
        <v>38.520000000000003</v>
      </c>
      <c r="F483">
        <v>0.59</v>
      </c>
      <c r="G483">
        <v>-19.920000000000002</v>
      </c>
      <c r="H483">
        <v>2.0000000000000001E-4</v>
      </c>
      <c r="I483">
        <v>4.0000000000000002E-4</v>
      </c>
      <c r="J483">
        <v>0.25899280575539574</v>
      </c>
      <c r="K483">
        <v>3.9669199220063204E-3</v>
      </c>
      <c r="L483">
        <v>-0.13393397431587442</v>
      </c>
      <c r="M483">
        <v>5.179856115107915E-5</v>
      </c>
      <c r="N483">
        <v>7.933839844012641E-7</v>
      </c>
      <c r="O483">
        <v>-2.6786794863174884E-5</v>
      </c>
      <c r="P483">
        <v>1.035971223021583E-4</v>
      </c>
      <c r="Q483">
        <v>1.5867679688025282E-6</v>
      </c>
      <c r="R483">
        <v>-5.3573589726349768E-5</v>
      </c>
    </row>
    <row r="484" spans="1:18">
      <c r="A484" t="s">
        <v>114</v>
      </c>
      <c r="B484">
        <v>2019</v>
      </c>
      <c r="C484">
        <v>-3.5456154795725903</v>
      </c>
      <c r="D484">
        <v>0.20291859741337576</v>
      </c>
      <c r="E484">
        <v>27.07</v>
      </c>
      <c r="F484">
        <v>-42.54</v>
      </c>
      <c r="G484">
        <v>-16.32</v>
      </c>
      <c r="H484">
        <v>2.0000000000000001E-4</v>
      </c>
      <c r="I484">
        <v>4.0000000000000002E-4</v>
      </c>
      <c r="J484">
        <v>0.18721903312815547</v>
      </c>
      <c r="K484">
        <v>-0.29421121792655092</v>
      </c>
      <c r="L484">
        <v>-0.11287087627083478</v>
      </c>
      <c r="M484">
        <v>3.7443806625631097E-5</v>
      </c>
      <c r="N484">
        <v>-5.8842243585310183E-5</v>
      </c>
      <c r="O484">
        <v>-2.2574175254166957E-5</v>
      </c>
      <c r="P484">
        <v>7.4887613251262193E-5</v>
      </c>
      <c r="Q484">
        <v>-1.1768448717062037E-4</v>
      </c>
      <c r="R484">
        <v>-4.5148350508333914E-5</v>
      </c>
    </row>
    <row r="485" spans="1:18">
      <c r="A485" t="s">
        <v>114</v>
      </c>
      <c r="B485">
        <v>2020</v>
      </c>
      <c r="C485">
        <v>-2.3352202584221371</v>
      </c>
      <c r="D485">
        <v>0.12449528936742935</v>
      </c>
      <c r="E485">
        <v>-27.79</v>
      </c>
      <c r="F485">
        <v>35.32</v>
      </c>
      <c r="G485">
        <v>-11.2</v>
      </c>
      <c r="H485">
        <v>2.0000000000000001E-4</v>
      </c>
      <c r="I485">
        <v>0.04</v>
      </c>
      <c r="J485">
        <v>-0.31168685509196947</v>
      </c>
      <c r="K485">
        <v>0.39614176760879322</v>
      </c>
      <c r="L485">
        <v>-0.12561686855091969</v>
      </c>
      <c r="M485">
        <v>-6.2337371018393901E-5</v>
      </c>
      <c r="N485">
        <v>7.9228353521758641E-5</v>
      </c>
      <c r="O485">
        <v>-2.512337371018394E-5</v>
      </c>
      <c r="P485">
        <v>-1.246747420367878E-2</v>
      </c>
      <c r="Q485">
        <v>1.5845670704351729E-2</v>
      </c>
      <c r="R485">
        <v>-5.0246747420367877E-3</v>
      </c>
    </row>
    <row r="486" spans="1:18">
      <c r="A486" t="s">
        <v>114</v>
      </c>
      <c r="B486">
        <v>2021</v>
      </c>
      <c r="C486">
        <v>-1.6262963654379254</v>
      </c>
      <c r="D486">
        <v>0.25042768785366498</v>
      </c>
      <c r="E486">
        <v>-8.08</v>
      </c>
      <c r="F486">
        <v>8.18</v>
      </c>
      <c r="G486">
        <v>0</v>
      </c>
      <c r="H486">
        <v>8.0000000000000004E-4</v>
      </c>
      <c r="I486">
        <v>3.9453000000000002E-2</v>
      </c>
      <c r="J486">
        <v>-0.10632978023424136</v>
      </c>
      <c r="K486">
        <v>0.10764574286090275</v>
      </c>
      <c r="L486">
        <v>0</v>
      </c>
      <c r="M486">
        <v>-8.5063824187393093E-5</v>
      </c>
      <c r="N486">
        <v>8.611659428872221E-5</v>
      </c>
      <c r="O486">
        <v>0</v>
      </c>
      <c r="P486">
        <v>-4.195028819581525E-3</v>
      </c>
      <c r="Q486">
        <v>4.2469474930911964E-3</v>
      </c>
      <c r="R486">
        <v>0</v>
      </c>
    </row>
    <row r="487" spans="1:18">
      <c r="A487" t="s">
        <v>115</v>
      </c>
      <c r="B487">
        <v>2017</v>
      </c>
      <c r="C487">
        <v>-2.770166579460247</v>
      </c>
      <c r="D487">
        <v>0.38898061151012647</v>
      </c>
      <c r="E487">
        <v>6058.32</v>
      </c>
      <c r="F487">
        <v>-17925.77</v>
      </c>
      <c r="G487">
        <v>11573.69</v>
      </c>
      <c r="H487">
        <v>0.40179999999999999</v>
      </c>
      <c r="I487">
        <v>0.35420000000000001</v>
      </c>
      <c r="J487">
        <v>0.11426010775113357</v>
      </c>
      <c r="K487">
        <v>-0.33808059193341355</v>
      </c>
      <c r="L487">
        <v>0.21828016124572774</v>
      </c>
      <c r="M487">
        <v>4.5909711294405471E-2</v>
      </c>
      <c r="N487">
        <v>-0.13584078183884557</v>
      </c>
      <c r="O487">
        <v>8.77049687885334E-2</v>
      </c>
      <c r="P487">
        <v>4.0470930165451516E-2</v>
      </c>
      <c r="Q487">
        <v>-0.11974814566281508</v>
      </c>
      <c r="R487">
        <v>7.7314833113236767E-2</v>
      </c>
    </row>
    <row r="488" spans="1:18">
      <c r="A488" t="s">
        <v>115</v>
      </c>
      <c r="B488">
        <v>2018</v>
      </c>
      <c r="C488">
        <v>-2.0593801009752721</v>
      </c>
      <c r="D488">
        <v>0.4806777443107853</v>
      </c>
      <c r="E488">
        <v>7642.34</v>
      </c>
      <c r="F488">
        <v>-20533.13</v>
      </c>
      <c r="G488">
        <v>11142.51</v>
      </c>
      <c r="H488">
        <v>0.4</v>
      </c>
      <c r="I488">
        <v>0.35359999999999997</v>
      </c>
      <c r="J488">
        <v>9.7699385385451171E-2</v>
      </c>
      <c r="K488">
        <v>-0.26249475697751856</v>
      </c>
      <c r="L488">
        <v>0.14244542622432965</v>
      </c>
      <c r="M488">
        <v>3.9079754154180468E-2</v>
      </c>
      <c r="N488">
        <v>-0.10499790279100743</v>
      </c>
      <c r="O488">
        <v>5.6978170489731861E-2</v>
      </c>
      <c r="P488">
        <v>3.4546502672295532E-2</v>
      </c>
      <c r="Q488">
        <v>-9.2818146067250556E-2</v>
      </c>
      <c r="R488">
        <v>5.0368702712922958E-2</v>
      </c>
    </row>
    <row r="489" spans="1:18">
      <c r="A489" t="s">
        <v>115</v>
      </c>
      <c r="B489">
        <v>2019</v>
      </c>
      <c r="C489">
        <v>-1.6158885916063652</v>
      </c>
      <c r="D489">
        <v>0.53047254839867497</v>
      </c>
      <c r="E489">
        <v>7715.17</v>
      </c>
      <c r="F489">
        <v>-18064.22</v>
      </c>
      <c r="G489">
        <v>12377.94</v>
      </c>
      <c r="H489">
        <v>0.38</v>
      </c>
      <c r="I489">
        <v>0.35500000000000009</v>
      </c>
      <c r="J489">
        <v>7.5805373819356092E-2</v>
      </c>
      <c r="K489">
        <v>-0.17748992567306862</v>
      </c>
      <c r="L489">
        <v>0.12161940291834925</v>
      </c>
      <c r="M489">
        <v>2.8806042051355316E-2</v>
      </c>
      <c r="N489">
        <v>-6.7446171755766074E-2</v>
      </c>
      <c r="O489">
        <v>4.6215373108972717E-2</v>
      </c>
      <c r="P489">
        <v>2.6910907705871418E-2</v>
      </c>
      <c r="Q489">
        <v>-6.300892361393938E-2</v>
      </c>
      <c r="R489">
        <v>4.3174888036013992E-2</v>
      </c>
    </row>
    <row r="490" spans="1:18">
      <c r="A490" t="s">
        <v>115</v>
      </c>
      <c r="B490">
        <v>2020</v>
      </c>
      <c r="C490">
        <v>-1.6332330045509302</v>
      </c>
      <c r="D490">
        <v>0.5496986079460926</v>
      </c>
      <c r="E490">
        <v>11587.25</v>
      </c>
      <c r="F490">
        <v>-18495.400000000001</v>
      </c>
      <c r="G490">
        <v>16053.7</v>
      </c>
      <c r="H490">
        <v>0.3</v>
      </c>
      <c r="I490">
        <v>0.35470000000000007</v>
      </c>
      <c r="J490">
        <v>8.8108311193939567E-2</v>
      </c>
      <c r="K490">
        <v>-0.14063720545050726</v>
      </c>
      <c r="L490">
        <v>0.12207075841240568</v>
      </c>
      <c r="M490">
        <v>2.6432493358181871E-2</v>
      </c>
      <c r="N490">
        <v>-4.2191161635152179E-2</v>
      </c>
      <c r="O490">
        <v>3.6621227523721704E-2</v>
      </c>
      <c r="P490">
        <v>3.1252017980490369E-2</v>
      </c>
      <c r="Q490">
        <v>-4.9884016773294931E-2</v>
      </c>
      <c r="R490">
        <v>4.3298498008880304E-2</v>
      </c>
    </row>
    <row r="491" spans="1:18">
      <c r="A491" t="s">
        <v>115</v>
      </c>
      <c r="B491">
        <v>2021</v>
      </c>
      <c r="C491">
        <v>-2.3798538108521146</v>
      </c>
      <c r="D491">
        <v>0.49067300611176995</v>
      </c>
      <c r="E491">
        <v>26720.91</v>
      </c>
      <c r="F491">
        <v>-19669.45</v>
      </c>
      <c r="G491">
        <v>1740.11</v>
      </c>
      <c r="H491">
        <v>0.26</v>
      </c>
      <c r="I491">
        <v>0.34589999999999999</v>
      </c>
      <c r="J491">
        <v>0.14991835002071965</v>
      </c>
      <c r="K491">
        <v>-0.11035595306503575</v>
      </c>
      <c r="L491">
        <v>9.7629317285434693E-3</v>
      </c>
      <c r="M491">
        <v>3.897877100538711E-2</v>
      </c>
      <c r="N491">
        <v>-2.8692547796909294E-2</v>
      </c>
      <c r="O491">
        <v>2.5383622494213019E-3</v>
      </c>
      <c r="P491">
        <v>5.1856757272166924E-2</v>
      </c>
      <c r="Q491">
        <v>-3.8172124165195866E-2</v>
      </c>
      <c r="R491">
        <v>3.376998084903186E-3</v>
      </c>
    </row>
    <row r="492" spans="1:18">
      <c r="A492" t="s">
        <v>116</v>
      </c>
      <c r="B492">
        <v>2017</v>
      </c>
      <c r="C492">
        <v>-2.4825162770062805</v>
      </c>
      <c r="D492">
        <v>0.32858672273917627</v>
      </c>
      <c r="E492">
        <v>-216.54</v>
      </c>
      <c r="F492">
        <v>156.55000000000001</v>
      </c>
      <c r="G492">
        <v>35.54</v>
      </c>
      <c r="H492">
        <v>8.5999999999999993E-2</v>
      </c>
      <c r="I492">
        <v>9.0399999999999994E-2</v>
      </c>
      <c r="J492">
        <v>-3.4704481420104689E-2</v>
      </c>
      <c r="K492">
        <v>2.5089990608282021E-2</v>
      </c>
      <c r="L492">
        <v>5.6959327129884572E-3</v>
      </c>
      <c r="M492">
        <v>-2.9845854021290029E-3</v>
      </c>
      <c r="N492">
        <v>2.1577391923122535E-3</v>
      </c>
      <c r="O492">
        <v>4.898502133170073E-4</v>
      </c>
      <c r="P492">
        <v>-3.1372851203774637E-3</v>
      </c>
      <c r="Q492">
        <v>2.2681351509886948E-3</v>
      </c>
      <c r="R492">
        <v>5.149123172541565E-4</v>
      </c>
    </row>
    <row r="493" spans="1:18">
      <c r="A493" t="s">
        <v>116</v>
      </c>
      <c r="B493">
        <v>2018</v>
      </c>
      <c r="C493">
        <v>-2.3414817334788331</v>
      </c>
      <c r="D493">
        <v>0.35010872894798295</v>
      </c>
      <c r="E493">
        <v>172.05</v>
      </c>
      <c r="F493">
        <v>138.66</v>
      </c>
      <c r="G493">
        <v>-318.92</v>
      </c>
      <c r="H493">
        <v>5.0999999999999997E-2</v>
      </c>
      <c r="I493">
        <v>3.7000000000000002E-3</v>
      </c>
      <c r="J493">
        <v>2.6090398187547579E-2</v>
      </c>
      <c r="K493">
        <v>2.1026995714532676E-2</v>
      </c>
      <c r="L493">
        <v>-4.8362393431982995E-2</v>
      </c>
      <c r="M493">
        <v>1.3306103075649265E-3</v>
      </c>
      <c r="N493">
        <v>1.0723767814411664E-3</v>
      </c>
      <c r="O493">
        <v>-2.4664820650311327E-3</v>
      </c>
      <c r="P493">
        <v>9.6534473293926045E-5</v>
      </c>
      <c r="Q493">
        <v>7.779988414377091E-5</v>
      </c>
      <c r="R493">
        <v>-1.7894085569833708E-4</v>
      </c>
    </row>
    <row r="494" spans="1:18">
      <c r="A494" t="s">
        <v>116</v>
      </c>
      <c r="B494">
        <v>2019</v>
      </c>
      <c r="C494">
        <v>-2.3099715332477837</v>
      </c>
      <c r="D494">
        <v>0.35547253788301958</v>
      </c>
      <c r="E494">
        <v>14.06</v>
      </c>
      <c r="F494">
        <v>4.3600000000000003</v>
      </c>
      <c r="G494">
        <v>-20.92</v>
      </c>
      <c r="H494">
        <v>3.7999999999999999E-2</v>
      </c>
      <c r="I494">
        <v>5.7999999999999996E-3</v>
      </c>
      <c r="J494">
        <v>2.0943094662489964E-3</v>
      </c>
      <c r="K494">
        <v>6.4944447175288935E-4</v>
      </c>
      <c r="L494">
        <v>-3.1161418231812951E-3</v>
      </c>
      <c r="M494">
        <v>7.958375971746186E-5</v>
      </c>
      <c r="N494">
        <v>2.4678889926609794E-5</v>
      </c>
      <c r="O494">
        <v>-1.1841338928088921E-4</v>
      </c>
      <c r="P494">
        <v>1.2146994904244178E-5</v>
      </c>
      <c r="Q494">
        <v>3.766777936166758E-6</v>
      </c>
      <c r="R494">
        <v>-1.807362257445151E-5</v>
      </c>
    </row>
    <row r="495" spans="1:18">
      <c r="A495" t="s">
        <v>116</v>
      </c>
      <c r="B495">
        <v>2020</v>
      </c>
      <c r="C495">
        <v>-2.1577590922035124</v>
      </c>
      <c r="D495">
        <v>0.37785537819683274</v>
      </c>
      <c r="E495">
        <v>170.3</v>
      </c>
      <c r="F495">
        <v>-163.5</v>
      </c>
      <c r="G495">
        <v>-11.77</v>
      </c>
      <c r="H495">
        <v>1.61E-2</v>
      </c>
      <c r="I495">
        <v>0</v>
      </c>
      <c r="J495">
        <v>2.4432654536898617E-2</v>
      </c>
      <c r="K495">
        <v>-2.3457069975237367E-2</v>
      </c>
      <c r="L495">
        <v>-1.6886221015813077E-3</v>
      </c>
      <c r="M495">
        <v>3.9336573804406771E-4</v>
      </c>
      <c r="N495">
        <v>-3.7765882660132158E-4</v>
      </c>
      <c r="O495">
        <v>-2.7186815835459055E-5</v>
      </c>
      <c r="P495">
        <v>0</v>
      </c>
      <c r="Q495">
        <v>0</v>
      </c>
      <c r="R495">
        <v>0</v>
      </c>
    </row>
    <row r="496" spans="1:18">
      <c r="A496" t="s">
        <v>116</v>
      </c>
      <c r="B496">
        <v>2021</v>
      </c>
      <c r="C496">
        <v>-1.2584357948640696</v>
      </c>
      <c r="D496">
        <v>0.5346095164778375</v>
      </c>
      <c r="E496">
        <v>2272.6799999999998</v>
      </c>
      <c r="F496">
        <v>-1962</v>
      </c>
      <c r="G496">
        <v>-309.95999999999998</v>
      </c>
      <c r="H496">
        <v>6.1000000000000004E-3</v>
      </c>
      <c r="I496">
        <v>0</v>
      </c>
      <c r="J496">
        <v>0.24367278275330043</v>
      </c>
      <c r="K496">
        <v>-0.21036221542935013</v>
      </c>
      <c r="L496">
        <v>-3.3233370180673474E-2</v>
      </c>
      <c r="M496">
        <v>1.4864039747951327E-3</v>
      </c>
      <c r="N496">
        <v>-1.283209514119036E-3</v>
      </c>
      <c r="O496">
        <v>-2.0272355810210821E-4</v>
      </c>
      <c r="P496">
        <v>0</v>
      </c>
      <c r="Q496">
        <v>0</v>
      </c>
      <c r="R496">
        <v>0</v>
      </c>
    </row>
    <row r="497" spans="1:18">
      <c r="A497" t="s">
        <v>117</v>
      </c>
      <c r="B497">
        <v>2017</v>
      </c>
      <c r="C497">
        <v>-0.13295276910382617</v>
      </c>
      <c r="D497">
        <v>0.77185832639582808</v>
      </c>
      <c r="E497">
        <v>-4925.26</v>
      </c>
      <c r="F497">
        <v>-3745.79</v>
      </c>
      <c r="G497">
        <v>8952</v>
      </c>
      <c r="H497">
        <v>0.25619999999999998</v>
      </c>
      <c r="I497">
        <v>5.7000000000000002E-3</v>
      </c>
      <c r="J497">
        <v>-0.2042990547986174</v>
      </c>
      <c r="K497">
        <v>-0.15537481401471456</v>
      </c>
      <c r="L497">
        <v>0.37132763317210116</v>
      </c>
      <c r="M497">
        <v>-5.2341417839405775E-2</v>
      </c>
      <c r="N497">
        <v>-3.9807027350569867E-2</v>
      </c>
      <c r="O497">
        <v>9.5134139618692312E-2</v>
      </c>
      <c r="P497">
        <v>-1.1645046123521193E-3</v>
      </c>
      <c r="Q497">
        <v>-8.8563643988387301E-4</v>
      </c>
      <c r="R497">
        <v>2.1165675090809768E-3</v>
      </c>
    </row>
    <row r="498" spans="1:18">
      <c r="A498" t="s">
        <v>117</v>
      </c>
      <c r="B498">
        <v>2018</v>
      </c>
      <c r="C498">
        <v>-0.1547004546284973</v>
      </c>
      <c r="D498">
        <v>0.73872413113329172</v>
      </c>
      <c r="E498">
        <v>7139.16</v>
      </c>
      <c r="F498">
        <v>-1972.65</v>
      </c>
      <c r="G498">
        <v>-5243.09</v>
      </c>
      <c r="H498">
        <v>0.1726</v>
      </c>
      <c r="I498">
        <v>3.8E-3</v>
      </c>
      <c r="J498">
        <v>0.3599424629313957</v>
      </c>
      <c r="K498">
        <v>-9.945714895052328E-2</v>
      </c>
      <c r="L498">
        <v>-0.26434632757508886</v>
      </c>
      <c r="M498">
        <v>6.2126069101958899E-2</v>
      </c>
      <c r="N498">
        <v>-1.7166303908860318E-2</v>
      </c>
      <c r="O498">
        <v>-4.5626176139460337E-2</v>
      </c>
      <c r="P498">
        <v>1.3677813591393036E-3</v>
      </c>
      <c r="Q498">
        <v>-3.7793716601198845E-4</v>
      </c>
      <c r="R498">
        <v>-1.0045160447853376E-3</v>
      </c>
    </row>
    <row r="499" spans="1:18">
      <c r="A499" t="s">
        <v>117</v>
      </c>
      <c r="B499">
        <v>2019</v>
      </c>
      <c r="C499">
        <v>-0.6583330765356733</v>
      </c>
      <c r="D499">
        <v>0.66260829531662002</v>
      </c>
      <c r="E499">
        <v>3421.6</v>
      </c>
      <c r="F499">
        <v>-653.08000000000004</v>
      </c>
      <c r="G499">
        <v>-2768.8</v>
      </c>
      <c r="H499">
        <v>0.16589999999999999</v>
      </c>
      <c r="I499">
        <v>7.6E-3</v>
      </c>
      <c r="J499">
        <v>0.2045787469133219</v>
      </c>
      <c r="K499">
        <v>-3.90478980693688E-2</v>
      </c>
      <c r="L499">
        <v>-0.16554759014893786</v>
      </c>
      <c r="M499">
        <v>3.3939614112920104E-2</v>
      </c>
      <c r="N499">
        <v>-6.4780462897082837E-3</v>
      </c>
      <c r="O499">
        <v>-2.7464345205708788E-2</v>
      </c>
      <c r="P499">
        <v>1.5547984765412464E-3</v>
      </c>
      <c r="Q499">
        <v>-2.9676402532720288E-4</v>
      </c>
      <c r="R499">
        <v>-1.2581616851319278E-3</v>
      </c>
    </row>
    <row r="500" spans="1:18">
      <c r="A500" t="s">
        <v>117</v>
      </c>
      <c r="B500">
        <v>2020</v>
      </c>
      <c r="C500">
        <v>-1.3318892916852028</v>
      </c>
      <c r="D500">
        <v>0.59168662727568233</v>
      </c>
      <c r="E500">
        <v>2320.2600000000002</v>
      </c>
      <c r="F500">
        <v>-294.91000000000003</v>
      </c>
      <c r="G500">
        <v>-1966.43</v>
      </c>
      <c r="H500">
        <v>0.1169</v>
      </c>
      <c r="I500">
        <v>7.0000000000000001E-3</v>
      </c>
      <c r="J500">
        <v>0.13372609049475415</v>
      </c>
      <c r="K500">
        <v>-1.6996871621201049E-2</v>
      </c>
      <c r="L500">
        <v>-0.11333341786334264</v>
      </c>
      <c r="M500">
        <v>1.5632579978836759E-2</v>
      </c>
      <c r="N500">
        <v>-1.9869342925184028E-3</v>
      </c>
      <c r="O500">
        <v>-1.3248676548224755E-2</v>
      </c>
      <c r="P500">
        <v>9.3608263346327909E-4</v>
      </c>
      <c r="Q500">
        <v>-1.1897810134840735E-4</v>
      </c>
      <c r="R500">
        <v>-7.9333392504339845E-4</v>
      </c>
    </row>
    <row r="501" spans="1:18">
      <c r="A501" t="s">
        <v>117</v>
      </c>
      <c r="B501">
        <v>2021</v>
      </c>
      <c r="C501">
        <v>-2.2709973472490819</v>
      </c>
      <c r="D501">
        <v>0.50772143696260208</v>
      </c>
      <c r="E501">
        <v>2106.67</v>
      </c>
      <c r="F501">
        <v>-201.54</v>
      </c>
      <c r="G501">
        <v>-1400.37</v>
      </c>
      <c r="H501">
        <v>8.2100000000000006E-2</v>
      </c>
      <c r="I501">
        <v>3.7000000000000002E-3</v>
      </c>
      <c r="J501">
        <v>9.1864909956541577E-2</v>
      </c>
      <c r="K501">
        <v>-8.7884927172463597E-3</v>
      </c>
      <c r="L501">
        <v>-6.1065503356407085E-2</v>
      </c>
      <c r="M501">
        <v>7.5421091074320641E-3</v>
      </c>
      <c r="N501">
        <v>-7.2153525208592617E-4</v>
      </c>
      <c r="O501">
        <v>-5.013477825561022E-3</v>
      </c>
      <c r="P501">
        <v>3.3990016683920382E-4</v>
      </c>
      <c r="Q501">
        <v>-3.2517423053811533E-5</v>
      </c>
      <c r="R501">
        <v>-2.2594236241870621E-4</v>
      </c>
    </row>
    <row r="502" spans="1:18">
      <c r="A502" t="s">
        <v>118</v>
      </c>
      <c r="B502">
        <v>2017</v>
      </c>
      <c r="C502">
        <v>-0.30645885272261542</v>
      </c>
      <c r="D502">
        <v>0.7381111256747257</v>
      </c>
      <c r="E502">
        <v>162.36000000000001</v>
      </c>
      <c r="F502">
        <v>-396.9</v>
      </c>
      <c r="G502">
        <v>232.98</v>
      </c>
      <c r="H502">
        <v>0.1661</v>
      </c>
      <c r="I502">
        <v>6.6E-3</v>
      </c>
      <c r="J502">
        <v>9.6731527709924575E-2</v>
      </c>
      <c r="K502">
        <v>-0.23646676119776461</v>
      </c>
      <c r="L502">
        <v>0.13880581008781859</v>
      </c>
      <c r="M502">
        <v>1.6067106752618472E-2</v>
      </c>
      <c r="N502">
        <v>-3.9277129034948698E-2</v>
      </c>
      <c r="O502">
        <v>2.3055645055586667E-2</v>
      </c>
      <c r="P502">
        <v>6.3842808288550219E-4</v>
      </c>
      <c r="Q502">
        <v>-1.5606806239052463E-3</v>
      </c>
      <c r="R502">
        <v>9.1611834657960264E-4</v>
      </c>
    </row>
    <row r="503" spans="1:18">
      <c r="A503" t="s">
        <v>118</v>
      </c>
      <c r="B503">
        <v>2018</v>
      </c>
      <c r="C503">
        <v>-0.26424745105220793</v>
      </c>
      <c r="D503">
        <v>0.74100929235167967</v>
      </c>
      <c r="E503">
        <v>187.91</v>
      </c>
      <c r="F503">
        <v>-149.76</v>
      </c>
      <c r="G503">
        <v>-29.82</v>
      </c>
      <c r="H503">
        <v>0.1704</v>
      </c>
      <c r="I503">
        <v>3.0999999999999999E-3</v>
      </c>
      <c r="J503">
        <v>0.10745389563974267</v>
      </c>
      <c r="K503">
        <v>-8.563831308077198E-2</v>
      </c>
      <c r="L503">
        <v>-1.705218012866333E-2</v>
      </c>
      <c r="M503">
        <v>1.831014381701215E-2</v>
      </c>
      <c r="N503">
        <v>-1.4592768548963546E-2</v>
      </c>
      <c r="O503">
        <v>-2.9056914939242316E-3</v>
      </c>
      <c r="P503">
        <v>3.3310707648320228E-4</v>
      </c>
      <c r="Q503">
        <v>-2.6547877055039311E-4</v>
      </c>
      <c r="R503">
        <v>-5.2861758398856323E-5</v>
      </c>
    </row>
    <row r="504" spans="1:18">
      <c r="A504" t="s">
        <v>118</v>
      </c>
      <c r="B504">
        <v>2019</v>
      </c>
      <c r="C504">
        <v>-0.27496487641534845</v>
      </c>
      <c r="D504">
        <v>0.73847398527769548</v>
      </c>
      <c r="E504">
        <v>169.53</v>
      </c>
      <c r="F504">
        <v>-85.76</v>
      </c>
      <c r="G504">
        <v>-83.38</v>
      </c>
      <c r="H504">
        <v>0.1721</v>
      </c>
      <c r="I504">
        <v>3.0999999999999999E-3</v>
      </c>
      <c r="J504">
        <v>9.6589484719341825E-2</v>
      </c>
      <c r="K504">
        <v>-4.8861642243442194E-2</v>
      </c>
      <c r="L504">
        <v>-4.7505640511406363E-2</v>
      </c>
      <c r="M504">
        <v>1.6623050320198729E-2</v>
      </c>
      <c r="N504">
        <v>-8.4090886300964025E-3</v>
      </c>
      <c r="O504">
        <v>-8.1757207320130344E-3</v>
      </c>
      <c r="P504">
        <v>2.9942740262995965E-4</v>
      </c>
      <c r="Q504">
        <v>-1.514710909546708E-4</v>
      </c>
      <c r="R504">
        <v>-1.4726748558535973E-4</v>
      </c>
    </row>
    <row r="505" spans="1:18">
      <c r="A505" t="s">
        <v>118</v>
      </c>
      <c r="B505">
        <v>2020</v>
      </c>
      <c r="C505">
        <v>-0.32901437156601249</v>
      </c>
      <c r="D505">
        <v>0.72650582794155771</v>
      </c>
      <c r="E505">
        <v>133.44</v>
      </c>
      <c r="F505">
        <v>-14.84</v>
      </c>
      <c r="G505">
        <v>-149.38</v>
      </c>
      <c r="H505">
        <v>0.15240000000000001</v>
      </c>
      <c r="I505">
        <v>5.0000000000000001E-4</v>
      </c>
      <c r="J505">
        <v>8.046358214895169E-2</v>
      </c>
      <c r="K505">
        <v>-8.9484379428240637E-3</v>
      </c>
      <c r="L505">
        <v>-9.0075314009370522E-2</v>
      </c>
      <c r="M505">
        <v>1.2262649919500239E-2</v>
      </c>
      <c r="N505">
        <v>-1.3637419424863875E-3</v>
      </c>
      <c r="O505">
        <v>-1.3727477855028068E-2</v>
      </c>
      <c r="P505">
        <v>4.0231791074475845E-5</v>
      </c>
      <c r="Q505">
        <v>-4.4742189714120322E-6</v>
      </c>
      <c r="R505">
        <v>-4.5037657004685264E-5</v>
      </c>
    </row>
    <row r="506" spans="1:18">
      <c r="A506" t="s">
        <v>118</v>
      </c>
      <c r="B506">
        <v>2021</v>
      </c>
      <c r="C506">
        <v>-0.39934763378887933</v>
      </c>
      <c r="D506">
        <v>0.70284825582889909</v>
      </c>
      <c r="E506">
        <v>86.3</v>
      </c>
      <c r="F506">
        <v>-10.039999999999999</v>
      </c>
      <c r="G506">
        <v>-126.97</v>
      </c>
      <c r="H506">
        <v>0.1384</v>
      </c>
      <c r="I506">
        <v>5.0000000000000001E-4</v>
      </c>
      <c r="J506">
        <v>5.5461299195393436E-2</v>
      </c>
      <c r="K506">
        <v>-6.4522762910979147E-3</v>
      </c>
      <c r="L506">
        <v>-8.1598159430348829E-2</v>
      </c>
      <c r="M506">
        <v>7.6758438086424515E-3</v>
      </c>
      <c r="N506">
        <v>-8.9299503868795133E-4</v>
      </c>
      <c r="O506">
        <v>-1.1293185265160278E-2</v>
      </c>
      <c r="P506">
        <v>2.773064959769672E-5</v>
      </c>
      <c r="Q506">
        <v>-3.2261381455489575E-6</v>
      </c>
      <c r="R506">
        <v>-4.0799079715174417E-5</v>
      </c>
    </row>
    <row r="507" spans="1:18">
      <c r="A507" t="s">
        <v>119</v>
      </c>
      <c r="B507">
        <v>2017</v>
      </c>
      <c r="C507">
        <v>-0.22133648169787268</v>
      </c>
      <c r="D507">
        <v>0.73679744636146904</v>
      </c>
      <c r="E507">
        <v>15.4</v>
      </c>
      <c r="F507">
        <v>-14.67</v>
      </c>
      <c r="G507">
        <v>8.15</v>
      </c>
      <c r="H507">
        <v>4.7600000000000003E-2</v>
      </c>
      <c r="I507">
        <v>2.8E-3</v>
      </c>
      <c r="J507">
        <v>2.0741578784327985E-2</v>
      </c>
      <c r="K507">
        <v>-1.9758374075720231E-2</v>
      </c>
      <c r="L507">
        <v>1.097687448651124E-2</v>
      </c>
      <c r="M507">
        <v>9.8729915013401207E-4</v>
      </c>
      <c r="N507">
        <v>-9.40498606004283E-4</v>
      </c>
      <c r="O507">
        <v>5.2249922555793512E-4</v>
      </c>
      <c r="P507">
        <v>5.8076420596118356E-5</v>
      </c>
      <c r="Q507">
        <v>-5.5323447412016648E-5</v>
      </c>
      <c r="R507">
        <v>3.0735248562231469E-5</v>
      </c>
    </row>
    <row r="508" spans="1:18">
      <c r="A508" t="s">
        <v>119</v>
      </c>
      <c r="B508">
        <v>2018</v>
      </c>
      <c r="C508">
        <v>-2.2103145953765516E-2</v>
      </c>
      <c r="D508">
        <v>0.7738298415599425</v>
      </c>
      <c r="E508">
        <v>94.22</v>
      </c>
      <c r="F508">
        <v>7.14</v>
      </c>
      <c r="G508">
        <v>-71.72</v>
      </c>
      <c r="H508">
        <v>4.7100000000000003E-2</v>
      </c>
      <c r="I508">
        <v>2.5999999999999999E-3</v>
      </c>
      <c r="J508">
        <v>0.12661766089258597</v>
      </c>
      <c r="K508">
        <v>9.5950976307903179E-3</v>
      </c>
      <c r="L508">
        <v>-9.6381008694717316E-2</v>
      </c>
      <c r="M508">
        <v>5.9636918280407993E-3</v>
      </c>
      <c r="N508">
        <v>4.5192909841022398E-4</v>
      </c>
      <c r="O508">
        <v>-4.5395455095211855E-3</v>
      </c>
      <c r="P508">
        <v>3.292059183207235E-4</v>
      </c>
      <c r="Q508">
        <v>2.4947253840054824E-5</v>
      </c>
      <c r="R508">
        <v>-2.5059062260626502E-4</v>
      </c>
    </row>
    <row r="509" spans="1:18">
      <c r="A509" t="s">
        <v>119</v>
      </c>
      <c r="B509">
        <v>2019</v>
      </c>
      <c r="C509">
        <v>-1.1749793146463288</v>
      </c>
      <c r="D509">
        <v>0.5834218090478287</v>
      </c>
      <c r="E509">
        <v>-33.28</v>
      </c>
      <c r="F509">
        <v>36.94</v>
      </c>
      <c r="G509">
        <v>-29.63</v>
      </c>
      <c r="H509">
        <v>5.1999999999999998E-2</v>
      </c>
      <c r="I509">
        <v>3.1E-2</v>
      </c>
      <c r="J509">
        <v>-8.6179661806976199E-2</v>
      </c>
      <c r="K509">
        <v>9.5657352979257829E-2</v>
      </c>
      <c r="L509">
        <v>-7.6727865965766362E-2</v>
      </c>
      <c r="M509">
        <v>-4.4813424139627618E-3</v>
      </c>
      <c r="N509">
        <v>4.9741823549214071E-3</v>
      </c>
      <c r="O509">
        <v>-3.9898490302198502E-3</v>
      </c>
      <c r="P509">
        <v>-2.6715695160162622E-3</v>
      </c>
      <c r="Q509">
        <v>2.9653779423569927E-3</v>
      </c>
      <c r="R509">
        <v>-2.3785638449387572E-3</v>
      </c>
    </row>
    <row r="510" spans="1:18">
      <c r="A510" t="s">
        <v>119</v>
      </c>
      <c r="B510">
        <v>2020</v>
      </c>
      <c r="C510">
        <v>-1.9069045765854626</v>
      </c>
      <c r="D510">
        <v>0.42554975418270513</v>
      </c>
      <c r="E510">
        <v>35.159999999999997</v>
      </c>
      <c r="F510">
        <v>0.69</v>
      </c>
      <c r="G510">
        <v>-70.709999999999994</v>
      </c>
      <c r="H510">
        <v>4.7500000000000001E-2</v>
      </c>
      <c r="I510">
        <v>1.1999999999999999E-3</v>
      </c>
      <c r="J510">
        <v>0.13399900910857881</v>
      </c>
      <c r="K510">
        <v>2.6296733869430999E-3</v>
      </c>
      <c r="L510">
        <v>-0.26948435534890808</v>
      </c>
      <c r="M510">
        <v>6.3649529326574939E-3</v>
      </c>
      <c r="N510">
        <v>1.2490948587979723E-4</v>
      </c>
      <c r="O510">
        <v>-1.2800506879073133E-2</v>
      </c>
      <c r="P510">
        <v>1.6079881093029457E-4</v>
      </c>
      <c r="Q510">
        <v>3.1556080643317196E-6</v>
      </c>
      <c r="R510">
        <v>-3.2338122641868965E-4</v>
      </c>
    </row>
    <row r="511" spans="1:18">
      <c r="A511" t="s">
        <v>119</v>
      </c>
      <c r="B511">
        <v>2021</v>
      </c>
      <c r="C511">
        <v>-1.0562128655516365</v>
      </c>
      <c r="D511">
        <v>0.57168815436531972</v>
      </c>
      <c r="E511">
        <v>-37.61</v>
      </c>
      <c r="F511">
        <v>-0.01</v>
      </c>
      <c r="G511">
        <v>47.35</v>
      </c>
      <c r="H511">
        <v>4.6800000000000001E-2</v>
      </c>
      <c r="I511">
        <v>6.9999999999999999E-4</v>
      </c>
      <c r="J511">
        <v>-0.10847682501225808</v>
      </c>
      <c r="K511">
        <v>-2.88425485275879E-5</v>
      </c>
      <c r="L511">
        <v>0.13656946727812871</v>
      </c>
      <c r="M511">
        <v>-5.0767154105736782E-3</v>
      </c>
      <c r="N511">
        <v>-1.3498312710911139E-6</v>
      </c>
      <c r="O511">
        <v>6.3914510686164244E-3</v>
      </c>
      <c r="P511">
        <v>-7.593377750858065E-5</v>
      </c>
      <c r="Q511">
        <v>-2.0189783969311531E-8</v>
      </c>
      <c r="R511">
        <v>9.5598627094690102E-5</v>
      </c>
    </row>
    <row r="512" spans="1:18">
      <c r="A512" t="s">
        <v>120</v>
      </c>
      <c r="B512">
        <v>2017</v>
      </c>
      <c r="C512">
        <v>-1.9340083889174347</v>
      </c>
      <c r="D512">
        <v>0.4937668386684323</v>
      </c>
      <c r="E512">
        <v>-35.22</v>
      </c>
      <c r="F512">
        <v>-4.63</v>
      </c>
      <c r="G512">
        <v>-33.909999999999997</v>
      </c>
      <c r="H512">
        <v>0</v>
      </c>
      <c r="I512">
        <v>7.8600000000000003E-2</v>
      </c>
      <c r="J512">
        <v>-5.3609753870039724E-2</v>
      </c>
      <c r="K512">
        <v>-7.0475059743976129E-3</v>
      </c>
      <c r="L512">
        <v>-5.1615751099745796E-2</v>
      </c>
      <c r="M512">
        <v>0</v>
      </c>
      <c r="N512">
        <v>0</v>
      </c>
      <c r="O512">
        <v>0</v>
      </c>
      <c r="P512">
        <v>-4.2137266541851228E-3</v>
      </c>
      <c r="Q512">
        <v>-5.5393396958765241E-4</v>
      </c>
      <c r="R512">
        <v>-4.0569980364400194E-3</v>
      </c>
    </row>
    <row r="513" spans="1:18">
      <c r="A513" t="s">
        <v>120</v>
      </c>
      <c r="B513">
        <v>2018</v>
      </c>
      <c r="C513">
        <v>-2.0818189409793741</v>
      </c>
      <c r="D513">
        <v>0.47037194173384245</v>
      </c>
      <c r="E513">
        <v>17.329999999999998</v>
      </c>
      <c r="F513">
        <v>-47.76</v>
      </c>
      <c r="G513">
        <v>-11.4</v>
      </c>
      <c r="H513">
        <v>0</v>
      </c>
      <c r="I513">
        <v>7.8600000000000003E-2</v>
      </c>
      <c r="J513">
        <v>2.4508556074105497E-2</v>
      </c>
      <c r="K513">
        <v>-6.7543487484089934E-2</v>
      </c>
      <c r="L513">
        <v>-1.6122189223589309E-2</v>
      </c>
      <c r="M513">
        <v>0</v>
      </c>
      <c r="N513">
        <v>0</v>
      </c>
      <c r="O513">
        <v>0</v>
      </c>
      <c r="P513">
        <v>1.9263725074246921E-3</v>
      </c>
      <c r="Q513">
        <v>-5.3089181162494694E-3</v>
      </c>
      <c r="R513">
        <v>-1.2672040729741197E-3</v>
      </c>
    </row>
    <row r="514" spans="1:18">
      <c r="A514" t="s">
        <v>120</v>
      </c>
      <c r="B514">
        <v>2019</v>
      </c>
      <c r="C514">
        <v>-2.2905379247956863</v>
      </c>
      <c r="D514">
        <v>0.4311327329625429</v>
      </c>
      <c r="E514">
        <v>9.6</v>
      </c>
      <c r="F514">
        <v>-9.26</v>
      </c>
      <c r="G514">
        <v>-44.77</v>
      </c>
      <c r="H514">
        <v>0</v>
      </c>
      <c r="I514">
        <v>6.13E-2</v>
      </c>
      <c r="J514">
        <v>1.311887614960985E-2</v>
      </c>
      <c r="K514">
        <v>-1.2654249285977835E-2</v>
      </c>
      <c r="L514">
        <v>-6.1180425543545108E-2</v>
      </c>
      <c r="M514">
        <v>0</v>
      </c>
      <c r="N514">
        <v>0</v>
      </c>
      <c r="O514">
        <v>0</v>
      </c>
      <c r="P514">
        <v>8.0418710797108383E-4</v>
      </c>
      <c r="Q514">
        <v>-7.7570548123044125E-4</v>
      </c>
      <c r="R514">
        <v>-3.7503600858193151E-3</v>
      </c>
    </row>
    <row r="515" spans="1:18">
      <c r="A515" t="s">
        <v>120</v>
      </c>
      <c r="B515">
        <v>2020</v>
      </c>
      <c r="C515">
        <v>-2.4688159617499026</v>
      </c>
      <c r="D515">
        <v>0.39776035834266521</v>
      </c>
      <c r="E515">
        <v>42</v>
      </c>
      <c r="F515">
        <v>-29.46</v>
      </c>
      <c r="G515">
        <v>-11.53</v>
      </c>
      <c r="H515">
        <v>4.3700000000000003E-2</v>
      </c>
      <c r="I515">
        <v>5.8299999999999998E-2</v>
      </c>
      <c r="J515">
        <v>5.5332323298860418E-2</v>
      </c>
      <c r="K515">
        <v>-3.8811672485343528E-2</v>
      </c>
      <c r="L515">
        <v>-1.5190040181806206E-2</v>
      </c>
      <c r="M515">
        <v>2.4180225281602006E-3</v>
      </c>
      <c r="N515">
        <v>-1.6960700876095124E-3</v>
      </c>
      <c r="O515">
        <v>-6.6380475594493126E-4</v>
      </c>
      <c r="P515">
        <v>3.2258744483235624E-3</v>
      </c>
      <c r="Q515">
        <v>-2.2627205058955275E-3</v>
      </c>
      <c r="R515">
        <v>-8.8557934259930174E-4</v>
      </c>
    </row>
    <row r="516" spans="1:18">
      <c r="A516" t="s">
        <v>120</v>
      </c>
      <c r="B516">
        <v>2021</v>
      </c>
      <c r="C516">
        <v>-2.4372200418936214</v>
      </c>
      <c r="D516">
        <v>0.3910616641620468</v>
      </c>
      <c r="E516">
        <v>96.26</v>
      </c>
      <c r="F516">
        <v>0.04</v>
      </c>
      <c r="G516">
        <v>-50.01</v>
      </c>
      <c r="H516">
        <v>0.06</v>
      </c>
      <c r="I516">
        <v>5.33E-2</v>
      </c>
      <c r="J516">
        <v>0.12156035712932679</v>
      </c>
      <c r="K516">
        <v>5.0513341836412545E-5</v>
      </c>
      <c r="L516">
        <v>-6.315430563097478E-2</v>
      </c>
      <c r="M516">
        <v>7.2936214277596074E-3</v>
      </c>
      <c r="N516">
        <v>3.0308005101847525E-6</v>
      </c>
      <c r="O516">
        <v>-3.7892583378584866E-3</v>
      </c>
      <c r="P516">
        <v>6.4791670349931179E-3</v>
      </c>
      <c r="Q516">
        <v>2.6923611198807888E-6</v>
      </c>
      <c r="R516">
        <v>-3.3661244901309556E-3</v>
      </c>
    </row>
    <row r="517" spans="1:18">
      <c r="A517" t="s">
        <v>121</v>
      </c>
      <c r="B517">
        <v>2017</v>
      </c>
      <c r="C517">
        <v>-2.4781065927508119</v>
      </c>
      <c r="D517">
        <v>0.3925929496965509</v>
      </c>
      <c r="E517">
        <v>383.46</v>
      </c>
      <c r="F517">
        <v>-734.35</v>
      </c>
      <c r="G517">
        <v>619.36</v>
      </c>
      <c r="H517">
        <v>1.41E-2</v>
      </c>
      <c r="I517">
        <v>1.55E-2</v>
      </c>
      <c r="J517">
        <v>0.20540262578540552</v>
      </c>
      <c r="K517">
        <v>-0.39335893768714481</v>
      </c>
      <c r="L517">
        <v>0.33176386143652214</v>
      </c>
      <c r="M517">
        <v>2.8961770235742179E-3</v>
      </c>
      <c r="N517">
        <v>-5.546361021388742E-3</v>
      </c>
      <c r="O517">
        <v>4.6778704462549624E-3</v>
      </c>
      <c r="P517">
        <v>3.1837406996737855E-3</v>
      </c>
      <c r="Q517">
        <v>-6.0970635341507443E-3</v>
      </c>
      <c r="R517">
        <v>5.1423398522660929E-3</v>
      </c>
    </row>
    <row r="518" spans="1:18">
      <c r="A518" t="s">
        <v>121</v>
      </c>
      <c r="B518">
        <v>2018</v>
      </c>
      <c r="C518">
        <v>-1.8933390833107393</v>
      </c>
      <c r="D518">
        <v>0.4531122058309322</v>
      </c>
      <c r="E518">
        <v>61.38</v>
      </c>
      <c r="F518">
        <v>-151.47</v>
      </c>
      <c r="G518">
        <v>298.5</v>
      </c>
      <c r="H518">
        <v>1.6E-2</v>
      </c>
      <c r="I518">
        <v>1.42E-3</v>
      </c>
      <c r="J518">
        <v>2.7167346071623005E-2</v>
      </c>
      <c r="K518">
        <v>-6.7041999176747094E-2</v>
      </c>
      <c r="L518">
        <v>0.13211881398467687</v>
      </c>
      <c r="M518">
        <v>4.3467753714596807E-4</v>
      </c>
      <c r="N518">
        <v>-1.0726719868279534E-3</v>
      </c>
      <c r="O518">
        <v>2.1139010237548298E-3</v>
      </c>
      <c r="P518">
        <v>3.857763142170467E-5</v>
      </c>
      <c r="Q518">
        <v>-9.519963883098088E-5</v>
      </c>
      <c r="R518">
        <v>1.8760871585824117E-4</v>
      </c>
    </row>
    <row r="519" spans="1:18">
      <c r="A519" t="s">
        <v>121</v>
      </c>
      <c r="B519">
        <v>2019</v>
      </c>
      <c r="C519">
        <v>-0.54285596734847685</v>
      </c>
      <c r="D519">
        <v>0.67845850345747238</v>
      </c>
      <c r="E519">
        <v>538.16</v>
      </c>
      <c r="F519">
        <v>-712.14</v>
      </c>
      <c r="G519">
        <v>225.08</v>
      </c>
      <c r="H519">
        <v>6.7599999999999993E-2</v>
      </c>
      <c r="I519">
        <v>3.8800000000000001E-2</v>
      </c>
      <c r="J519">
        <v>0.18495758925502812</v>
      </c>
      <c r="K519">
        <v>-0.24475192807357612</v>
      </c>
      <c r="L519">
        <v>7.7356648932513997E-2</v>
      </c>
      <c r="M519">
        <v>1.25031330336399E-2</v>
      </c>
      <c r="N519">
        <v>-1.6545230337773744E-2</v>
      </c>
      <c r="O519">
        <v>5.229309467837946E-3</v>
      </c>
      <c r="P519">
        <v>7.1763544630950912E-3</v>
      </c>
      <c r="Q519">
        <v>-9.4963748092547536E-3</v>
      </c>
      <c r="R519">
        <v>3.0014379785815431E-3</v>
      </c>
    </row>
    <row r="520" spans="1:18">
      <c r="A520" t="s">
        <v>121</v>
      </c>
      <c r="B520">
        <v>2020</v>
      </c>
      <c r="C520">
        <v>-0.53285923642757971</v>
      </c>
      <c r="D520">
        <v>0.67940618692489219</v>
      </c>
      <c r="E520">
        <v>-571.62</v>
      </c>
      <c r="F520">
        <v>-201.61</v>
      </c>
      <c r="G520">
        <v>446.4</v>
      </c>
      <c r="H520">
        <v>5.3E-3</v>
      </c>
      <c r="I520">
        <v>2.5499999999999998E-2</v>
      </c>
      <c r="J520">
        <v>-0.17428395460726503</v>
      </c>
      <c r="K520">
        <v>-6.1469836759334352E-2</v>
      </c>
      <c r="L520">
        <v>0.13610503015409381</v>
      </c>
      <c r="M520">
        <v>-9.2370495941850473E-4</v>
      </c>
      <c r="N520">
        <v>-3.2579013482447207E-4</v>
      </c>
      <c r="O520">
        <v>7.2135665981669719E-4</v>
      </c>
      <c r="P520">
        <v>-4.4442408424852581E-3</v>
      </c>
      <c r="Q520">
        <v>-1.5674808373630259E-3</v>
      </c>
      <c r="R520">
        <v>3.4706782689293918E-3</v>
      </c>
    </row>
    <row r="521" spans="1:18">
      <c r="A521" t="s">
        <v>121</v>
      </c>
      <c r="B521">
        <v>2021</v>
      </c>
      <c r="C521">
        <v>-0.61108971728657024</v>
      </c>
      <c r="D521">
        <v>0.66452162187859243</v>
      </c>
      <c r="E521">
        <v>282.02999999999997</v>
      </c>
      <c r="F521">
        <v>-739.31</v>
      </c>
      <c r="G521">
        <v>950.85</v>
      </c>
      <c r="H521">
        <v>2.5490000000000001E-3</v>
      </c>
      <c r="I521">
        <v>5.3600000000000002E-5</v>
      </c>
      <c r="J521">
        <v>6.0943618023562351E-2</v>
      </c>
      <c r="K521">
        <v>-0.15975685650817248</v>
      </c>
      <c r="L521">
        <v>0.20546835158566204</v>
      </c>
      <c r="M521">
        <v>1.5534528234206044E-4</v>
      </c>
      <c r="N521">
        <v>-4.0722022723933165E-4</v>
      </c>
      <c r="O521">
        <v>5.237388281918526E-4</v>
      </c>
      <c r="P521">
        <v>3.2665779260629421E-6</v>
      </c>
      <c r="Q521">
        <v>-8.5629675088380454E-6</v>
      </c>
      <c r="R521">
        <v>1.1013103644991486E-5</v>
      </c>
    </row>
    <row r="522" spans="1:18">
      <c r="A522" t="s">
        <v>122</v>
      </c>
      <c r="B522">
        <v>2017</v>
      </c>
      <c r="C522">
        <v>-1.080122026297186</v>
      </c>
      <c r="D522">
        <v>0.61286583346406598</v>
      </c>
      <c r="E522">
        <v>329.29</v>
      </c>
      <c r="F522">
        <v>-261.44</v>
      </c>
      <c r="G522">
        <v>224.25</v>
      </c>
      <c r="H522">
        <v>2.01E-2</v>
      </c>
      <c r="I522">
        <v>3.4799999999999998E-2</v>
      </c>
      <c r="J522">
        <v>5.7398595060049858E-2</v>
      </c>
      <c r="K522">
        <v>-4.5571650194355842E-2</v>
      </c>
      <c r="L522">
        <v>3.9089055064581921E-2</v>
      </c>
      <c r="M522">
        <v>1.1537117607070021E-3</v>
      </c>
      <c r="N522">
        <v>-9.1599016890655247E-4</v>
      </c>
      <c r="O522">
        <v>7.8569000679809661E-4</v>
      </c>
      <c r="P522">
        <v>1.9974711080897349E-3</v>
      </c>
      <c r="Q522">
        <v>-1.5858934267635831E-3</v>
      </c>
      <c r="R522">
        <v>1.3602991162474508E-3</v>
      </c>
    </row>
    <row r="523" spans="1:18">
      <c r="A523" t="s">
        <v>122</v>
      </c>
      <c r="B523">
        <v>2018</v>
      </c>
      <c r="C523">
        <v>-1.3375306321474578</v>
      </c>
      <c r="D523">
        <v>0.59737822338745628</v>
      </c>
      <c r="E523">
        <v>93.24</v>
      </c>
      <c r="F523">
        <v>-57.6</v>
      </c>
      <c r="G523">
        <v>-138.1</v>
      </c>
      <c r="H523">
        <v>7.8200000000000006E-2</v>
      </c>
      <c r="I523">
        <v>1.8E-3</v>
      </c>
      <c r="J523">
        <v>1.4089593737958339E-2</v>
      </c>
      <c r="K523">
        <v>-8.7039961315572758E-3</v>
      </c>
      <c r="L523">
        <v>-2.0868435169584369E-2</v>
      </c>
      <c r="M523">
        <v>1.1018062303083422E-3</v>
      </c>
      <c r="N523">
        <v>-6.8065249748777907E-4</v>
      </c>
      <c r="O523">
        <v>-1.6319116302614977E-3</v>
      </c>
      <c r="P523">
        <v>2.536126872832501E-5</v>
      </c>
      <c r="Q523">
        <v>-1.5667193036803096E-5</v>
      </c>
      <c r="R523">
        <v>-3.7563183305251863E-5</v>
      </c>
    </row>
    <row r="524" spans="1:18">
      <c r="A524" t="s">
        <v>122</v>
      </c>
      <c r="B524">
        <v>2019</v>
      </c>
      <c r="C524">
        <v>-0.99991481077487088</v>
      </c>
      <c r="D524">
        <v>0.6141505317225302</v>
      </c>
      <c r="E524">
        <v>-156.34</v>
      </c>
      <c r="F524">
        <v>-286.14</v>
      </c>
      <c r="G524">
        <v>665.22</v>
      </c>
      <c r="H524">
        <v>1.4E-2</v>
      </c>
      <c r="I524">
        <v>1.81E-3</v>
      </c>
      <c r="J524">
        <v>-2.0863220067337731E-2</v>
      </c>
      <c r="K524">
        <v>-3.8184737047895732E-2</v>
      </c>
      <c r="L524">
        <v>8.8772107286647098E-2</v>
      </c>
      <c r="M524">
        <v>-2.9208508094272825E-4</v>
      </c>
      <c r="N524">
        <v>-5.3458631867054024E-4</v>
      </c>
      <c r="O524">
        <v>1.2428095020130595E-3</v>
      </c>
      <c r="P524">
        <v>-3.7762428321881295E-5</v>
      </c>
      <c r="Q524">
        <v>-6.9114374056691277E-5</v>
      </c>
      <c r="R524">
        <v>1.6067751418883124E-4</v>
      </c>
    </row>
    <row r="525" spans="1:18">
      <c r="A525" t="s">
        <v>122</v>
      </c>
      <c r="B525">
        <v>2020</v>
      </c>
      <c r="C525">
        <v>-0.88347015349169278</v>
      </c>
      <c r="D525">
        <v>0.61124838597601128</v>
      </c>
      <c r="E525">
        <v>-31.46</v>
      </c>
      <c r="F525">
        <v>-300.49</v>
      </c>
      <c r="G525">
        <v>291.73</v>
      </c>
      <c r="H525">
        <v>5.4999999999999997E-3</v>
      </c>
      <c r="I525">
        <v>1.81E-3</v>
      </c>
      <c r="J525">
        <v>-4.0784895328275627E-3</v>
      </c>
      <c r="K525">
        <v>-3.8955668141111073E-2</v>
      </c>
      <c r="L525">
        <v>3.7820017527393036E-2</v>
      </c>
      <c r="M525">
        <v>-2.2431692430551593E-5</v>
      </c>
      <c r="N525">
        <v>-2.1425617477611089E-4</v>
      </c>
      <c r="O525">
        <v>2.0801009640066169E-4</v>
      </c>
      <c r="P525">
        <v>-7.3820660544178887E-6</v>
      </c>
      <c r="Q525">
        <v>-7.0509759335411035E-5</v>
      </c>
      <c r="R525">
        <v>6.8454231724581396E-5</v>
      </c>
    </row>
    <row r="526" spans="1:18">
      <c r="A526" t="s">
        <v>122</v>
      </c>
      <c r="B526">
        <v>2021</v>
      </c>
      <c r="C526">
        <v>-1.0620810548648345</v>
      </c>
      <c r="D526">
        <v>0.58397296216768646</v>
      </c>
      <c r="E526">
        <v>254.64</v>
      </c>
      <c r="F526">
        <v>-81.099999999999994</v>
      </c>
      <c r="G526">
        <v>-355.92</v>
      </c>
      <c r="H526">
        <v>4.5999999999999999E-3</v>
      </c>
      <c r="I526">
        <v>4.5710000000000001E-2</v>
      </c>
      <c r="J526">
        <v>3.3709917843327782E-2</v>
      </c>
      <c r="K526">
        <v>-1.0736232866375602E-2</v>
      </c>
      <c r="L526">
        <v>-4.7117632574604246E-2</v>
      </c>
      <c r="M526">
        <v>1.5506562207930779E-4</v>
      </c>
      <c r="N526">
        <v>-4.9386671185327766E-5</v>
      </c>
      <c r="O526">
        <v>-2.1674110984317953E-4</v>
      </c>
      <c r="P526">
        <v>1.5408803446185129E-3</v>
      </c>
      <c r="Q526">
        <v>-4.9075320432202872E-4</v>
      </c>
      <c r="R526">
        <v>-2.1537469849851601E-3</v>
      </c>
    </row>
    <row r="527" spans="1:18">
      <c r="A527" t="s">
        <v>123</v>
      </c>
      <c r="B527">
        <v>2017</v>
      </c>
      <c r="C527">
        <v>0.1113084186675207</v>
      </c>
      <c r="D527">
        <v>0.79312743131856145</v>
      </c>
      <c r="E527">
        <v>1475.89</v>
      </c>
      <c r="F527">
        <v>-11.24</v>
      </c>
      <c r="G527">
        <v>-1463.68</v>
      </c>
      <c r="H527">
        <v>4.3999999999999997E-2</v>
      </c>
      <c r="I527">
        <v>3.0000000000000001E-6</v>
      </c>
      <c r="J527">
        <v>0.18395943616468341</v>
      </c>
      <c r="K527">
        <v>-1.4009879208416896E-3</v>
      </c>
      <c r="L527">
        <v>-0.18243754448198971</v>
      </c>
      <c r="M527">
        <v>8.0942151912460694E-3</v>
      </c>
      <c r="N527">
        <v>-6.1643468517034338E-5</v>
      </c>
      <c r="O527">
        <v>-8.0272519572075467E-3</v>
      </c>
      <c r="P527">
        <v>5.5187830849405022E-7</v>
      </c>
      <c r="Q527">
        <v>-4.2029637625250693E-9</v>
      </c>
      <c r="R527">
        <v>-5.4731263344596911E-7</v>
      </c>
    </row>
    <row r="528" spans="1:18">
      <c r="A528" t="s">
        <v>123</v>
      </c>
      <c r="B528">
        <v>2018</v>
      </c>
      <c r="C528">
        <v>5.0164342678991621E-2</v>
      </c>
      <c r="D528">
        <v>0.78659654469047202</v>
      </c>
      <c r="E528">
        <v>469.55</v>
      </c>
      <c r="F528">
        <v>-34.86</v>
      </c>
      <c r="G528">
        <v>-301.52999999999997</v>
      </c>
      <c r="H528">
        <v>2.1000000000000001E-2</v>
      </c>
      <c r="I528">
        <v>3.0000000000000001E-6</v>
      </c>
      <c r="J528">
        <v>5.7697033742105136E-2</v>
      </c>
      <c r="K528">
        <v>-4.2835024944090829E-3</v>
      </c>
      <c r="L528">
        <v>-3.7051190680985967E-2</v>
      </c>
      <c r="M528">
        <v>1.211637708584208E-3</v>
      </c>
      <c r="N528">
        <v>-8.9953552382590743E-5</v>
      </c>
      <c r="O528">
        <v>-7.7807500430070533E-4</v>
      </c>
      <c r="P528">
        <v>1.7309110122631542E-7</v>
      </c>
      <c r="Q528">
        <v>-1.2850507483227249E-8</v>
      </c>
      <c r="R528">
        <v>-1.111535720429579E-7</v>
      </c>
    </row>
    <row r="529" spans="1:18">
      <c r="A529" t="s">
        <v>123</v>
      </c>
      <c r="B529">
        <v>2019</v>
      </c>
      <c r="C529">
        <v>-0.1580440511743105</v>
      </c>
      <c r="D529">
        <v>0.75721877803143622</v>
      </c>
      <c r="E529">
        <v>1078.45</v>
      </c>
      <c r="F529">
        <v>-50.06</v>
      </c>
      <c r="G529">
        <v>-1178.48</v>
      </c>
      <c r="H529">
        <v>1.4999999999999999E-2</v>
      </c>
      <c r="I529">
        <v>3.0000000000000001E-6</v>
      </c>
      <c r="J529">
        <v>0.14289159212595715</v>
      </c>
      <c r="K529">
        <v>-6.6328092186243347E-3</v>
      </c>
      <c r="L529">
        <v>-0.15614528581630854</v>
      </c>
      <c r="M529">
        <v>2.1433738818893572E-3</v>
      </c>
      <c r="N529">
        <v>-9.9492138279365011E-5</v>
      </c>
      <c r="O529">
        <v>-2.342179287244628E-3</v>
      </c>
      <c r="P529">
        <v>4.2867477637787146E-7</v>
      </c>
      <c r="Q529">
        <v>-1.9898427655873004E-8</v>
      </c>
      <c r="R529">
        <v>-4.6843585744892565E-7</v>
      </c>
    </row>
    <row r="530" spans="1:18">
      <c r="A530" t="s">
        <v>123</v>
      </c>
      <c r="B530">
        <v>2020</v>
      </c>
      <c r="C530">
        <v>-0.63323599001620412</v>
      </c>
      <c r="D530">
        <v>0.68829948688299492</v>
      </c>
      <c r="E530">
        <v>560.38</v>
      </c>
      <c r="F530">
        <v>-3.39</v>
      </c>
      <c r="G530">
        <v>-322.92</v>
      </c>
      <c r="H530">
        <v>1.2200000000000001E-2</v>
      </c>
      <c r="I530">
        <v>2.3E-6</v>
      </c>
      <c r="J530">
        <v>8.4372214593722142E-2</v>
      </c>
      <c r="K530">
        <v>-5.1040688010406876E-4</v>
      </c>
      <c r="L530">
        <v>-4.8619642986196428E-2</v>
      </c>
      <c r="M530">
        <v>1.0293410180434101E-3</v>
      </c>
      <c r="N530">
        <v>-6.2269639372696392E-6</v>
      </c>
      <c r="O530">
        <v>-5.9315964443159641E-4</v>
      </c>
      <c r="P530">
        <v>1.9405609356556093E-7</v>
      </c>
      <c r="Q530">
        <v>-1.1739358242393581E-9</v>
      </c>
      <c r="R530">
        <v>-1.1182517886825178E-7</v>
      </c>
    </row>
    <row r="531" spans="1:18">
      <c r="A531" t="s">
        <v>123</v>
      </c>
      <c r="B531">
        <v>2021</v>
      </c>
      <c r="C531">
        <v>-1.8197422339692397</v>
      </c>
      <c r="D531">
        <v>0.5088908961394697</v>
      </c>
      <c r="E531">
        <v>-963.79</v>
      </c>
      <c r="F531">
        <v>-35.69</v>
      </c>
      <c r="G531">
        <v>855.42</v>
      </c>
      <c r="H531">
        <v>7.7000000000000002E-3</v>
      </c>
      <c r="I531">
        <v>0</v>
      </c>
      <c r="J531">
        <v>-0.14155375882149912</v>
      </c>
      <c r="K531">
        <v>-5.2418614556483294E-3</v>
      </c>
      <c r="L531">
        <v>0.1256372408627261</v>
      </c>
      <c r="M531">
        <v>-1.0899639429255432E-3</v>
      </c>
      <c r="N531">
        <v>-4.0362333208492141E-5</v>
      </c>
      <c r="O531">
        <v>9.6740675464299097E-4</v>
      </c>
      <c r="P531">
        <v>0</v>
      </c>
      <c r="Q531">
        <v>0</v>
      </c>
      <c r="R531">
        <v>0</v>
      </c>
    </row>
    <row r="532" spans="1:18">
      <c r="A532" t="s">
        <v>124</v>
      </c>
      <c r="B532">
        <v>2017</v>
      </c>
      <c r="C532">
        <v>-1.2687062060950147</v>
      </c>
      <c r="D532">
        <v>0.55181439821938572</v>
      </c>
      <c r="E532">
        <v>-33.46</v>
      </c>
      <c r="F532">
        <v>16.16</v>
      </c>
      <c r="G532">
        <v>11.71</v>
      </c>
      <c r="H532">
        <v>6.3399999999999998E-2</v>
      </c>
      <c r="I532">
        <v>1.0500000000000001E-2</v>
      </c>
      <c r="J532">
        <v>-9.499259023728274E-3</v>
      </c>
      <c r="K532">
        <v>4.5878071076942296E-3</v>
      </c>
      <c r="L532">
        <v>3.3244567593502124E-3</v>
      </c>
      <c r="M532">
        <v>-6.0225302210437255E-4</v>
      </c>
      <c r="N532">
        <v>2.9086697062781416E-4</v>
      </c>
      <c r="O532">
        <v>2.1077055854280347E-4</v>
      </c>
      <c r="P532">
        <v>-9.974221974914688E-5</v>
      </c>
      <c r="Q532">
        <v>4.8171974630789415E-5</v>
      </c>
      <c r="R532">
        <v>3.490679597317723E-5</v>
      </c>
    </row>
    <row r="533" spans="1:18">
      <c r="A533" t="s">
        <v>124</v>
      </c>
      <c r="B533">
        <v>2018</v>
      </c>
      <c r="C533">
        <v>-1.30798421095693</v>
      </c>
      <c r="D533">
        <v>0.54573579693020757</v>
      </c>
      <c r="E533">
        <v>150.54</v>
      </c>
      <c r="F533">
        <v>97.29</v>
      </c>
      <c r="G533">
        <v>-215.17</v>
      </c>
      <c r="H533">
        <v>6.3200000000000006E-2</v>
      </c>
      <c r="I533">
        <v>1.0500000000000001E-2</v>
      </c>
      <c r="J533">
        <v>4.2964535849444319E-2</v>
      </c>
      <c r="K533">
        <v>2.7766837337534461E-2</v>
      </c>
      <c r="L533">
        <v>-6.141011809967406E-2</v>
      </c>
      <c r="M533">
        <v>2.7153586656848811E-3</v>
      </c>
      <c r="N533">
        <v>1.754864119732178E-3</v>
      </c>
      <c r="O533">
        <v>-3.8811194638994008E-3</v>
      </c>
      <c r="P533">
        <v>4.5112762641916535E-4</v>
      </c>
      <c r="Q533">
        <v>2.9155179204411186E-4</v>
      </c>
      <c r="R533">
        <v>-6.4480624004657771E-4</v>
      </c>
    </row>
    <row r="534" spans="1:18">
      <c r="A534" t="s">
        <v>124</v>
      </c>
      <c r="B534">
        <v>2019</v>
      </c>
      <c r="C534">
        <v>-1.230015642904384</v>
      </c>
      <c r="D534">
        <v>0.561191946412819</v>
      </c>
      <c r="E534">
        <v>21.31</v>
      </c>
      <c r="F534">
        <v>-24.22</v>
      </c>
      <c r="G534">
        <v>-24.37</v>
      </c>
      <c r="H534">
        <v>4.7999999999999996E-3</v>
      </c>
      <c r="I534">
        <v>1.0500000000000001E-2</v>
      </c>
      <c r="J534">
        <v>5.164357932899699E-3</v>
      </c>
      <c r="K534">
        <v>-5.8695799687860485E-3</v>
      </c>
      <c r="L534">
        <v>-5.9059316201203974E-3</v>
      </c>
      <c r="M534">
        <v>2.4788918077918552E-5</v>
      </c>
      <c r="N534">
        <v>-2.8173983850173029E-5</v>
      </c>
      <c r="O534">
        <v>-2.8348471776577904E-5</v>
      </c>
      <c r="P534">
        <v>5.4225758295446844E-5</v>
      </c>
      <c r="Q534">
        <v>-6.1630589672253508E-5</v>
      </c>
      <c r="R534">
        <v>-6.2012282011264183E-5</v>
      </c>
    </row>
    <row r="535" spans="1:18">
      <c r="A535" t="s">
        <v>124</v>
      </c>
      <c r="B535">
        <v>2020</v>
      </c>
      <c r="C535">
        <v>-1.2542541704151315</v>
      </c>
      <c r="D535">
        <v>0.55954299338877067</v>
      </c>
      <c r="E535">
        <v>89.53</v>
      </c>
      <c r="F535">
        <v>-65.2</v>
      </c>
      <c r="G535">
        <v>-32.229999999999997</v>
      </c>
      <c r="H535">
        <v>4.5999999999999999E-3</v>
      </c>
      <c r="I535">
        <v>1.0500000000000001E-2</v>
      </c>
      <c r="J535">
        <v>2.0291510565048198E-2</v>
      </c>
      <c r="K535">
        <v>-1.4777242140524323E-2</v>
      </c>
      <c r="L535">
        <v>-7.3047624875628653E-3</v>
      </c>
      <c r="M535">
        <v>9.3340948599221713E-5</v>
      </c>
      <c r="N535">
        <v>-6.7975313846411884E-5</v>
      </c>
      <c r="O535">
        <v>-3.3601907442789177E-5</v>
      </c>
      <c r="P535">
        <v>2.1306086093300609E-4</v>
      </c>
      <c r="Q535">
        <v>-1.5516104247550539E-4</v>
      </c>
      <c r="R535">
        <v>-7.6700006119410094E-5</v>
      </c>
    </row>
    <row r="536" spans="1:18">
      <c r="A536" t="s">
        <v>124</v>
      </c>
      <c r="B536">
        <v>2021</v>
      </c>
      <c r="C536">
        <v>-1.5231239824667155</v>
      </c>
      <c r="D536">
        <v>0.51371083415301755</v>
      </c>
      <c r="E536">
        <v>174.96</v>
      </c>
      <c r="F536">
        <v>-53.08</v>
      </c>
      <c r="G536">
        <v>-99.51</v>
      </c>
      <c r="H536">
        <v>3.5999999999999999E-3</v>
      </c>
      <c r="I536">
        <v>1.01E-2</v>
      </c>
      <c r="J536">
        <v>4.107264007211657E-2</v>
      </c>
      <c r="K536">
        <v>-1.246076666111081E-2</v>
      </c>
      <c r="L536">
        <v>-2.3360416172704158E-2</v>
      </c>
      <c r="M536">
        <v>1.4786150425961966E-4</v>
      </c>
      <c r="N536">
        <v>-4.4858759979998918E-5</v>
      </c>
      <c r="O536">
        <v>-8.4097498221734964E-5</v>
      </c>
      <c r="P536">
        <v>4.1483366472837735E-4</v>
      </c>
      <c r="Q536">
        <v>-1.2585374327721917E-4</v>
      </c>
      <c r="R536">
        <v>-2.3594020334431198E-4</v>
      </c>
    </row>
    <row r="537" spans="1:18">
      <c r="A537" t="s">
        <v>125</v>
      </c>
      <c r="B537">
        <v>2017</v>
      </c>
      <c r="C537">
        <v>-2.0577378070213825</v>
      </c>
      <c r="D537">
        <v>0.4272343639989683</v>
      </c>
      <c r="E537">
        <v>60.72</v>
      </c>
      <c r="F537">
        <v>-623.16999999999996</v>
      </c>
      <c r="G537">
        <v>771.93</v>
      </c>
      <c r="H537">
        <v>0.2535</v>
      </c>
      <c r="I537">
        <v>6.7000000000000002E-4</v>
      </c>
      <c r="J537">
        <v>3.8479648309195885E-3</v>
      </c>
      <c r="K537">
        <v>-3.9491703617986824E-2</v>
      </c>
      <c r="L537">
        <v>4.8918963964620518E-2</v>
      </c>
      <c r="M537">
        <v>9.7545908463811566E-4</v>
      </c>
      <c r="N537">
        <v>-1.001114686715966E-2</v>
      </c>
      <c r="O537">
        <v>1.2400957365031301E-2</v>
      </c>
      <c r="P537">
        <v>2.5781364367161244E-6</v>
      </c>
      <c r="Q537">
        <v>-2.6459441424051173E-5</v>
      </c>
      <c r="R537">
        <v>3.2775705856295746E-5</v>
      </c>
    </row>
    <row r="538" spans="1:18">
      <c r="A538" t="s">
        <v>125</v>
      </c>
      <c r="B538">
        <v>2018</v>
      </c>
      <c r="C538">
        <v>-2.1463992261403848</v>
      </c>
      <c r="D538">
        <v>0.41824263308757742</v>
      </c>
      <c r="E538">
        <v>129.66</v>
      </c>
      <c r="F538">
        <v>-154.81</v>
      </c>
      <c r="G538">
        <v>-255.34</v>
      </c>
      <c r="H538">
        <v>0.19739999999999999</v>
      </c>
      <c r="I538">
        <v>6.7000000000000002E-4</v>
      </c>
      <c r="J538">
        <v>7.6677747072247757E-3</v>
      </c>
      <c r="K538">
        <v>-9.155084084725186E-3</v>
      </c>
      <c r="L538">
        <v>-1.5100181966240739E-2</v>
      </c>
      <c r="M538">
        <v>1.5136187272061707E-3</v>
      </c>
      <c r="N538">
        <v>-1.8072135983247517E-3</v>
      </c>
      <c r="O538">
        <v>-2.9807759201359216E-3</v>
      </c>
      <c r="P538">
        <v>5.1374090538405996E-6</v>
      </c>
      <c r="Q538">
        <v>-6.1339063367658744E-6</v>
      </c>
      <c r="R538">
        <v>-1.0117121917381296E-5</v>
      </c>
    </row>
    <row r="539" spans="1:18">
      <c r="A539" t="s">
        <v>125</v>
      </c>
      <c r="B539">
        <v>2019</v>
      </c>
      <c r="C539">
        <v>-2.4995148080620133</v>
      </c>
      <c r="D539">
        <v>0.36827503698353126</v>
      </c>
      <c r="E539">
        <v>1539.15</v>
      </c>
      <c r="F539">
        <v>-74.66</v>
      </c>
      <c r="G539">
        <v>-1036.56</v>
      </c>
      <c r="H539">
        <v>0.24579999999999999</v>
      </c>
      <c r="I539">
        <v>6.7000000000000002E-4</v>
      </c>
      <c r="J539">
        <v>9.3662200244751553E-2</v>
      </c>
      <c r="K539">
        <v>-4.5432997890219604E-3</v>
      </c>
      <c r="L539">
        <v>-6.3077991284604923E-2</v>
      </c>
      <c r="M539">
        <v>2.3022168820159932E-2</v>
      </c>
      <c r="N539">
        <v>-1.1167430881415979E-3</v>
      </c>
      <c r="O539">
        <v>-1.550457025775589E-2</v>
      </c>
      <c r="P539">
        <v>6.2753674163983536E-5</v>
      </c>
      <c r="Q539">
        <v>-3.0440108586447134E-6</v>
      </c>
      <c r="R539">
        <v>-4.2262254160685299E-5</v>
      </c>
    </row>
    <row r="540" spans="1:18">
      <c r="A540" t="s">
        <v>125</v>
      </c>
      <c r="B540">
        <v>2020</v>
      </c>
      <c r="C540">
        <v>-1.2256643171281021</v>
      </c>
      <c r="D540">
        <v>0.55212924642687167</v>
      </c>
      <c r="E540">
        <v>-2913.2</v>
      </c>
      <c r="F540">
        <v>-479.82</v>
      </c>
      <c r="G540">
        <v>3790.78</v>
      </c>
      <c r="H540">
        <v>0.20100000000000001</v>
      </c>
      <c r="I540">
        <v>6.7000000000000002E-4</v>
      </c>
      <c r="J540">
        <v>-0.12247602359046626</v>
      </c>
      <c r="K540">
        <v>-2.0172472071666045E-2</v>
      </c>
      <c r="L540">
        <v>0.15937102179948776</v>
      </c>
      <c r="M540">
        <v>-2.4617680741683721E-2</v>
      </c>
      <c r="N540">
        <v>-4.054666886404875E-3</v>
      </c>
      <c r="O540">
        <v>3.2033575381697044E-2</v>
      </c>
      <c r="P540">
        <v>-8.2058935805612396E-5</v>
      </c>
      <c r="Q540">
        <v>-1.351555628801625E-5</v>
      </c>
      <c r="R540">
        <v>1.067785846056568E-4</v>
      </c>
    </row>
    <row r="541" spans="1:18">
      <c r="A541" t="s">
        <v>125</v>
      </c>
      <c r="B541">
        <v>2021</v>
      </c>
      <c r="C541">
        <v>-1.7679499663839526</v>
      </c>
      <c r="D541">
        <v>0.47159291046458668</v>
      </c>
      <c r="E541">
        <v>-1232.27</v>
      </c>
      <c r="F541">
        <v>-3151.16</v>
      </c>
      <c r="G541">
        <v>5896.16</v>
      </c>
      <c r="H541">
        <v>0.15970000000000001</v>
      </c>
      <c r="I541">
        <v>5.9000000000000003E-4</v>
      </c>
      <c r="J541">
        <v>-4.0265024353041662E-2</v>
      </c>
      <c r="K541">
        <v>-0.10296569269748575</v>
      </c>
      <c r="L541">
        <v>0.19265990893994833</v>
      </c>
      <c r="M541">
        <v>-6.4303243891807539E-3</v>
      </c>
      <c r="N541">
        <v>-1.6443621123788475E-2</v>
      </c>
      <c r="O541">
        <v>3.076778745770975E-2</v>
      </c>
      <c r="P541">
        <v>-2.3756364368294581E-5</v>
      </c>
      <c r="Q541">
        <v>-6.0749758691516591E-5</v>
      </c>
      <c r="R541">
        <v>1.1366934627456952E-4</v>
      </c>
    </row>
    <row r="542" spans="1:18">
      <c r="A542" t="s">
        <v>126</v>
      </c>
      <c r="B542">
        <v>2017</v>
      </c>
      <c r="C542">
        <v>-2.5106094848870013</v>
      </c>
      <c r="D542">
        <v>0.36285560205091894</v>
      </c>
      <c r="E542">
        <v>596.86</v>
      </c>
      <c r="F542">
        <v>-81.87</v>
      </c>
      <c r="G542">
        <v>1017.09</v>
      </c>
      <c r="H542">
        <v>0.48170000000000002</v>
      </c>
      <c r="I542">
        <v>1.0030000000000001E-2</v>
      </c>
      <c r="J542">
        <v>6.1426710111129178E-2</v>
      </c>
      <c r="K542">
        <v>-8.4257694548104181E-3</v>
      </c>
      <c r="L542">
        <v>0.10467528832042418</v>
      </c>
      <c r="M542">
        <v>2.9589246260530926E-2</v>
      </c>
      <c r="N542">
        <v>-4.0586931463821785E-3</v>
      </c>
      <c r="O542">
        <v>5.0422086383948329E-2</v>
      </c>
      <c r="P542">
        <v>6.1610990241462566E-4</v>
      </c>
      <c r="Q542">
        <v>-8.4510467631748498E-5</v>
      </c>
      <c r="R542">
        <v>1.0498931418538545E-3</v>
      </c>
    </row>
    <row r="543" spans="1:18">
      <c r="A543" t="s">
        <v>126</v>
      </c>
      <c r="B543">
        <v>2018</v>
      </c>
      <c r="C543">
        <v>-2.8150759732969304</v>
      </c>
      <c r="D543">
        <v>0.32542391441441004</v>
      </c>
      <c r="E543">
        <v>-718.95</v>
      </c>
      <c r="F543">
        <v>519.5</v>
      </c>
      <c r="G543">
        <v>-556.41</v>
      </c>
      <c r="H543">
        <v>0.46560000000000001</v>
      </c>
      <c r="I543">
        <v>1.3606999999999999E-2</v>
      </c>
      <c r="J543">
        <v>-7.0293090754789123E-2</v>
      </c>
      <c r="K543">
        <v>5.0792489946606782E-2</v>
      </c>
      <c r="L543">
        <v>-5.4401249915671759E-2</v>
      </c>
      <c r="M543">
        <v>-3.272846305542982E-2</v>
      </c>
      <c r="N543">
        <v>2.3648983319140119E-2</v>
      </c>
      <c r="O543">
        <v>-2.532922196073677E-2</v>
      </c>
      <c r="P543">
        <v>-9.5647808590041555E-4</v>
      </c>
      <c r="Q543">
        <v>6.9113341070347841E-4</v>
      </c>
      <c r="R543">
        <v>-7.4023780760254564E-4</v>
      </c>
    </row>
    <row r="544" spans="1:18">
      <c r="A544" t="s">
        <v>126</v>
      </c>
      <c r="B544">
        <v>2019</v>
      </c>
      <c r="C544">
        <v>-2.2227578809699073</v>
      </c>
      <c r="D544">
        <v>0.42100332922122513</v>
      </c>
      <c r="E544">
        <v>-163.53</v>
      </c>
      <c r="F544">
        <v>-200.81</v>
      </c>
      <c r="G544">
        <v>-296.37</v>
      </c>
      <c r="H544">
        <v>0.44529999999999997</v>
      </c>
      <c r="I544">
        <v>1.2807000000000001E-2</v>
      </c>
      <c r="J544">
        <v>-1.2353699726455411E-2</v>
      </c>
      <c r="K544">
        <v>-1.5169977631440781E-2</v>
      </c>
      <c r="L544">
        <v>-2.2388956081022381E-2</v>
      </c>
      <c r="M544">
        <v>-5.5011024881905938E-3</v>
      </c>
      <c r="N544">
        <v>-6.7551910392805795E-3</v>
      </c>
      <c r="O544">
        <v>-9.9698021428792655E-3</v>
      </c>
      <c r="P544">
        <v>-1.5821383239671445E-4</v>
      </c>
      <c r="Q544">
        <v>-1.942819035258621E-4</v>
      </c>
      <c r="R544">
        <v>-2.8673536052965364E-4</v>
      </c>
    </row>
    <row r="545" spans="1:18">
      <c r="A545" t="s">
        <v>126</v>
      </c>
      <c r="B545">
        <v>2020</v>
      </c>
      <c r="C545">
        <v>-2.3223351777780836</v>
      </c>
      <c r="D545">
        <v>0.41453819198003228</v>
      </c>
      <c r="E545">
        <v>162.61000000000001</v>
      </c>
      <c r="F545">
        <v>11.82</v>
      </c>
      <c r="G545">
        <v>486.33</v>
      </c>
      <c r="H545">
        <v>0.38140000000000002</v>
      </c>
      <c r="I545">
        <v>5.4159999999999998E-3</v>
      </c>
      <c r="J545">
        <v>1.1669622167186842E-2</v>
      </c>
      <c r="K545">
        <v>8.4825615900712412E-4</v>
      </c>
      <c r="L545">
        <v>3.4901219780874335E-2</v>
      </c>
      <c r="M545">
        <v>4.4507938945650615E-3</v>
      </c>
      <c r="N545">
        <v>3.2352489904531714E-4</v>
      </c>
      <c r="O545">
        <v>1.3311325224425472E-2</v>
      </c>
      <c r="P545">
        <v>6.3202673657483931E-5</v>
      </c>
      <c r="Q545">
        <v>4.5941553571825845E-6</v>
      </c>
      <c r="R545">
        <v>1.8902500633321539E-4</v>
      </c>
    </row>
    <row r="546" spans="1:18">
      <c r="A546" t="s">
        <v>126</v>
      </c>
      <c r="B546">
        <v>2021</v>
      </c>
      <c r="C546">
        <v>-3.0545369227233268</v>
      </c>
      <c r="D546">
        <v>0.288845519630967</v>
      </c>
      <c r="E546">
        <v>-2009.74</v>
      </c>
      <c r="F546">
        <v>-106.47</v>
      </c>
      <c r="G546">
        <v>1645.84</v>
      </c>
      <c r="H546">
        <v>0.32100000000000001</v>
      </c>
      <c r="I546">
        <v>1.073E-2</v>
      </c>
      <c r="J546">
        <v>-0.13983037285965755</v>
      </c>
      <c r="K546">
        <v>-7.407793942683003E-3</v>
      </c>
      <c r="L546">
        <v>0.11451153923758235</v>
      </c>
      <c r="M546">
        <v>-4.4885549687950076E-2</v>
      </c>
      <c r="N546">
        <v>-2.3779018556012439E-3</v>
      </c>
      <c r="O546">
        <v>3.6758204095263938E-2</v>
      </c>
      <c r="P546">
        <v>-1.5003799007841255E-3</v>
      </c>
      <c r="Q546">
        <v>-7.9485629004988627E-5</v>
      </c>
      <c r="R546">
        <v>1.2287088160192587E-3</v>
      </c>
    </row>
    <row r="547" spans="1:18">
      <c r="A547" t="s">
        <v>127</v>
      </c>
      <c r="B547">
        <v>2017</v>
      </c>
      <c r="C547">
        <v>-0.66186923601794767</v>
      </c>
      <c r="D547">
        <v>0.65863456097089812</v>
      </c>
      <c r="E547">
        <v>213.27</v>
      </c>
      <c r="F547">
        <v>-200.78</v>
      </c>
      <c r="G547">
        <v>-3.05</v>
      </c>
      <c r="H547">
        <v>0.18160000000000001</v>
      </c>
      <c r="I547">
        <v>1.0019999999999999E-2</v>
      </c>
      <c r="J547">
        <v>0.12117475937773435</v>
      </c>
      <c r="K547">
        <v>-0.11407824911080557</v>
      </c>
      <c r="L547">
        <v>-1.7329348530130339E-3</v>
      </c>
      <c r="M547">
        <v>2.2005336302996559E-2</v>
      </c>
      <c r="N547">
        <v>-2.0716610038522293E-2</v>
      </c>
      <c r="O547">
        <v>-3.1470096930716698E-4</v>
      </c>
      <c r="P547">
        <v>1.2141710889648982E-3</v>
      </c>
      <c r="Q547">
        <v>-1.1430640560902716E-3</v>
      </c>
      <c r="R547">
        <v>-1.7364007227190599E-5</v>
      </c>
    </row>
    <row r="548" spans="1:18">
      <c r="A548" t="s">
        <v>127</v>
      </c>
      <c r="B548">
        <v>2018</v>
      </c>
      <c r="C548">
        <v>-0.61657714420166299</v>
      </c>
      <c r="D548">
        <v>0.66920721298042329</v>
      </c>
      <c r="E548">
        <v>235.64</v>
      </c>
      <c r="F548">
        <v>-146.25</v>
      </c>
      <c r="G548">
        <v>-23.97</v>
      </c>
      <c r="H548">
        <v>0.21729999999999999</v>
      </c>
      <c r="I548">
        <v>4.7800000000000004E-3</v>
      </c>
      <c r="J548">
        <v>0.12377415576297805</v>
      </c>
      <c r="K548">
        <v>-7.682044763340494E-2</v>
      </c>
      <c r="L548">
        <v>-1.2590674391608318E-2</v>
      </c>
      <c r="M548">
        <v>2.689612404729513E-2</v>
      </c>
      <c r="N548">
        <v>-1.6693083270738894E-2</v>
      </c>
      <c r="O548">
        <v>-2.7359535452964874E-3</v>
      </c>
      <c r="P548">
        <v>5.9164046454703511E-4</v>
      </c>
      <c r="Q548">
        <v>-3.6720173968767564E-4</v>
      </c>
      <c r="R548">
        <v>-6.0183423591887765E-5</v>
      </c>
    </row>
    <row r="549" spans="1:18">
      <c r="A549" t="s">
        <v>127</v>
      </c>
      <c r="B549">
        <v>2019</v>
      </c>
      <c r="C549">
        <v>-0.56149234139759951</v>
      </c>
      <c r="D549">
        <v>0.67684937566605674</v>
      </c>
      <c r="E549">
        <v>42.32</v>
      </c>
      <c r="F549">
        <v>-273.91000000000003</v>
      </c>
      <c r="G549">
        <v>197.03</v>
      </c>
      <c r="H549">
        <v>0.21729999999999999</v>
      </c>
      <c r="I549">
        <v>4.7800000000000004E-3</v>
      </c>
      <c r="J549">
        <v>2.1273601029497519E-2</v>
      </c>
      <c r="K549">
        <v>-0.13769026602054976</v>
      </c>
      <c r="L549">
        <v>9.9043894396075041E-2</v>
      </c>
      <c r="M549">
        <v>4.6227535037098103E-3</v>
      </c>
      <c r="N549">
        <v>-2.9920094806265462E-2</v>
      </c>
      <c r="O549">
        <v>2.1522238252267106E-2</v>
      </c>
      <c r="P549">
        <v>1.0168781292099815E-4</v>
      </c>
      <c r="Q549">
        <v>-6.5815947157822792E-4</v>
      </c>
      <c r="R549">
        <v>4.7342981521323875E-4</v>
      </c>
    </row>
    <row r="550" spans="1:18">
      <c r="A550" t="s">
        <v>127</v>
      </c>
      <c r="B550">
        <v>2020</v>
      </c>
      <c r="C550">
        <v>-0.56702938176303019</v>
      </c>
      <c r="D550">
        <v>0.67329675692462387</v>
      </c>
      <c r="E550">
        <v>245.42</v>
      </c>
      <c r="F550">
        <v>-44.68</v>
      </c>
      <c r="G550">
        <v>-79.819999999999993</v>
      </c>
      <c r="H550">
        <v>0.11650000000000001</v>
      </c>
      <c r="I550">
        <v>4.7000000000000002E-3</v>
      </c>
      <c r="J550">
        <v>0.12097819710839333</v>
      </c>
      <c r="K550">
        <v>-2.2024716187772041E-2</v>
      </c>
      <c r="L550">
        <v>-3.9346751255773596E-2</v>
      </c>
      <c r="M550">
        <v>1.4093959963127824E-2</v>
      </c>
      <c r="N550">
        <v>-2.565879435875443E-3</v>
      </c>
      <c r="O550">
        <v>-4.5838965212976245E-3</v>
      </c>
      <c r="P550">
        <v>5.685975264094487E-4</v>
      </c>
      <c r="Q550">
        <v>-1.0351616608252859E-4</v>
      </c>
      <c r="R550">
        <v>-1.849297309021359E-4</v>
      </c>
    </row>
    <row r="551" spans="1:18">
      <c r="A551" t="s">
        <v>127</v>
      </c>
      <c r="B551">
        <v>2021</v>
      </c>
      <c r="C551">
        <v>-0.51368631868204195</v>
      </c>
      <c r="D551">
        <v>0.68279166453044227</v>
      </c>
      <c r="E551">
        <v>154.22999999999999</v>
      </c>
      <c r="F551">
        <v>-478.45</v>
      </c>
      <c r="G551">
        <v>210.06</v>
      </c>
      <c r="H551">
        <v>2.3599999999999999E-2</v>
      </c>
      <c r="I551">
        <v>8.0000000000000004E-4</v>
      </c>
      <c r="J551">
        <v>7.1884336271224342E-2</v>
      </c>
      <c r="K551">
        <v>-0.22299851318788361</v>
      </c>
      <c r="L551">
        <v>9.790587873392588E-2</v>
      </c>
      <c r="M551">
        <v>1.6964703360008945E-3</v>
      </c>
      <c r="N551">
        <v>-5.2627649112340531E-3</v>
      </c>
      <c r="O551">
        <v>2.3105787381206507E-3</v>
      </c>
      <c r="P551">
        <v>5.7507469016979473E-5</v>
      </c>
      <c r="Q551">
        <v>-1.7839881055030688E-4</v>
      </c>
      <c r="R551">
        <v>7.8324702987140712E-5</v>
      </c>
    </row>
    <row r="552" spans="1:18">
      <c r="A552" t="s">
        <v>128</v>
      </c>
      <c r="B552">
        <v>2017</v>
      </c>
      <c r="C552">
        <v>-2.8639223414569637</v>
      </c>
      <c r="D552">
        <v>0.26120738954225614</v>
      </c>
      <c r="E552">
        <v>-19.38</v>
      </c>
      <c r="F552">
        <v>-68.09</v>
      </c>
      <c r="G552">
        <v>94.74</v>
      </c>
      <c r="H552">
        <v>0.49459999999999998</v>
      </c>
      <c r="I552">
        <v>9.8500000000000004E-2</v>
      </c>
      <c r="J552">
        <v>-2.4093090330440835E-2</v>
      </c>
      <c r="K552">
        <v>-8.4649046470573613E-2</v>
      </c>
      <c r="L552">
        <v>0.11778015365871851</v>
      </c>
      <c r="M552">
        <v>-1.1916442477436036E-2</v>
      </c>
      <c r="N552">
        <v>-4.1867418384345705E-2</v>
      </c>
      <c r="O552">
        <v>5.8254063999602174E-2</v>
      </c>
      <c r="P552">
        <v>-2.3731693975484222E-3</v>
      </c>
      <c r="Q552">
        <v>-8.3379310773515018E-3</v>
      </c>
      <c r="R552">
        <v>1.1601345135383774E-2</v>
      </c>
    </row>
    <row r="553" spans="1:18">
      <c r="A553" t="s">
        <v>128</v>
      </c>
      <c r="B553">
        <v>2018</v>
      </c>
      <c r="C553">
        <v>-2.3510776754912732</v>
      </c>
      <c r="D553">
        <v>0.34635097248992464</v>
      </c>
      <c r="E553">
        <v>-59.68</v>
      </c>
      <c r="F553">
        <v>-42.39</v>
      </c>
      <c r="G553">
        <v>88.28</v>
      </c>
      <c r="H553">
        <v>0.49459999999999998</v>
      </c>
      <c r="I553">
        <v>9.8500000000000004E-2</v>
      </c>
      <c r="J553">
        <v>-6.5358331873138248E-2</v>
      </c>
      <c r="K553">
        <v>-4.6423252146486772E-2</v>
      </c>
      <c r="L553">
        <v>9.6679516383388828E-2</v>
      </c>
      <c r="M553">
        <v>-3.2326230944454179E-2</v>
      </c>
      <c r="N553">
        <v>-2.2960940511652358E-2</v>
      </c>
      <c r="O553">
        <v>4.7817688803224109E-2</v>
      </c>
      <c r="P553">
        <v>-6.4377956895041175E-3</v>
      </c>
      <c r="Q553">
        <v>-4.5726903364289471E-3</v>
      </c>
      <c r="R553">
        <v>9.5229323637637999E-3</v>
      </c>
    </row>
    <row r="554" spans="1:18">
      <c r="A554" t="s">
        <v>128</v>
      </c>
      <c r="B554">
        <v>2019</v>
      </c>
      <c r="C554">
        <v>-2.0646765647637864</v>
      </c>
      <c r="D554">
        <v>0.39666797294988893</v>
      </c>
      <c r="E554">
        <v>21.08</v>
      </c>
      <c r="F554">
        <v>-46.47</v>
      </c>
      <c r="G554">
        <v>23.13</v>
      </c>
      <c r="H554">
        <v>0.62749999999999995</v>
      </c>
      <c r="I554">
        <v>0.24779999999999999</v>
      </c>
      <c r="J554">
        <v>2.1181884866206452E-2</v>
      </c>
      <c r="K554">
        <v>-4.6694601030958911E-2</v>
      </c>
      <c r="L554">
        <v>2.324179302444759E-2</v>
      </c>
      <c r="M554">
        <v>1.3291632753544547E-2</v>
      </c>
      <c r="N554">
        <v>-2.9300862146926714E-2</v>
      </c>
      <c r="O554">
        <v>1.4584225122840862E-2</v>
      </c>
      <c r="P554">
        <v>5.2488710698459584E-3</v>
      </c>
      <c r="Q554">
        <v>-1.1570922135471617E-2</v>
      </c>
      <c r="R554">
        <v>5.7593163114581123E-3</v>
      </c>
    </row>
    <row r="555" spans="1:18">
      <c r="A555" t="s">
        <v>128</v>
      </c>
      <c r="B555">
        <v>2020</v>
      </c>
      <c r="C555">
        <v>-1.7007684393988229</v>
      </c>
      <c r="D555">
        <v>0.45722841969075989</v>
      </c>
      <c r="E555">
        <v>50.57</v>
      </c>
      <c r="F555">
        <v>-24.23</v>
      </c>
      <c r="G555">
        <v>-3.05</v>
      </c>
      <c r="H555">
        <v>0.62709999999999999</v>
      </c>
      <c r="I555">
        <v>7.9000000000000008E-3</v>
      </c>
      <c r="J555">
        <v>4.57526983868487E-2</v>
      </c>
      <c r="K555">
        <v>-2.1921848564630097E-2</v>
      </c>
      <c r="L555">
        <v>-2.7594567941445231E-3</v>
      </c>
      <c r="M555">
        <v>2.8691517158392819E-2</v>
      </c>
      <c r="N555">
        <v>-1.3747191234879533E-2</v>
      </c>
      <c r="O555">
        <v>-1.7304553556080303E-3</v>
      </c>
      <c r="P555">
        <v>3.6144631725610476E-4</v>
      </c>
      <c r="Q555">
        <v>-1.7318260366057779E-4</v>
      </c>
      <c r="R555">
        <v>-2.1799708673741735E-5</v>
      </c>
    </row>
    <row r="556" spans="1:18">
      <c r="A556" t="s">
        <v>128</v>
      </c>
      <c r="B556">
        <v>2021</v>
      </c>
      <c r="C556">
        <v>-1.9592326051860629</v>
      </c>
      <c r="D556">
        <v>0.42516139835159728</v>
      </c>
      <c r="E556">
        <v>8</v>
      </c>
      <c r="F556">
        <v>-7.42</v>
      </c>
      <c r="G556">
        <v>-17.84</v>
      </c>
      <c r="H556">
        <v>0.62709999999999999</v>
      </c>
      <c r="I556">
        <v>6.1000000000000004E-3</v>
      </c>
      <c r="J556">
        <v>7.4419989209101563E-3</v>
      </c>
      <c r="K556">
        <v>-6.9024539991441695E-3</v>
      </c>
      <c r="L556">
        <v>-1.6595657593629649E-2</v>
      </c>
      <c r="M556">
        <v>4.6668775233027586E-3</v>
      </c>
      <c r="N556">
        <v>-4.3285289028633083E-3</v>
      </c>
      <c r="O556">
        <v>-1.0407136876965152E-2</v>
      </c>
      <c r="P556">
        <v>4.5396193417551957E-5</v>
      </c>
      <c r="Q556">
        <v>-4.2104969394779437E-5</v>
      </c>
      <c r="R556">
        <v>-1.0123351132114086E-4</v>
      </c>
    </row>
    <row r="557" spans="1:18">
      <c r="A557" t="s">
        <v>129</v>
      </c>
      <c r="B557">
        <v>2017</v>
      </c>
      <c r="C557">
        <v>-4.3281286509897114</v>
      </c>
      <c r="D557">
        <v>6.3241848463523334E-2</v>
      </c>
      <c r="E557">
        <v>26.75</v>
      </c>
      <c r="F557">
        <v>110.7</v>
      </c>
      <c r="G557">
        <v>-5.19</v>
      </c>
      <c r="H557">
        <v>2.9999999999999997E-4</v>
      </c>
      <c r="I557">
        <v>0.1166</v>
      </c>
      <c r="J557">
        <v>0.12549847525216984</v>
      </c>
      <c r="K557">
        <v>0.51935256861365231</v>
      </c>
      <c r="L557">
        <v>-2.4349049964813511E-2</v>
      </c>
      <c r="M557">
        <v>3.7649542575650951E-5</v>
      </c>
      <c r="N557">
        <v>1.5580577058409568E-4</v>
      </c>
      <c r="O557">
        <v>-7.3047149894440525E-6</v>
      </c>
      <c r="P557">
        <v>1.4633122214403002E-2</v>
      </c>
      <c r="Q557">
        <v>6.0556509500351859E-2</v>
      </c>
      <c r="R557">
        <v>-2.8390992258972552E-3</v>
      </c>
    </row>
    <row r="558" spans="1:18">
      <c r="A558" t="s">
        <v>129</v>
      </c>
      <c r="B558">
        <v>2018</v>
      </c>
      <c r="C558">
        <v>-0.54877084640032159</v>
      </c>
      <c r="D558">
        <v>0.68469113435801521</v>
      </c>
      <c r="E558">
        <v>15.96</v>
      </c>
      <c r="F558">
        <v>-57.09</v>
      </c>
      <c r="G558">
        <v>-18.079999999999998</v>
      </c>
      <c r="H558">
        <v>2.0000000000000001E-4</v>
      </c>
      <c r="I558">
        <v>0.1166</v>
      </c>
      <c r="J558">
        <v>2.3318333235930102E-2</v>
      </c>
      <c r="K558">
        <v>-8.3411255917246213E-2</v>
      </c>
      <c r="L558">
        <v>-2.6415755946467182E-2</v>
      </c>
      <c r="M558">
        <v>4.6636666471860209E-6</v>
      </c>
      <c r="N558">
        <v>-1.6682251183449244E-5</v>
      </c>
      <c r="O558">
        <v>-5.2831511892934363E-6</v>
      </c>
      <c r="P558">
        <v>2.7189176553094499E-3</v>
      </c>
      <c r="Q558">
        <v>-9.725752439950908E-3</v>
      </c>
      <c r="R558">
        <v>-3.0800771433580733E-3</v>
      </c>
    </row>
    <row r="559" spans="1:18">
      <c r="A559" t="s">
        <v>129</v>
      </c>
      <c r="B559">
        <v>2019</v>
      </c>
      <c r="C559">
        <v>-0.34391770041048031</v>
      </c>
      <c r="D559">
        <v>0.72333729631442756</v>
      </c>
      <c r="E559">
        <v>-169.16</v>
      </c>
      <c r="F559">
        <v>-38.049999999999997</v>
      </c>
      <c r="G559">
        <v>139.88</v>
      </c>
      <c r="H559">
        <v>2.0000000000000001E-4</v>
      </c>
      <c r="I559">
        <v>0.13109999999999999</v>
      </c>
      <c r="J559">
        <v>-0.19716996526563627</v>
      </c>
      <c r="K559">
        <v>-4.4350420775345588E-2</v>
      </c>
      <c r="L559">
        <v>0.16304170454810357</v>
      </c>
      <c r="M559">
        <v>-3.9433993053127258E-5</v>
      </c>
      <c r="N559">
        <v>-8.8700841550691181E-6</v>
      </c>
      <c r="O559">
        <v>3.2608340909620713E-5</v>
      </c>
      <c r="P559">
        <v>-2.5848982446324914E-2</v>
      </c>
      <c r="Q559">
        <v>-5.8143401636478066E-3</v>
      </c>
      <c r="R559">
        <v>2.1374767466256377E-2</v>
      </c>
    </row>
    <row r="560" spans="1:18">
      <c r="A560" t="s">
        <v>129</v>
      </c>
      <c r="B560">
        <v>2020</v>
      </c>
      <c r="C560">
        <v>0.1932875557711804</v>
      </c>
      <c r="D560">
        <v>0.80435109566996044</v>
      </c>
      <c r="E560">
        <v>-83.53</v>
      </c>
      <c r="F560">
        <v>-98.24</v>
      </c>
      <c r="G560">
        <v>218.62</v>
      </c>
      <c r="H560">
        <v>2.0000000000000001E-4</v>
      </c>
      <c r="I560">
        <v>0.13109999999999999</v>
      </c>
      <c r="J560">
        <v>-6.2814901713065321E-2</v>
      </c>
      <c r="K560">
        <v>-7.3876881890237486E-2</v>
      </c>
      <c r="L560">
        <v>0.1644031343530509</v>
      </c>
      <c r="M560">
        <v>-1.2562980342613065E-5</v>
      </c>
      <c r="N560">
        <v>-1.4775376378047498E-5</v>
      </c>
      <c r="O560">
        <v>3.288062687061018E-5</v>
      </c>
      <c r="P560">
        <v>-8.235033614582863E-3</v>
      </c>
      <c r="Q560">
        <v>-9.6852592158101335E-3</v>
      </c>
      <c r="R560">
        <v>2.1553250913684971E-2</v>
      </c>
    </row>
    <row r="561" spans="1:18">
      <c r="A561" t="s">
        <v>129</v>
      </c>
      <c r="B561">
        <v>2021</v>
      </c>
      <c r="C561">
        <v>-3.1913298282158005</v>
      </c>
      <c r="D561">
        <v>0.29449164410419199</v>
      </c>
      <c r="E561">
        <v>820.57</v>
      </c>
      <c r="F561">
        <v>-919.81</v>
      </c>
      <c r="G561">
        <v>54.6</v>
      </c>
      <c r="H561">
        <v>3.8899999999999997E-2</v>
      </c>
      <c r="I561">
        <v>4.48E-2</v>
      </c>
      <c r="J561">
        <v>0.76610027074969667</v>
      </c>
      <c r="K561">
        <v>-0.85875268415647465</v>
      </c>
      <c r="L561">
        <v>5.0975632527308377E-2</v>
      </c>
      <c r="M561">
        <v>2.9801300532163198E-2</v>
      </c>
      <c r="N561">
        <v>-3.3405479413686864E-2</v>
      </c>
      <c r="O561">
        <v>1.9829521053122958E-3</v>
      </c>
      <c r="P561">
        <v>3.4321292129586407E-2</v>
      </c>
      <c r="Q561">
        <v>-3.8472120250210066E-2</v>
      </c>
      <c r="R561">
        <v>2.2837083372234152E-3</v>
      </c>
    </row>
    <row r="562" spans="1:18">
      <c r="A562" t="s">
        <v>130</v>
      </c>
      <c r="B562">
        <v>2017</v>
      </c>
      <c r="C562">
        <v>-2.5140744102156325</v>
      </c>
      <c r="D562">
        <v>0.46983984956624469</v>
      </c>
      <c r="E562">
        <v>410.67</v>
      </c>
      <c r="F562">
        <v>-117.62</v>
      </c>
      <c r="G562">
        <v>-56.16</v>
      </c>
      <c r="H562">
        <v>4.2900000000000001E-2</v>
      </c>
      <c r="I562">
        <v>1.5200000000000001E-3</v>
      </c>
      <c r="J562">
        <v>0.28707541959972876</v>
      </c>
      <c r="K562">
        <v>-8.2221274632478872E-2</v>
      </c>
      <c r="L562">
        <v>-3.9258177039279148E-2</v>
      </c>
      <c r="M562">
        <v>1.2315535500828364E-2</v>
      </c>
      <c r="N562">
        <v>-3.5272926817333438E-3</v>
      </c>
      <c r="O562">
        <v>-1.6841757949850754E-3</v>
      </c>
      <c r="P562">
        <v>4.3635463779158774E-4</v>
      </c>
      <c r="Q562">
        <v>-1.249763374413679E-4</v>
      </c>
      <c r="R562">
        <v>-5.967242909970431E-5</v>
      </c>
    </row>
    <row r="563" spans="1:18">
      <c r="A563" t="s">
        <v>130</v>
      </c>
      <c r="B563">
        <v>2018</v>
      </c>
      <c r="C563">
        <v>-1.1275717327520836</v>
      </c>
      <c r="D563">
        <v>0.64750394404802591</v>
      </c>
      <c r="E563">
        <v>703.92</v>
      </c>
      <c r="F563">
        <v>-1472.59</v>
      </c>
      <c r="G563">
        <v>577.80999999999995</v>
      </c>
      <c r="H563">
        <v>4.2900000000000001E-2</v>
      </c>
      <c r="I563">
        <v>2.76E-2</v>
      </c>
      <c r="J563">
        <v>0.24300168808707628</v>
      </c>
      <c r="K563">
        <v>-0.50835585842162134</v>
      </c>
      <c r="L563">
        <v>0.19946699254687114</v>
      </c>
      <c r="M563">
        <v>1.0424772418935573E-2</v>
      </c>
      <c r="N563">
        <v>-2.1808466326287555E-2</v>
      </c>
      <c r="O563">
        <v>8.5571339802607716E-3</v>
      </c>
      <c r="P563">
        <v>6.7068465912033057E-3</v>
      </c>
      <c r="Q563">
        <v>-1.4030621692436749E-2</v>
      </c>
      <c r="R563">
        <v>5.5052889942936436E-3</v>
      </c>
    </row>
    <row r="564" spans="1:18">
      <c r="A564" t="s">
        <v>130</v>
      </c>
      <c r="B564">
        <v>2019</v>
      </c>
      <c r="C564">
        <v>-0.8370889363391445</v>
      </c>
      <c r="D564">
        <v>0.67435146855654871</v>
      </c>
      <c r="E564">
        <v>618.55999999999995</v>
      </c>
      <c r="F564">
        <v>-935.28</v>
      </c>
      <c r="G564">
        <v>331.01</v>
      </c>
      <c r="H564">
        <v>8.6999999999999994E-2</v>
      </c>
      <c r="I564">
        <v>3.1099999999999999E-2</v>
      </c>
      <c r="J564">
        <v>0.15622845279378075</v>
      </c>
      <c r="K564">
        <v>-0.23622178499897709</v>
      </c>
      <c r="L564">
        <v>8.3602528710665688E-2</v>
      </c>
      <c r="M564">
        <v>1.3591875393058924E-2</v>
      </c>
      <c r="N564">
        <v>-2.0551295294911006E-2</v>
      </c>
      <c r="O564">
        <v>7.2734199978279146E-3</v>
      </c>
      <c r="P564">
        <v>4.8587048818865813E-3</v>
      </c>
      <c r="Q564">
        <v>-7.3464975134681868E-3</v>
      </c>
      <c r="R564">
        <v>2.6000386429017026E-3</v>
      </c>
    </row>
    <row r="565" spans="1:18">
      <c r="A565" t="s">
        <v>130</v>
      </c>
      <c r="B565">
        <v>2020</v>
      </c>
      <c r="C565">
        <v>-1.2829630087089667</v>
      </c>
      <c r="D565">
        <v>0.59642534109583811</v>
      </c>
      <c r="E565">
        <v>457.38</v>
      </c>
      <c r="F565">
        <v>-170.2</v>
      </c>
      <c r="G565">
        <v>-275.2</v>
      </c>
      <c r="H565">
        <v>0.129</v>
      </c>
      <c r="I565">
        <v>5.4399999999999997E-2</v>
      </c>
      <c r="J565">
        <v>0.11653438984929361</v>
      </c>
      <c r="K565">
        <v>-4.3364714575079302E-2</v>
      </c>
      <c r="L565">
        <v>-7.0117329324687561E-2</v>
      </c>
      <c r="M565">
        <v>1.5032936290558876E-2</v>
      </c>
      <c r="N565">
        <v>-5.5940481801852304E-3</v>
      </c>
      <c r="O565">
        <v>-9.0451354828846951E-3</v>
      </c>
      <c r="P565">
        <v>6.339470807801572E-3</v>
      </c>
      <c r="Q565">
        <v>-2.3590404728843139E-3</v>
      </c>
      <c r="R565">
        <v>-3.8143827152630032E-3</v>
      </c>
    </row>
    <row r="566" spans="1:18">
      <c r="A566" t="s">
        <v>130</v>
      </c>
      <c r="B566">
        <v>2021</v>
      </c>
      <c r="C566">
        <v>-1.4496883819445752</v>
      </c>
      <c r="D566">
        <v>0.55133819340753099</v>
      </c>
      <c r="E566">
        <v>44.23</v>
      </c>
      <c r="F566">
        <v>-172.64</v>
      </c>
      <c r="G566">
        <v>71.040000000000006</v>
      </c>
      <c r="H566">
        <v>0.129</v>
      </c>
      <c r="I566">
        <v>5.28E-2</v>
      </c>
      <c r="J566">
        <v>1.1099539505878515E-2</v>
      </c>
      <c r="K566">
        <v>-4.3324089990840302E-2</v>
      </c>
      <c r="L566">
        <v>1.7827521738584894E-2</v>
      </c>
      <c r="M566">
        <v>1.4318405962583285E-3</v>
      </c>
      <c r="N566">
        <v>-5.5888076088183988E-3</v>
      </c>
      <c r="O566">
        <v>2.2997503042774515E-3</v>
      </c>
      <c r="P566">
        <v>5.860556859103856E-4</v>
      </c>
      <c r="Q566">
        <v>-2.2875119515163678E-3</v>
      </c>
      <c r="R566">
        <v>9.4129314779728239E-4</v>
      </c>
    </row>
    <row r="567" spans="1:18">
      <c r="A567" t="s">
        <v>131</v>
      </c>
      <c r="B567">
        <v>2017</v>
      </c>
      <c r="C567">
        <v>5.8640337899219248E-2</v>
      </c>
      <c r="D567">
        <v>0.78533898841552197</v>
      </c>
      <c r="E567">
        <v>93.61</v>
      </c>
      <c r="F567">
        <v>-9.2799999999999994</v>
      </c>
      <c r="G567">
        <v>-79.09</v>
      </c>
      <c r="H567">
        <v>1.29E-2</v>
      </c>
      <c r="I567">
        <v>0.18548999999999999</v>
      </c>
      <c r="J567">
        <v>8.4654409969343189E-2</v>
      </c>
      <c r="K567">
        <v>-8.392190198862351E-3</v>
      </c>
      <c r="L567">
        <v>-7.1523526166812873E-2</v>
      </c>
      <c r="M567">
        <v>1.0920418886045272E-3</v>
      </c>
      <c r="N567">
        <v>-1.0825925356532433E-4</v>
      </c>
      <c r="O567">
        <v>-9.2265348755188607E-4</v>
      </c>
      <c r="P567">
        <v>1.5702546505213466E-2</v>
      </c>
      <c r="Q567">
        <v>-1.5566673599869774E-3</v>
      </c>
      <c r="R567">
        <v>-1.3266898868682118E-2</v>
      </c>
    </row>
    <row r="568" spans="1:18">
      <c r="A568" t="s">
        <v>131</v>
      </c>
      <c r="B568">
        <v>2018</v>
      </c>
      <c r="C568">
        <v>0.15526313752207233</v>
      </c>
      <c r="D568">
        <v>0.79463758819756258</v>
      </c>
      <c r="E568">
        <v>100.1</v>
      </c>
      <c r="F568">
        <v>-0.18</v>
      </c>
      <c r="G568">
        <v>-76.34</v>
      </c>
      <c r="H568">
        <v>1.1299999999999999E-2</v>
      </c>
      <c r="I568">
        <v>0.18654999999999999</v>
      </c>
      <c r="J568">
        <v>8.561043403891383E-2</v>
      </c>
      <c r="K568">
        <v>-1.5394483643361127E-4</v>
      </c>
      <c r="L568">
        <v>-6.5289715629677142E-2</v>
      </c>
      <c r="M568">
        <v>9.6739790463972624E-4</v>
      </c>
      <c r="N568">
        <v>-1.7395766516998073E-6</v>
      </c>
      <c r="O568">
        <v>-7.3777378661535168E-4</v>
      </c>
      <c r="P568">
        <v>1.5970626469959375E-2</v>
      </c>
      <c r="Q568">
        <v>-2.8718409236690181E-5</v>
      </c>
      <c r="R568">
        <v>-1.2179796450716271E-2</v>
      </c>
    </row>
    <row r="569" spans="1:18">
      <c r="A569" t="s">
        <v>131</v>
      </c>
      <c r="B569">
        <v>2019</v>
      </c>
      <c r="C569">
        <v>0.15584318818272902</v>
      </c>
      <c r="D569">
        <v>0.79432552588894767</v>
      </c>
      <c r="E569">
        <v>338.66</v>
      </c>
      <c r="F569">
        <v>-16.8</v>
      </c>
      <c r="G569">
        <v>-114.38</v>
      </c>
      <c r="H569">
        <v>0.01</v>
      </c>
      <c r="I569">
        <v>0.21618999999999999</v>
      </c>
      <c r="J569">
        <v>0.28461454420156485</v>
      </c>
      <c r="K569">
        <v>-1.4118952172049516E-2</v>
      </c>
      <c r="L569">
        <v>-9.6126532704703782E-2</v>
      </c>
      <c r="M569">
        <v>2.8461454420156485E-3</v>
      </c>
      <c r="N569">
        <v>-1.4118952172049515E-4</v>
      </c>
      <c r="O569">
        <v>-9.6126532704703788E-4</v>
      </c>
      <c r="P569">
        <v>6.1530818310936299E-2</v>
      </c>
      <c r="Q569">
        <v>-3.0523762700753847E-3</v>
      </c>
      <c r="R569">
        <v>-2.0781595105429911E-2</v>
      </c>
    </row>
    <row r="570" spans="1:18">
      <c r="A570" t="s">
        <v>131</v>
      </c>
      <c r="B570">
        <v>2020</v>
      </c>
      <c r="C570">
        <v>-4.918976272926167E-2</v>
      </c>
      <c r="D570">
        <v>0.76047766237256897</v>
      </c>
      <c r="E570">
        <v>-72.13</v>
      </c>
      <c r="F570">
        <v>-15.15</v>
      </c>
      <c r="G570">
        <v>9.8000000000000007</v>
      </c>
      <c r="H570">
        <v>9.4000000000000004E-3</v>
      </c>
      <c r="I570">
        <v>0.52554000000000001</v>
      </c>
      <c r="J570">
        <v>-6.9239925509244141E-2</v>
      </c>
      <c r="K570">
        <v>-1.4542976174477317E-2</v>
      </c>
      <c r="L570">
        <v>9.4073377234242719E-3</v>
      </c>
      <c r="M570">
        <v>-6.5085529978689495E-4</v>
      </c>
      <c r="N570">
        <v>-1.3670397604008679E-4</v>
      </c>
      <c r="O570">
        <v>8.8428974600188165E-5</v>
      </c>
      <c r="P570">
        <v>-3.6388350452128168E-2</v>
      </c>
      <c r="Q570">
        <v>-7.6429156987348097E-3</v>
      </c>
      <c r="R570">
        <v>4.9439322671683923E-3</v>
      </c>
    </row>
    <row r="571" spans="1:18">
      <c r="A571" t="s">
        <v>131</v>
      </c>
      <c r="B571">
        <v>2021</v>
      </c>
      <c r="C571">
        <v>0.20807823128493552</v>
      </c>
      <c r="D571">
        <v>0.80106487497226897</v>
      </c>
      <c r="E571">
        <v>230.08</v>
      </c>
      <c r="F571">
        <v>-9.66</v>
      </c>
      <c r="G571">
        <v>-45.73</v>
      </c>
      <c r="H571">
        <v>9.1999999999999998E-3</v>
      </c>
      <c r="I571">
        <v>0.52554000000000001</v>
      </c>
      <c r="J571">
        <v>0.18229645358602989</v>
      </c>
      <c r="K571">
        <v>-7.6537888631825826E-3</v>
      </c>
      <c r="L571">
        <v>-3.6232687858523752E-2</v>
      </c>
      <c r="M571">
        <v>1.677127372991475E-3</v>
      </c>
      <c r="N571">
        <v>-7.041485754127976E-5</v>
      </c>
      <c r="O571">
        <v>-3.3334072829841848E-4</v>
      </c>
      <c r="P571">
        <v>9.5804078217602145E-2</v>
      </c>
      <c r="Q571">
        <v>-4.0223721991569745E-3</v>
      </c>
      <c r="R571">
        <v>-1.9041726777168571E-2</v>
      </c>
    </row>
    <row r="572" spans="1:18">
      <c r="A572" t="s">
        <v>132</v>
      </c>
      <c r="B572">
        <v>2017</v>
      </c>
      <c r="C572">
        <v>-0.89724345246869985</v>
      </c>
      <c r="D572">
        <v>0.60507723363173593</v>
      </c>
      <c r="E572">
        <v>-93.86</v>
      </c>
      <c r="F572">
        <v>-123.91</v>
      </c>
      <c r="G572">
        <v>112.09</v>
      </c>
      <c r="H572">
        <v>2.6100000000000002E-2</v>
      </c>
      <c r="I572">
        <v>0</v>
      </c>
      <c r="J572">
        <v>-0.20594172371423555</v>
      </c>
      <c r="K572">
        <v>-0.27187554853431628</v>
      </c>
      <c r="L572">
        <v>0.24594084605932948</v>
      </c>
      <c r="M572">
        <v>-5.3750789889415486E-3</v>
      </c>
      <c r="N572">
        <v>-7.0959518167456551E-3</v>
      </c>
      <c r="O572">
        <v>6.4190560821485E-3</v>
      </c>
      <c r="P572">
        <v>0</v>
      </c>
      <c r="Q572">
        <v>0</v>
      </c>
      <c r="R572">
        <v>0</v>
      </c>
    </row>
    <row r="573" spans="1:18">
      <c r="A573" t="s">
        <v>132</v>
      </c>
      <c r="B573">
        <v>2018</v>
      </c>
      <c r="C573">
        <v>-0.37354883868675731</v>
      </c>
      <c r="D573">
        <v>0.45512400561534866</v>
      </c>
      <c r="E573">
        <v>35.75</v>
      </c>
      <c r="F573">
        <v>128.1</v>
      </c>
      <c r="G573">
        <v>-170.52</v>
      </c>
      <c r="H573">
        <v>2.3699999999999999E-2</v>
      </c>
      <c r="I573">
        <v>0</v>
      </c>
      <c r="J573">
        <v>0.16729059429106224</v>
      </c>
      <c r="K573">
        <v>0.599438465138044</v>
      </c>
      <c r="L573">
        <v>-0.79794103883949474</v>
      </c>
      <c r="M573">
        <v>3.9647870846981747E-3</v>
      </c>
      <c r="N573">
        <v>1.4206691623771642E-2</v>
      </c>
      <c r="O573">
        <v>-1.8911202620496025E-2</v>
      </c>
      <c r="P573">
        <v>0</v>
      </c>
      <c r="Q573">
        <v>0</v>
      </c>
      <c r="R573">
        <v>0</v>
      </c>
    </row>
    <row r="574" spans="1:18">
      <c r="A574" t="s">
        <v>132</v>
      </c>
      <c r="B574">
        <v>2019</v>
      </c>
      <c r="C574">
        <v>-1.9491532542349559</v>
      </c>
      <c r="D574">
        <v>0.46927970287249593</v>
      </c>
      <c r="E574">
        <v>0.24</v>
      </c>
      <c r="F574">
        <v>-25.59</v>
      </c>
      <c r="G574">
        <v>4.9800000000000004</v>
      </c>
      <c r="H574">
        <v>2.3800000000000002E-2</v>
      </c>
      <c r="I574">
        <v>0</v>
      </c>
      <c r="J574">
        <v>9.4827926824449791E-4</v>
      </c>
      <c r="K574">
        <v>-0.1011102769765696</v>
      </c>
      <c r="L574">
        <v>1.9676794816073335E-2</v>
      </c>
      <c r="M574">
        <v>2.256904658421905E-5</v>
      </c>
      <c r="N574">
        <v>-2.4064245920423569E-3</v>
      </c>
      <c r="O574">
        <v>4.6830771662254538E-4</v>
      </c>
      <c r="P574">
        <v>0</v>
      </c>
      <c r="Q574">
        <v>0</v>
      </c>
      <c r="R574">
        <v>0</v>
      </c>
    </row>
    <row r="575" spans="1:18">
      <c r="A575" t="s">
        <v>132</v>
      </c>
      <c r="B575">
        <v>2020</v>
      </c>
      <c r="C575">
        <v>-3.4916623232192157</v>
      </c>
      <c r="D575">
        <v>0.2359913273909901</v>
      </c>
      <c r="E575">
        <v>83.86</v>
      </c>
      <c r="F575">
        <v>-16.850000000000001</v>
      </c>
      <c r="G575">
        <v>-59.57</v>
      </c>
      <c r="H575">
        <v>2.1899999999999999E-2</v>
      </c>
      <c r="I575">
        <v>0</v>
      </c>
      <c r="J575">
        <v>0.40404721753794265</v>
      </c>
      <c r="K575">
        <v>-8.1185256564683214E-2</v>
      </c>
      <c r="L575">
        <v>-0.28701517706576729</v>
      </c>
      <c r="M575">
        <v>8.848634064080943E-3</v>
      </c>
      <c r="N575">
        <v>-1.7779571187665623E-3</v>
      </c>
      <c r="O575">
        <v>-6.2856323777403036E-3</v>
      </c>
      <c r="P575">
        <v>0</v>
      </c>
      <c r="Q575">
        <v>0</v>
      </c>
      <c r="R575">
        <v>0</v>
      </c>
    </row>
    <row r="576" spans="1:18">
      <c r="A576" t="s">
        <v>132</v>
      </c>
      <c r="B576">
        <v>2021</v>
      </c>
      <c r="C576">
        <v>-3.2498270730865984</v>
      </c>
      <c r="D576">
        <v>0.29773011617515643</v>
      </c>
      <c r="E576">
        <v>2.14</v>
      </c>
      <c r="F576">
        <v>-17.45</v>
      </c>
      <c r="G576">
        <v>27.92</v>
      </c>
      <c r="H576">
        <v>2.0199999999999999E-2</v>
      </c>
      <c r="I576">
        <v>0.26840000000000003</v>
      </c>
      <c r="J576">
        <v>7.649687220732798E-3</v>
      </c>
      <c r="K576">
        <v>-6.2377122430741734E-2</v>
      </c>
      <c r="L576">
        <v>9.9803395889186783E-2</v>
      </c>
      <c r="M576">
        <v>1.5452368185880252E-4</v>
      </c>
      <c r="N576">
        <v>-1.260017873100983E-3</v>
      </c>
      <c r="O576">
        <v>2.0160285969615731E-3</v>
      </c>
      <c r="P576">
        <v>2.0531760500446831E-3</v>
      </c>
      <c r="Q576">
        <v>-1.6742019660411084E-2</v>
      </c>
      <c r="R576">
        <v>2.6787231456657734E-2</v>
      </c>
    </row>
    <row r="577" spans="1:18">
      <c r="A577" t="s">
        <v>133</v>
      </c>
      <c r="B577">
        <v>2017</v>
      </c>
      <c r="C577">
        <v>-3.0023274679709693</v>
      </c>
      <c r="D577">
        <v>0.33852796522932627</v>
      </c>
      <c r="E577">
        <v>62.06</v>
      </c>
      <c r="F577">
        <v>-65.319999999999993</v>
      </c>
      <c r="G577">
        <v>0.7</v>
      </c>
      <c r="H577">
        <v>6.9000000000000006E-2</v>
      </c>
      <c r="I577">
        <v>1.6000000000000001E-3</v>
      </c>
      <c r="J577">
        <v>0.1774562507148576</v>
      </c>
      <c r="K577">
        <v>-0.18677799382363031</v>
      </c>
      <c r="L577">
        <v>2.0016012810248197E-3</v>
      </c>
      <c r="M577">
        <v>1.2244481299325176E-2</v>
      </c>
      <c r="N577">
        <v>-1.2887681573830492E-2</v>
      </c>
      <c r="O577">
        <v>1.3811048839071257E-4</v>
      </c>
      <c r="P577">
        <v>2.839300011437722E-4</v>
      </c>
      <c r="Q577">
        <v>-2.9884479011780852E-4</v>
      </c>
      <c r="R577">
        <v>3.2025620496397118E-6</v>
      </c>
    </row>
    <row r="578" spans="1:18">
      <c r="A578" t="s">
        <v>133</v>
      </c>
      <c r="B578">
        <v>2018</v>
      </c>
      <c r="C578">
        <v>-3.6872120337873611</v>
      </c>
      <c r="D578">
        <v>0.23631993903690024</v>
      </c>
      <c r="E578">
        <v>106.84</v>
      </c>
      <c r="F578">
        <v>-63.81</v>
      </c>
      <c r="G578">
        <v>-25.86</v>
      </c>
      <c r="H578">
        <v>6.3E-2</v>
      </c>
      <c r="I578">
        <v>1.6000000000000001E-3</v>
      </c>
      <c r="J578">
        <v>0.31313930654474048</v>
      </c>
      <c r="K578">
        <v>-0.18702189395937749</v>
      </c>
      <c r="L578">
        <v>-7.5793546117998767E-2</v>
      </c>
      <c r="M578">
        <v>1.9727776312318649E-2</v>
      </c>
      <c r="N578">
        <v>-1.1782379319440782E-2</v>
      </c>
      <c r="O578">
        <v>-4.7749934054339225E-3</v>
      </c>
      <c r="P578">
        <v>5.0102289047158476E-4</v>
      </c>
      <c r="Q578">
        <v>-2.99235030335004E-4</v>
      </c>
      <c r="R578">
        <v>-1.2126967378879804E-4</v>
      </c>
    </row>
    <row r="579" spans="1:18">
      <c r="A579" t="s">
        <v>133</v>
      </c>
      <c r="B579">
        <v>2019</v>
      </c>
      <c r="C579">
        <v>-4.1486274214147585</v>
      </c>
      <c r="D579">
        <v>0.14941176470588236</v>
      </c>
      <c r="E579">
        <v>78.23</v>
      </c>
      <c r="F579">
        <v>-96.03</v>
      </c>
      <c r="G579">
        <v>20.68</v>
      </c>
      <c r="H579">
        <v>5.6000000000000001E-2</v>
      </c>
      <c r="I579">
        <v>4.0000000000000001E-3</v>
      </c>
      <c r="J579">
        <v>0.19581977471839801</v>
      </c>
      <c r="K579">
        <v>-0.24037546933667084</v>
      </c>
      <c r="L579">
        <v>5.1764705882352942E-2</v>
      </c>
      <c r="M579">
        <v>1.0965907384230289E-2</v>
      </c>
      <c r="N579">
        <v>-1.3461026282853568E-2</v>
      </c>
      <c r="O579">
        <v>2.8988235294117649E-3</v>
      </c>
      <c r="P579">
        <v>7.8327909887359205E-4</v>
      </c>
      <c r="Q579">
        <v>-9.6150187734668339E-4</v>
      </c>
      <c r="R579">
        <v>2.0705882352941177E-4</v>
      </c>
    </row>
    <row r="580" spans="1:18">
      <c r="A580" t="s">
        <v>133</v>
      </c>
      <c r="B580">
        <v>2020</v>
      </c>
      <c r="C580">
        <v>-4.0753862437170865</v>
      </c>
      <c r="D580">
        <v>0.16104063165365506</v>
      </c>
      <c r="E580">
        <v>108.05</v>
      </c>
      <c r="F580">
        <v>-60.55</v>
      </c>
      <c r="G580">
        <v>-25.75</v>
      </c>
      <c r="H580">
        <v>3.5999999999999997E-2</v>
      </c>
      <c r="I580">
        <v>1.2E-2</v>
      </c>
      <c r="J580">
        <v>0.23964247693399574</v>
      </c>
      <c r="K580">
        <v>-0.1342929382540809</v>
      </c>
      <c r="L580">
        <v>-5.7110539389638039E-2</v>
      </c>
      <c r="M580">
        <v>8.6271291696238452E-3</v>
      </c>
      <c r="N580">
        <v>-4.8345457771469119E-3</v>
      </c>
      <c r="O580">
        <v>-2.0559794180269693E-3</v>
      </c>
      <c r="P580">
        <v>2.875709723207949E-3</v>
      </c>
      <c r="Q580">
        <v>-1.6115152590489709E-3</v>
      </c>
      <c r="R580">
        <v>-6.8532647267565653E-4</v>
      </c>
    </row>
    <row r="581" spans="1:18">
      <c r="A581" t="s">
        <v>133</v>
      </c>
      <c r="B581">
        <v>2021</v>
      </c>
      <c r="C581">
        <v>-3.8403905246658865</v>
      </c>
      <c r="D581">
        <v>0.20125716806352006</v>
      </c>
      <c r="E581">
        <v>164.95</v>
      </c>
      <c r="F581">
        <v>-152.13</v>
      </c>
      <c r="G581">
        <v>-25.26</v>
      </c>
      <c r="H581">
        <v>9.6000000000000002E-2</v>
      </c>
      <c r="I581">
        <v>1.0999999999999999E-2</v>
      </c>
      <c r="J581">
        <v>0.30317232759888246</v>
      </c>
      <c r="K581">
        <v>-0.27960961623290692</v>
      </c>
      <c r="L581">
        <v>-4.6426996029995588E-2</v>
      </c>
      <c r="M581">
        <v>2.9104543449492717E-2</v>
      </c>
      <c r="N581">
        <v>-2.6842523158359066E-2</v>
      </c>
      <c r="O581">
        <v>-4.4569916188795765E-3</v>
      </c>
      <c r="P581">
        <v>3.3348956035877068E-3</v>
      </c>
      <c r="Q581">
        <v>-3.0757057785619759E-3</v>
      </c>
      <c r="R581">
        <v>-5.1069695632995147E-4</v>
      </c>
    </row>
    <row r="582" spans="1:18">
      <c r="A582" t="s">
        <v>134</v>
      </c>
      <c r="B582">
        <v>2017</v>
      </c>
      <c r="C582">
        <v>-0.5157966229052352</v>
      </c>
      <c r="D582">
        <v>0.68358162893134689</v>
      </c>
      <c r="E582">
        <v>408.55</v>
      </c>
      <c r="F582">
        <v>-352.5</v>
      </c>
      <c r="G582">
        <v>281.24</v>
      </c>
      <c r="H582">
        <v>0.2555</v>
      </c>
      <c r="I582">
        <v>1.6E-2</v>
      </c>
      <c r="J582">
        <v>0.11462278708301771</v>
      </c>
      <c r="K582">
        <v>-9.8897399208820805E-2</v>
      </c>
      <c r="L582">
        <v>7.8904693768762454E-2</v>
      </c>
      <c r="M582">
        <v>2.9286122099711025E-2</v>
      </c>
      <c r="N582">
        <v>-2.5268285497853715E-2</v>
      </c>
      <c r="O582">
        <v>2.0160149257918807E-2</v>
      </c>
      <c r="P582">
        <v>1.8339645933282834E-3</v>
      </c>
      <c r="Q582">
        <v>-1.582358387341133E-3</v>
      </c>
      <c r="R582">
        <v>1.2624751003001992E-3</v>
      </c>
    </row>
    <row r="583" spans="1:18">
      <c r="A583" t="s">
        <v>134</v>
      </c>
      <c r="B583">
        <v>2018</v>
      </c>
      <c r="C583">
        <v>-0.78353907962420222</v>
      </c>
      <c r="D583">
        <v>0.65185679057880042</v>
      </c>
      <c r="E583">
        <v>-516.03</v>
      </c>
      <c r="F583">
        <v>-252.27</v>
      </c>
      <c r="G583">
        <v>417.18</v>
      </c>
      <c r="H583">
        <v>0.26650000000000001</v>
      </c>
      <c r="I583">
        <v>1.2370000000000001E-2</v>
      </c>
      <c r="J583">
        <v>-0.12200415641158405</v>
      </c>
      <c r="K583">
        <v>-5.9643796945817708E-2</v>
      </c>
      <c r="L583">
        <v>9.8633207316986687E-2</v>
      </c>
      <c r="M583">
        <v>-3.2514107683687149E-2</v>
      </c>
      <c r="N583">
        <v>-1.589507188606042E-2</v>
      </c>
      <c r="O583">
        <v>2.6285749749976953E-2</v>
      </c>
      <c r="P583">
        <v>-1.5091914148112947E-3</v>
      </c>
      <c r="Q583">
        <v>-7.3779376821976508E-4</v>
      </c>
      <c r="R583">
        <v>1.2200927745111255E-3</v>
      </c>
    </row>
    <row r="584" spans="1:18">
      <c r="A584" t="s">
        <v>134</v>
      </c>
      <c r="B584">
        <v>2019</v>
      </c>
      <c r="C584">
        <v>-0.70669238214554253</v>
      </c>
      <c r="D584">
        <v>0.66360440203190274</v>
      </c>
      <c r="E584">
        <v>-45.64</v>
      </c>
      <c r="F584">
        <v>-117.91</v>
      </c>
      <c r="G584">
        <v>12.05</v>
      </c>
      <c r="H584">
        <v>0.3125</v>
      </c>
      <c r="I584">
        <v>1.2699999999999999E-2</v>
      </c>
      <c r="J584">
        <v>-9.6720939744380386E-3</v>
      </c>
      <c r="K584">
        <v>-2.4987655576818341E-2</v>
      </c>
      <c r="L584">
        <v>2.5536532075367741E-3</v>
      </c>
      <c r="M584">
        <v>-3.022529367011887E-3</v>
      </c>
      <c r="N584">
        <v>-7.8086423677557314E-3</v>
      </c>
      <c r="O584">
        <v>7.9801662735524189E-4</v>
      </c>
      <c r="P584">
        <v>-1.2283559347536308E-4</v>
      </c>
      <c r="Q584">
        <v>-3.1734322582559291E-4</v>
      </c>
      <c r="R584">
        <v>3.2431395735717032E-5</v>
      </c>
    </row>
    <row r="585" spans="1:18">
      <c r="A585" t="s">
        <v>134</v>
      </c>
      <c r="B585">
        <v>2020</v>
      </c>
      <c r="C585">
        <v>-0.54952347105412969</v>
      </c>
      <c r="D585">
        <v>0.69891838388647998</v>
      </c>
      <c r="E585">
        <v>484.84</v>
      </c>
      <c r="F585">
        <v>-500.2</v>
      </c>
      <c r="G585">
        <v>196.12</v>
      </c>
      <c r="H585">
        <v>3.2099999999999997E-2</v>
      </c>
      <c r="I585">
        <v>1.2500000000000001E-2</v>
      </c>
      <c r="J585">
        <v>7.9060870869744587E-2</v>
      </c>
      <c r="K585">
        <v>-8.1565563091011969E-2</v>
      </c>
      <c r="L585">
        <v>3.1980484273109296E-2</v>
      </c>
      <c r="M585">
        <v>2.5378539549188008E-3</v>
      </c>
      <c r="N585">
        <v>-2.6182545752214841E-3</v>
      </c>
      <c r="O585">
        <v>1.0265735451668082E-3</v>
      </c>
      <c r="P585">
        <v>9.8826088587180747E-4</v>
      </c>
      <c r="Q585">
        <v>-1.0195695386376496E-3</v>
      </c>
      <c r="R585">
        <v>3.9975605341386624E-4</v>
      </c>
    </row>
    <row r="586" spans="1:18">
      <c r="A586" t="s">
        <v>134</v>
      </c>
      <c r="B586">
        <v>2021</v>
      </c>
      <c r="C586">
        <v>-1.0914898232168913</v>
      </c>
      <c r="D586">
        <v>0.58849209152162196</v>
      </c>
      <c r="E586">
        <v>319.29000000000002</v>
      </c>
      <c r="F586">
        <v>-226.21</v>
      </c>
      <c r="G586">
        <v>-79.12</v>
      </c>
      <c r="H586">
        <v>2.4400000000000002E-2</v>
      </c>
      <c r="I586">
        <v>1.09E-2</v>
      </c>
      <c r="J586">
        <v>5.5007037606834668E-2</v>
      </c>
      <c r="K586">
        <v>-3.897128621955611E-2</v>
      </c>
      <c r="L586">
        <v>-1.3630733237660932E-2</v>
      </c>
      <c r="M586">
        <v>1.342171717606766E-3</v>
      </c>
      <c r="N586">
        <v>-9.5089938375716911E-4</v>
      </c>
      <c r="O586">
        <v>-3.3258989099892676E-4</v>
      </c>
      <c r="P586">
        <v>5.9957670991449784E-4</v>
      </c>
      <c r="Q586">
        <v>-4.2478701979316161E-4</v>
      </c>
      <c r="R586">
        <v>-1.4857499229050416E-4</v>
      </c>
    </row>
    <row r="587" spans="1:18">
      <c r="A587" t="s">
        <v>135</v>
      </c>
      <c r="B587">
        <v>2017</v>
      </c>
      <c r="C587">
        <v>-2.0928527092934992</v>
      </c>
      <c r="D587">
        <v>0.45028418442362134</v>
      </c>
      <c r="E587">
        <v>83.54</v>
      </c>
      <c r="F587">
        <v>-632.65</v>
      </c>
      <c r="G587">
        <v>511.22</v>
      </c>
      <c r="H587">
        <v>6.9400000000000003E-2</v>
      </c>
      <c r="I587">
        <v>6.0000000000000002E-5</v>
      </c>
      <c r="J587">
        <v>2.2915798020584171E-2</v>
      </c>
      <c r="K587">
        <v>-0.17354177181856087</v>
      </c>
      <c r="L587">
        <v>0.14023239482981853</v>
      </c>
      <c r="M587">
        <v>1.5903563826285415E-3</v>
      </c>
      <c r="N587">
        <v>-1.2043798964208124E-2</v>
      </c>
      <c r="O587">
        <v>9.7321282011894068E-3</v>
      </c>
      <c r="P587">
        <v>1.3749478812350503E-6</v>
      </c>
      <c r="Q587">
        <v>-1.0412506309113653E-5</v>
      </c>
      <c r="R587">
        <v>8.4139436897891124E-6</v>
      </c>
    </row>
    <row r="588" spans="1:18">
      <c r="A588" t="s">
        <v>135</v>
      </c>
      <c r="B588">
        <v>2018</v>
      </c>
      <c r="C588">
        <v>-2.1764216517145867</v>
      </c>
      <c r="D588">
        <v>0.47213556481574664</v>
      </c>
      <c r="E588">
        <v>311.79000000000002</v>
      </c>
      <c r="F588">
        <v>126</v>
      </c>
      <c r="G588">
        <v>73.2</v>
      </c>
      <c r="H588">
        <v>4.0599999999999997E-2</v>
      </c>
      <c r="I588">
        <v>1.9499999999999999E-3</v>
      </c>
      <c r="J588">
        <v>6.4034289634039898E-2</v>
      </c>
      <c r="K588">
        <v>2.5877419076586892E-2</v>
      </c>
      <c r="L588">
        <v>1.503354822544572E-2</v>
      </c>
      <c r="M588">
        <v>2.5997921591420195E-3</v>
      </c>
      <c r="N588">
        <v>1.0506232145094277E-3</v>
      </c>
      <c r="O588">
        <v>6.1036205795309624E-4</v>
      </c>
      <c r="P588">
        <v>1.248668647863778E-4</v>
      </c>
      <c r="Q588">
        <v>5.0460967199344434E-5</v>
      </c>
      <c r="R588">
        <v>2.9315419039619152E-5</v>
      </c>
    </row>
    <row r="589" spans="1:18">
      <c r="A589" t="s">
        <v>135</v>
      </c>
      <c r="B589">
        <v>2019</v>
      </c>
      <c r="C589">
        <v>-2.1140785273790912</v>
      </c>
      <c r="D589">
        <v>0.46601259470393208</v>
      </c>
      <c r="E589">
        <v>-1769.56</v>
      </c>
      <c r="F589">
        <v>1128.26</v>
      </c>
      <c r="G589">
        <v>95.02</v>
      </c>
      <c r="H589">
        <v>3.8999999999999998E-3</v>
      </c>
      <c r="I589">
        <v>3.8E-3</v>
      </c>
      <c r="J589">
        <v>-0.30256698737622872</v>
      </c>
      <c r="K589">
        <v>0.19291475235488134</v>
      </c>
      <c r="L589">
        <v>1.6246928694415141E-2</v>
      </c>
      <c r="M589">
        <v>-1.180011250767292E-3</v>
      </c>
      <c r="N589">
        <v>7.5236753418403716E-4</v>
      </c>
      <c r="O589">
        <v>6.336302190821905E-5</v>
      </c>
      <c r="P589">
        <v>-1.1497545520296692E-3</v>
      </c>
      <c r="Q589">
        <v>7.330760589485491E-4</v>
      </c>
      <c r="R589">
        <v>6.1738329038777532E-5</v>
      </c>
    </row>
    <row r="590" spans="1:18">
      <c r="A590" t="s">
        <v>135</v>
      </c>
      <c r="B590">
        <v>2020</v>
      </c>
      <c r="C590">
        <v>-1.8160662203076958</v>
      </c>
      <c r="D590">
        <v>0.43879819946851784</v>
      </c>
      <c r="E590">
        <v>-96.5</v>
      </c>
      <c r="F590">
        <v>-269.93</v>
      </c>
      <c r="G590">
        <v>336.72</v>
      </c>
      <c r="H590">
        <v>0</v>
      </c>
      <c r="I590">
        <v>4.1999999999999997E-3</v>
      </c>
      <c r="J590">
        <v>-1.7444908436827739E-2</v>
      </c>
      <c r="K590">
        <v>-4.87969340347452E-2</v>
      </c>
      <c r="L590">
        <v>6.0870979988068771E-2</v>
      </c>
      <c r="M590">
        <v>0</v>
      </c>
      <c r="N590">
        <v>0</v>
      </c>
      <c r="O590">
        <v>0</v>
      </c>
      <c r="P590">
        <v>-7.3268615434676505E-5</v>
      </c>
      <c r="Q590">
        <v>-2.0494712294592983E-4</v>
      </c>
      <c r="R590">
        <v>2.5565811594988882E-4</v>
      </c>
    </row>
    <row r="591" spans="1:18">
      <c r="A591" t="s">
        <v>135</v>
      </c>
      <c r="B591">
        <v>2021</v>
      </c>
      <c r="C591">
        <v>-1.4029975660071483</v>
      </c>
      <c r="D591">
        <v>0.52581686782915538</v>
      </c>
      <c r="E591">
        <v>-956.35</v>
      </c>
      <c r="F591">
        <v>340.25</v>
      </c>
      <c r="G591">
        <v>680.71</v>
      </c>
      <c r="H591">
        <v>1.8E-3</v>
      </c>
      <c r="I591">
        <v>2.5000000000000001E-3</v>
      </c>
      <c r="J591">
        <v>-0.13979538288601054</v>
      </c>
      <c r="K591">
        <v>4.9736371649464192E-2</v>
      </c>
      <c r="L591">
        <v>9.9503440251305725E-2</v>
      </c>
      <c r="M591">
        <v>-2.5163168919481899E-4</v>
      </c>
      <c r="N591">
        <v>8.9525468969035542E-5</v>
      </c>
      <c r="O591">
        <v>1.7910619245235031E-4</v>
      </c>
      <c r="P591">
        <v>-3.4948845721502638E-4</v>
      </c>
      <c r="Q591">
        <v>1.2434092912366049E-4</v>
      </c>
      <c r="R591">
        <v>2.4875860062826432E-4</v>
      </c>
    </row>
    <row r="592" spans="1:18">
      <c r="A592" t="s">
        <v>136</v>
      </c>
      <c r="B592">
        <v>2017</v>
      </c>
      <c r="C592">
        <v>-0.74485683522805379</v>
      </c>
      <c r="D592">
        <v>0.64103501969923393</v>
      </c>
      <c r="E592">
        <v>204.46</v>
      </c>
      <c r="F592">
        <v>-189.12</v>
      </c>
      <c r="G592">
        <v>37.4</v>
      </c>
      <c r="H592">
        <v>1.0000000000000001E-5</v>
      </c>
      <c r="I592">
        <v>7.7000000000000001E-5</v>
      </c>
      <c r="J592">
        <v>0.21367137288507562</v>
      </c>
      <c r="K592">
        <v>-0.19764027213159299</v>
      </c>
      <c r="L592">
        <v>3.9084952293367052E-2</v>
      </c>
      <c r="M592">
        <v>2.1367137288507566E-6</v>
      </c>
      <c r="N592">
        <v>-1.97640272131593E-6</v>
      </c>
      <c r="O592">
        <v>3.9084952293367054E-7</v>
      </c>
      <c r="P592">
        <v>1.6452695712150823E-5</v>
      </c>
      <c r="Q592">
        <v>-1.521830095413266E-5</v>
      </c>
      <c r="R592">
        <v>3.009541326589263E-6</v>
      </c>
    </row>
    <row r="593" spans="1:18">
      <c r="A593" t="s">
        <v>136</v>
      </c>
      <c r="B593">
        <v>2018</v>
      </c>
      <c r="C593">
        <v>-0.44320660528636924</v>
      </c>
      <c r="D593">
        <v>0.6780606514414077</v>
      </c>
      <c r="E593">
        <v>-184.73</v>
      </c>
      <c r="F593">
        <v>-4.3099999999999996</v>
      </c>
      <c r="G593">
        <v>138.44999999999999</v>
      </c>
      <c r="H593">
        <v>1.0000000000000001E-5</v>
      </c>
      <c r="I593">
        <v>7.7000000000000001E-5</v>
      </c>
      <c r="J593">
        <v>-0.17290340696368398</v>
      </c>
      <c r="K593">
        <v>-4.0340696368401339E-3</v>
      </c>
      <c r="L593">
        <v>0.12958629726694121</v>
      </c>
      <c r="M593">
        <v>-1.7290340696368399E-6</v>
      </c>
      <c r="N593">
        <v>-4.0340696368401343E-8</v>
      </c>
      <c r="O593">
        <v>1.2958629726694121E-6</v>
      </c>
      <c r="P593">
        <v>-1.3313562336203667E-5</v>
      </c>
      <c r="Q593">
        <v>-3.1062336203669032E-7</v>
      </c>
      <c r="R593">
        <v>9.9781448895544728E-6</v>
      </c>
    </row>
    <row r="594" spans="1:18">
      <c r="A594" t="s">
        <v>136</v>
      </c>
      <c r="B594">
        <v>2019</v>
      </c>
      <c r="C594">
        <v>-0.42190877218802747</v>
      </c>
      <c r="D594">
        <v>0.68122530010946802</v>
      </c>
      <c r="E594">
        <v>-20.079999999999998</v>
      </c>
      <c r="F594">
        <v>21.29</v>
      </c>
      <c r="G594">
        <v>10.36</v>
      </c>
      <c r="H594">
        <v>1.0000000000000001E-5</v>
      </c>
      <c r="I594">
        <v>7.7000000000000001E-5</v>
      </c>
      <c r="J594">
        <v>-1.8628124014323615E-2</v>
      </c>
      <c r="K594">
        <v>1.9750635471362042E-2</v>
      </c>
      <c r="L594">
        <v>9.6109245412546139E-3</v>
      </c>
      <c r="M594">
        <v>-1.8628124014323615E-7</v>
      </c>
      <c r="N594">
        <v>1.9750635471362045E-7</v>
      </c>
      <c r="O594">
        <v>9.6109245412546145E-8</v>
      </c>
      <c r="P594">
        <v>-1.4343655491029184E-6</v>
      </c>
      <c r="Q594">
        <v>1.5207989312948773E-6</v>
      </c>
      <c r="R594">
        <v>7.4004118967660529E-7</v>
      </c>
    </row>
    <row r="595" spans="1:18">
      <c r="A595" t="s">
        <v>136</v>
      </c>
      <c r="B595">
        <v>2020</v>
      </c>
      <c r="C595">
        <v>-0.70077260905041994</v>
      </c>
      <c r="D595">
        <v>0.63281199991465209</v>
      </c>
      <c r="E595">
        <v>-45.72</v>
      </c>
      <c r="F595">
        <v>-55.96</v>
      </c>
      <c r="G595">
        <v>94.7</v>
      </c>
      <c r="H595">
        <v>4.0000000000000003E-5</v>
      </c>
      <c r="I595">
        <v>0</v>
      </c>
      <c r="J595">
        <v>-4.8776324492713422E-2</v>
      </c>
      <c r="K595">
        <v>-5.9700855612691228E-2</v>
      </c>
      <c r="L595">
        <v>0.10103057588495103</v>
      </c>
      <c r="M595">
        <v>-1.9510529797085372E-6</v>
      </c>
      <c r="N595">
        <v>-2.3880342245076492E-6</v>
      </c>
      <c r="O595">
        <v>4.0412230353980413E-6</v>
      </c>
      <c r="P595">
        <v>0</v>
      </c>
      <c r="Q595">
        <v>0</v>
      </c>
      <c r="R595">
        <v>0</v>
      </c>
    </row>
    <row r="596" spans="1:18">
      <c r="A596" t="s">
        <v>136</v>
      </c>
      <c r="B596">
        <v>2021</v>
      </c>
      <c r="C596">
        <v>-0.93271890421731651</v>
      </c>
      <c r="D596">
        <v>0.59404875474455521</v>
      </c>
      <c r="E596">
        <v>-22.92</v>
      </c>
      <c r="F596">
        <v>-43.28</v>
      </c>
      <c r="G596">
        <v>66.86</v>
      </c>
      <c r="H596">
        <v>4.0000000000000003E-5</v>
      </c>
      <c r="I596">
        <v>0</v>
      </c>
      <c r="J596">
        <v>-2.3261006353136989E-2</v>
      </c>
      <c r="K596">
        <v>-4.3923924736639128E-2</v>
      </c>
      <c r="L596">
        <v>6.7854750644447598E-2</v>
      </c>
      <c r="M596">
        <v>-9.304402541254796E-7</v>
      </c>
      <c r="N596">
        <v>-1.7569569894655653E-6</v>
      </c>
      <c r="O596">
        <v>2.714190025777904E-6</v>
      </c>
      <c r="P596">
        <v>0</v>
      </c>
      <c r="Q596">
        <v>0</v>
      </c>
      <c r="R596">
        <v>0</v>
      </c>
    </row>
    <row r="597" spans="1:18">
      <c r="A597" t="s">
        <v>137</v>
      </c>
      <c r="B597">
        <v>2017</v>
      </c>
      <c r="C597">
        <v>-0.49689589660155586</v>
      </c>
      <c r="D597">
        <v>0.68635359890461489</v>
      </c>
      <c r="E597">
        <v>-386.11</v>
      </c>
      <c r="F597">
        <v>-1032.53</v>
      </c>
      <c r="G597">
        <v>1390.48</v>
      </c>
      <c r="H597">
        <v>0.4501</v>
      </c>
      <c r="I597">
        <v>0</v>
      </c>
      <c r="J597">
        <v>-3.9219131858599439E-2</v>
      </c>
      <c r="K597">
        <v>-0.10487925777099708</v>
      </c>
      <c r="L597">
        <v>0.14123803700174911</v>
      </c>
      <c r="M597">
        <v>-1.7652531249555608E-2</v>
      </c>
      <c r="N597">
        <v>-4.7206153922725785E-2</v>
      </c>
      <c r="O597">
        <v>6.3571240454487268E-2</v>
      </c>
      <c r="P597">
        <v>0</v>
      </c>
      <c r="Q597">
        <v>0</v>
      </c>
      <c r="R597">
        <v>0</v>
      </c>
    </row>
    <row r="598" spans="1:18">
      <c r="A598" t="s">
        <v>137</v>
      </c>
      <c r="B598">
        <v>2018</v>
      </c>
      <c r="C598">
        <v>-0.86296681543914222</v>
      </c>
      <c r="D598">
        <v>0.62696791944186925</v>
      </c>
      <c r="E598">
        <v>151.44999999999999</v>
      </c>
      <c r="F598">
        <v>-248.95</v>
      </c>
      <c r="G598">
        <v>-553.44000000000005</v>
      </c>
      <c r="H598">
        <v>0.45</v>
      </c>
      <c r="I598">
        <v>0</v>
      </c>
      <c r="J598">
        <v>1.6175923987576207E-2</v>
      </c>
      <c r="K598">
        <v>-2.6589608958118828E-2</v>
      </c>
      <c r="L598">
        <v>-5.9111280103560093E-2</v>
      </c>
      <c r="M598">
        <v>7.2791657944092933E-3</v>
      </c>
      <c r="N598">
        <v>-1.1965324031153473E-2</v>
      </c>
      <c r="O598">
        <v>-2.6600076046602042E-2</v>
      </c>
      <c r="P598">
        <v>0</v>
      </c>
      <c r="Q598">
        <v>0</v>
      </c>
      <c r="R598">
        <v>0</v>
      </c>
    </row>
    <row r="599" spans="1:18">
      <c r="A599" t="s">
        <v>137</v>
      </c>
      <c r="B599">
        <v>2019</v>
      </c>
      <c r="C599">
        <v>-0.79493721833027398</v>
      </c>
      <c r="D599">
        <v>0.65345437300514553</v>
      </c>
      <c r="E599">
        <v>169.43</v>
      </c>
      <c r="F599">
        <v>-592.15</v>
      </c>
      <c r="G599">
        <v>372.42</v>
      </c>
      <c r="H599">
        <v>0.45</v>
      </c>
      <c r="I599">
        <v>0</v>
      </c>
      <c r="J599">
        <v>1.5046775285029956E-2</v>
      </c>
      <c r="K599">
        <v>-5.2587782476718928E-2</v>
      </c>
      <c r="L599">
        <v>3.3073954150096535E-2</v>
      </c>
      <c r="M599">
        <v>6.7710488782634802E-3</v>
      </c>
      <c r="N599">
        <v>-2.366450211452352E-2</v>
      </c>
      <c r="O599">
        <v>1.4883279367543441E-2</v>
      </c>
      <c r="P599">
        <v>0</v>
      </c>
      <c r="Q599">
        <v>0</v>
      </c>
      <c r="R599">
        <v>0</v>
      </c>
    </row>
    <row r="600" spans="1:18">
      <c r="A600" t="s">
        <v>137</v>
      </c>
      <c r="B600">
        <v>2020</v>
      </c>
      <c r="C600">
        <v>-0.92250152871056523</v>
      </c>
      <c r="D600">
        <v>0.62665666584633062</v>
      </c>
      <c r="E600">
        <v>181.35</v>
      </c>
      <c r="F600">
        <v>-104.19</v>
      </c>
      <c r="G600">
        <v>23.12</v>
      </c>
      <c r="H600">
        <v>0.45</v>
      </c>
      <c r="I600">
        <v>0</v>
      </c>
      <c r="J600">
        <v>1.5232212496713755E-2</v>
      </c>
      <c r="K600">
        <v>-8.7512777503865793E-3</v>
      </c>
      <c r="L600">
        <v>1.9419286072457792E-3</v>
      </c>
      <c r="M600">
        <v>6.8544956235211899E-3</v>
      </c>
      <c r="N600">
        <v>-3.9380749876739606E-3</v>
      </c>
      <c r="O600">
        <v>8.7386787326060062E-4</v>
      </c>
      <c r="P600">
        <v>0</v>
      </c>
      <c r="Q600">
        <v>0</v>
      </c>
      <c r="R600">
        <v>0</v>
      </c>
    </row>
    <row r="601" spans="1:18">
      <c r="A601" t="s">
        <v>137</v>
      </c>
      <c r="B601">
        <v>2021</v>
      </c>
      <c r="C601">
        <v>-0.91149544110760583</v>
      </c>
      <c r="D601">
        <v>0.61502918747233781</v>
      </c>
      <c r="E601">
        <v>345.5</v>
      </c>
      <c r="F601">
        <v>-206.54</v>
      </c>
      <c r="G601">
        <v>-127.08</v>
      </c>
      <c r="H601">
        <v>0.44990000000000002</v>
      </c>
      <c r="I601">
        <v>0</v>
      </c>
      <c r="J601">
        <v>2.8370436609112863E-2</v>
      </c>
      <c r="K601">
        <v>-1.6959855216342027E-2</v>
      </c>
      <c r="L601">
        <v>-1.0435065366964001E-2</v>
      </c>
      <c r="M601">
        <v>1.2763859430439877E-2</v>
      </c>
      <c r="N601">
        <v>-7.6302388618322784E-3</v>
      </c>
      <c r="O601">
        <v>-4.694735908597104E-3</v>
      </c>
      <c r="P601">
        <v>0</v>
      </c>
      <c r="Q601">
        <v>0</v>
      </c>
      <c r="R601">
        <v>0</v>
      </c>
    </row>
    <row r="602" spans="1:18">
      <c r="A602" t="s">
        <v>138</v>
      </c>
      <c r="B602">
        <v>2017</v>
      </c>
      <c r="C602">
        <v>-0.1468768074449209</v>
      </c>
      <c r="D602">
        <v>0.76289610174573408</v>
      </c>
      <c r="E602">
        <v>-8.4</v>
      </c>
      <c r="F602">
        <v>10.74</v>
      </c>
      <c r="G602">
        <v>55.3</v>
      </c>
      <c r="H602">
        <v>8.0000000000000004E-4</v>
      </c>
      <c r="I602">
        <v>0.21672</v>
      </c>
      <c r="J602">
        <v>-3.759078846678809E-3</v>
      </c>
      <c r="K602">
        <v>4.8062508111107625E-3</v>
      </c>
      <c r="L602">
        <v>2.4747269073968823E-2</v>
      </c>
      <c r="M602">
        <v>-3.0072630773430473E-6</v>
      </c>
      <c r="N602">
        <v>3.8450006488886098E-6</v>
      </c>
      <c r="O602">
        <v>1.979781525917506E-5</v>
      </c>
      <c r="P602">
        <v>-8.1466756765223147E-4</v>
      </c>
      <c r="Q602">
        <v>1.0416106757839244E-3</v>
      </c>
      <c r="R602">
        <v>5.3632281537105229E-3</v>
      </c>
    </row>
    <row r="603" spans="1:18">
      <c r="A603" t="s">
        <v>138</v>
      </c>
      <c r="B603">
        <v>2018</v>
      </c>
      <c r="C603">
        <v>-0.64718431262547804</v>
      </c>
      <c r="D603">
        <v>0.67919939677173446</v>
      </c>
      <c r="E603">
        <v>-43.59</v>
      </c>
      <c r="F603">
        <v>-41.03</v>
      </c>
      <c r="G603">
        <v>155.66</v>
      </c>
      <c r="H603">
        <v>1.2999999999999999E-3</v>
      </c>
      <c r="I603">
        <v>3.5500000000000002E-3</v>
      </c>
      <c r="J603">
        <v>-1.8059560505120816E-2</v>
      </c>
      <c r="K603">
        <v>-1.6998939378873753E-2</v>
      </c>
      <c r="L603">
        <v>6.4490736137350443E-2</v>
      </c>
      <c r="M603">
        <v>-2.3477428656657058E-5</v>
      </c>
      <c r="N603">
        <v>-2.2098621192535877E-5</v>
      </c>
      <c r="O603">
        <v>8.3837956978555567E-5</v>
      </c>
      <c r="P603">
        <v>-6.4111439793178895E-5</v>
      </c>
      <c r="Q603">
        <v>-6.0346234795001829E-5</v>
      </c>
      <c r="R603">
        <v>2.2894211328759409E-4</v>
      </c>
    </row>
    <row r="604" spans="1:18">
      <c r="A604" t="s">
        <v>138</v>
      </c>
      <c r="B604">
        <v>2019</v>
      </c>
      <c r="C604">
        <v>-1.2211684335239086</v>
      </c>
      <c r="D604">
        <v>0.57154783864435077</v>
      </c>
      <c r="E604">
        <v>447.93</v>
      </c>
      <c r="F604">
        <v>-128.61000000000001</v>
      </c>
      <c r="G604">
        <v>-471.08</v>
      </c>
      <c r="H604">
        <v>0.03</v>
      </c>
      <c r="I604">
        <v>9.5E-4</v>
      </c>
      <c r="J604">
        <v>0.25267807280296489</v>
      </c>
      <c r="K604">
        <v>-7.2549119155201305E-2</v>
      </c>
      <c r="L604">
        <v>-0.26573702707124042</v>
      </c>
      <c r="M604">
        <v>7.5803421840889467E-3</v>
      </c>
      <c r="N604">
        <v>-2.1764735746560393E-3</v>
      </c>
      <c r="O604">
        <v>-7.9721108121372126E-3</v>
      </c>
      <c r="P604">
        <v>2.4004416916281664E-4</v>
      </c>
      <c r="Q604">
        <v>-6.8921663197441245E-5</v>
      </c>
      <c r="R604">
        <v>-2.524501757176784E-4</v>
      </c>
    </row>
    <row r="605" spans="1:18">
      <c r="A605" t="s">
        <v>138</v>
      </c>
      <c r="B605">
        <v>2020</v>
      </c>
      <c r="C605">
        <v>-0.98979858093879391</v>
      </c>
      <c r="D605">
        <v>0.58336237174700634</v>
      </c>
      <c r="E605">
        <v>156.97</v>
      </c>
      <c r="F605">
        <v>-34.840000000000003</v>
      </c>
      <c r="G605">
        <v>-71.81</v>
      </c>
      <c r="H605">
        <v>3.5299999999999998E-2</v>
      </c>
      <c r="I605">
        <v>2.8649999999999998E-2</v>
      </c>
      <c r="J605">
        <v>8.6822091318897093E-2</v>
      </c>
      <c r="K605">
        <v>-1.9270444426007359E-2</v>
      </c>
      <c r="L605">
        <v>-3.9719018778174173E-2</v>
      </c>
      <c r="M605">
        <v>3.064819823557067E-3</v>
      </c>
      <c r="N605">
        <v>-6.8024668823805977E-4</v>
      </c>
      <c r="O605">
        <v>-1.4020813628695481E-3</v>
      </c>
      <c r="P605">
        <v>2.4874529162864016E-3</v>
      </c>
      <c r="Q605">
        <v>-5.520982328051108E-4</v>
      </c>
      <c r="R605">
        <v>-1.13794988799469E-3</v>
      </c>
    </row>
    <row r="606" spans="1:18">
      <c r="A606" t="s">
        <v>138</v>
      </c>
      <c r="B606">
        <v>2021</v>
      </c>
      <c r="C606">
        <v>-1.120930516162141</v>
      </c>
      <c r="D606">
        <v>0.56073521262924575</v>
      </c>
      <c r="E606">
        <v>20.29</v>
      </c>
      <c r="F606">
        <v>4.79</v>
      </c>
      <c r="G606">
        <v>-71.88</v>
      </c>
      <c r="H606">
        <v>2.2100000000000002E-2</v>
      </c>
      <c r="I606">
        <v>2.8649999999999998E-2</v>
      </c>
      <c r="J606">
        <v>1.1960763508176233E-2</v>
      </c>
      <c r="K606">
        <v>2.8236597932067104E-3</v>
      </c>
      <c r="L606">
        <v>-4.237258161496834E-2</v>
      </c>
      <c r="M606">
        <v>2.6433287353069476E-4</v>
      </c>
      <c r="N606">
        <v>6.2402881429868306E-5</v>
      </c>
      <c r="O606">
        <v>-9.3643405369080038E-4</v>
      </c>
      <c r="P606">
        <v>3.4267587450924905E-4</v>
      </c>
      <c r="Q606">
        <v>8.0897853075372246E-5</v>
      </c>
      <c r="R606">
        <v>-1.2139744632688428E-3</v>
      </c>
    </row>
    <row r="607" spans="1:18">
      <c r="A607" t="s">
        <v>139</v>
      </c>
      <c r="B607">
        <v>2017</v>
      </c>
      <c r="C607">
        <v>-2.9320987066213013</v>
      </c>
      <c r="D607">
        <v>0.39136592462887382</v>
      </c>
      <c r="E607">
        <v>198.63</v>
      </c>
      <c r="F607">
        <v>-66.25</v>
      </c>
      <c r="G607">
        <v>-129.97</v>
      </c>
      <c r="H607">
        <v>0.24410000000000001</v>
      </c>
      <c r="I607">
        <v>0</v>
      </c>
      <c r="J607">
        <v>0.25573909796701383</v>
      </c>
      <c r="K607">
        <v>-8.529786658769907E-2</v>
      </c>
      <c r="L607">
        <v>-0.16733832030797358</v>
      </c>
      <c r="M607">
        <v>6.2425913813748075E-2</v>
      </c>
      <c r="N607">
        <v>-2.0821209234057343E-2</v>
      </c>
      <c r="O607">
        <v>-4.0847283987176353E-2</v>
      </c>
      <c r="P607">
        <v>0</v>
      </c>
      <c r="Q607">
        <v>0</v>
      </c>
      <c r="R607">
        <v>0</v>
      </c>
    </row>
    <row r="608" spans="1:18">
      <c r="A608" t="s">
        <v>139</v>
      </c>
      <c r="B608">
        <v>2018</v>
      </c>
      <c r="C608">
        <v>-2.908314706758115</v>
      </c>
      <c r="D608">
        <v>0.39467073389556789</v>
      </c>
      <c r="E608">
        <v>125.2</v>
      </c>
      <c r="F608">
        <v>-35.08</v>
      </c>
      <c r="G608">
        <v>-136.08000000000001</v>
      </c>
      <c r="H608">
        <v>0.23380000000000001</v>
      </c>
      <c r="I608">
        <v>8.0000000000000004E-4</v>
      </c>
      <c r="J608">
        <v>0.16046756043167312</v>
      </c>
      <c r="K608">
        <v>-4.4961677475583807E-2</v>
      </c>
      <c r="L608">
        <v>-0.17441234523595911</v>
      </c>
      <c r="M608">
        <v>3.7517315628925178E-2</v>
      </c>
      <c r="N608">
        <v>-1.0512040193791495E-2</v>
      </c>
      <c r="O608">
        <v>-4.0777606316167239E-2</v>
      </c>
      <c r="P608">
        <v>1.283740483453385E-4</v>
      </c>
      <c r="Q608">
        <v>-3.596934198046705E-5</v>
      </c>
      <c r="R608">
        <v>-1.3952987618876729E-4</v>
      </c>
    </row>
    <row r="609" spans="1:18">
      <c r="A609" t="s">
        <v>139</v>
      </c>
      <c r="B609">
        <v>2019</v>
      </c>
      <c r="C609">
        <v>-3.0338255171117474</v>
      </c>
      <c r="D609">
        <v>0.38084086093453773</v>
      </c>
      <c r="E609">
        <v>165.92</v>
      </c>
      <c r="F609">
        <v>-41.75</v>
      </c>
      <c r="G609">
        <v>-81</v>
      </c>
      <c r="H609">
        <v>0.13769999999999999</v>
      </c>
      <c r="I609">
        <v>0</v>
      </c>
      <c r="J609">
        <v>0.18503401360544217</v>
      </c>
      <c r="K609">
        <v>-4.6559607449537188E-2</v>
      </c>
      <c r="L609">
        <v>-9.0331214452994302E-2</v>
      </c>
      <c r="M609">
        <v>2.5479183673469383E-2</v>
      </c>
      <c r="N609">
        <v>-6.4112579458012707E-3</v>
      </c>
      <c r="O609">
        <v>-1.2438608230177315E-2</v>
      </c>
      <c r="P609">
        <v>0</v>
      </c>
      <c r="Q609">
        <v>0</v>
      </c>
      <c r="R609">
        <v>0</v>
      </c>
    </row>
    <row r="610" spans="1:18">
      <c r="A610" t="s">
        <v>139</v>
      </c>
      <c r="B610">
        <v>2020</v>
      </c>
      <c r="C610">
        <v>-3.1941591606038964</v>
      </c>
      <c r="D610">
        <v>0.37356903514891865</v>
      </c>
      <c r="E610">
        <v>127.81</v>
      </c>
      <c r="F610">
        <v>-112.04</v>
      </c>
      <c r="G610">
        <v>-129.6</v>
      </c>
      <c r="H610">
        <v>0.12</v>
      </c>
      <c r="I610">
        <v>0</v>
      </c>
      <c r="J610">
        <v>0.12559081038057524</v>
      </c>
      <c r="K610">
        <v>-0.11009462792457281</v>
      </c>
      <c r="L610">
        <v>-0.12734973026619631</v>
      </c>
      <c r="M610">
        <v>1.5070897245669028E-2</v>
      </c>
      <c r="N610">
        <v>-1.3211355350948736E-2</v>
      </c>
      <c r="O610">
        <v>-1.5281967631943557E-2</v>
      </c>
      <c r="P610">
        <v>0</v>
      </c>
      <c r="Q610">
        <v>0</v>
      </c>
      <c r="R610">
        <v>0</v>
      </c>
    </row>
    <row r="611" spans="1:18">
      <c r="A611" t="s">
        <v>139</v>
      </c>
      <c r="B611">
        <v>2021</v>
      </c>
      <c r="C611">
        <v>-2.9086783592974061</v>
      </c>
      <c r="D611">
        <v>0.35844952211298003</v>
      </c>
      <c r="E611">
        <v>213</v>
      </c>
      <c r="F611">
        <v>-53.65</v>
      </c>
      <c r="G611">
        <v>-32.4</v>
      </c>
      <c r="H611">
        <v>8.9499999999999996E-2</v>
      </c>
      <c r="I611">
        <v>0</v>
      </c>
      <c r="J611">
        <v>0.18241923880648142</v>
      </c>
      <c r="K611">
        <v>-4.5947381042102012E-2</v>
      </c>
      <c r="L611">
        <v>-2.7748278579014077E-2</v>
      </c>
      <c r="M611">
        <v>1.6326521873180087E-2</v>
      </c>
      <c r="N611">
        <v>-4.1122906032681301E-3</v>
      </c>
      <c r="O611">
        <v>-2.4834709328217597E-3</v>
      </c>
      <c r="P611">
        <v>0</v>
      </c>
      <c r="Q611">
        <v>0</v>
      </c>
      <c r="R611">
        <v>0</v>
      </c>
    </row>
    <row r="612" spans="1:18">
      <c r="A612" t="s">
        <v>140</v>
      </c>
      <c r="B612">
        <v>2017</v>
      </c>
      <c r="C612">
        <v>0.43757757705637745</v>
      </c>
      <c r="D612">
        <v>0.84267338210904097</v>
      </c>
      <c r="E612">
        <v>-60.41</v>
      </c>
      <c r="F612">
        <v>0.68</v>
      </c>
      <c r="G612">
        <v>7.89</v>
      </c>
      <c r="H612">
        <v>0.1032</v>
      </c>
      <c r="I612">
        <v>1.023E-2</v>
      </c>
      <c r="J612">
        <v>-3.3508800150875574E-2</v>
      </c>
      <c r="K612">
        <v>3.7718894392642599E-4</v>
      </c>
      <c r="L612">
        <v>4.3765011287933836E-3</v>
      </c>
      <c r="M612">
        <v>-3.4581081755703591E-3</v>
      </c>
      <c r="N612">
        <v>3.8925899013207165E-5</v>
      </c>
      <c r="O612">
        <v>4.5165491649147717E-4</v>
      </c>
      <c r="P612">
        <v>-3.4279502554345712E-4</v>
      </c>
      <c r="Q612">
        <v>3.8586428963673374E-6</v>
      </c>
      <c r="R612">
        <v>4.477160654755631E-5</v>
      </c>
    </row>
    <row r="613" spans="1:18">
      <c r="A613" t="s">
        <v>140</v>
      </c>
      <c r="B613">
        <v>2018</v>
      </c>
      <c r="C613">
        <v>0.5211842971365247</v>
      </c>
      <c r="D613">
        <v>0.85365903673134591</v>
      </c>
      <c r="E613">
        <v>35.65</v>
      </c>
      <c r="F613">
        <v>21</v>
      </c>
      <c r="G613">
        <v>-27.32</v>
      </c>
      <c r="H613">
        <v>9.01E-2</v>
      </c>
      <c r="I613">
        <v>1.023E-2</v>
      </c>
      <c r="J613">
        <v>1.8275959295619409E-2</v>
      </c>
      <c r="K613">
        <v>1.0765642221823494E-2</v>
      </c>
      <c r="L613">
        <v>-1.4005587880962756E-2</v>
      </c>
      <c r="M613">
        <v>1.6466639325353088E-3</v>
      </c>
      <c r="N613">
        <v>9.699843641862968E-4</v>
      </c>
      <c r="O613">
        <v>-1.2619034680747443E-3</v>
      </c>
      <c r="P613">
        <v>1.8696306359418654E-4</v>
      </c>
      <c r="Q613">
        <v>1.1013251992925434E-4</v>
      </c>
      <c r="R613">
        <v>-1.4327716402224899E-4</v>
      </c>
    </row>
    <row r="614" spans="1:18">
      <c r="A614" t="s">
        <v>140</v>
      </c>
      <c r="B614">
        <v>2019</v>
      </c>
      <c r="C614">
        <v>0.49706134796425611</v>
      </c>
      <c r="D614">
        <v>0.84827262044653351</v>
      </c>
      <c r="E614">
        <v>-101.71</v>
      </c>
      <c r="F614">
        <v>10.94</v>
      </c>
      <c r="G614">
        <v>121.72</v>
      </c>
      <c r="H614">
        <v>1.77E-2</v>
      </c>
      <c r="I614">
        <v>1.023E-2</v>
      </c>
      <c r="J614">
        <v>-5.3119206162684424E-2</v>
      </c>
      <c r="K614">
        <v>5.713539626583105E-3</v>
      </c>
      <c r="L614">
        <v>6.3569656613134878E-2</v>
      </c>
      <c r="M614">
        <v>-9.4020994907951432E-4</v>
      </c>
      <c r="N614">
        <v>1.0112965139052096E-4</v>
      </c>
      <c r="O614">
        <v>1.1251829220524873E-3</v>
      </c>
      <c r="P614">
        <v>-5.4340947904426163E-4</v>
      </c>
      <c r="Q614">
        <v>5.8449510379945164E-5</v>
      </c>
      <c r="R614">
        <v>6.5031758715236978E-4</v>
      </c>
    </row>
    <row r="615" spans="1:18">
      <c r="A615" t="s">
        <v>140</v>
      </c>
      <c r="B615">
        <v>2020</v>
      </c>
      <c r="C615">
        <v>0.32724363353526353</v>
      </c>
      <c r="D615">
        <v>0.8155169242673127</v>
      </c>
      <c r="E615">
        <v>183.51</v>
      </c>
      <c r="F615">
        <v>21.96</v>
      </c>
      <c r="G615">
        <v>-268.87</v>
      </c>
      <c r="H615">
        <v>1.7600000000000001E-2</v>
      </c>
      <c r="I615">
        <v>2.707E-2</v>
      </c>
      <c r="J615">
        <v>0.11638644536477392</v>
      </c>
      <c r="K615">
        <v>1.3927558935264758E-2</v>
      </c>
      <c r="L615">
        <v>-0.17052380559766098</v>
      </c>
      <c r="M615">
        <v>2.0484014384200212E-3</v>
      </c>
      <c r="N615">
        <v>2.4512503726065974E-4</v>
      </c>
      <c r="O615">
        <v>-3.0012189785188332E-3</v>
      </c>
      <c r="P615">
        <v>3.1505810760244302E-3</v>
      </c>
      <c r="Q615">
        <v>3.77019020377617E-4</v>
      </c>
      <c r="R615">
        <v>-4.616079417528683E-3</v>
      </c>
    </row>
    <row r="616" spans="1:18">
      <c r="A616" t="s">
        <v>140</v>
      </c>
      <c r="B616">
        <v>2021</v>
      </c>
      <c r="C616">
        <v>9.3811689641852672E-2</v>
      </c>
      <c r="D616">
        <v>0.77997720279824478</v>
      </c>
      <c r="E616">
        <v>80.67</v>
      </c>
      <c r="F616">
        <v>42.02</v>
      </c>
      <c r="G616">
        <v>-112.28</v>
      </c>
      <c r="H616">
        <v>1.83E-2</v>
      </c>
      <c r="I616">
        <v>2.6190000000000001E-2</v>
      </c>
      <c r="J616">
        <v>6.0099681882184661E-2</v>
      </c>
      <c r="K616">
        <v>3.1305177050816903E-2</v>
      </c>
      <c r="L616">
        <v>-8.3649340296661628E-2</v>
      </c>
      <c r="M616">
        <v>1.0998241784439793E-3</v>
      </c>
      <c r="N616">
        <v>5.7288474002994928E-4</v>
      </c>
      <c r="O616">
        <v>-1.5307829274289078E-3</v>
      </c>
      <c r="P616">
        <v>1.5740106684944163E-3</v>
      </c>
      <c r="Q616">
        <v>8.1988258696089468E-4</v>
      </c>
      <c r="R616">
        <v>-2.1907762223695683E-3</v>
      </c>
    </row>
    <row r="617" spans="1:18">
      <c r="A617" t="s">
        <v>141</v>
      </c>
      <c r="B617">
        <v>2017</v>
      </c>
      <c r="C617">
        <v>-2.1588419182173522</v>
      </c>
      <c r="D617">
        <v>0.39691310479294811</v>
      </c>
      <c r="E617">
        <v>-43.55</v>
      </c>
      <c r="F617">
        <v>-50.45</v>
      </c>
      <c r="G617">
        <v>191.07</v>
      </c>
      <c r="H617">
        <v>5.3900000000000003E-2</v>
      </c>
      <c r="I617">
        <v>9.1E-4</v>
      </c>
      <c r="J617">
        <v>-1.6204711459391476E-2</v>
      </c>
      <c r="K617">
        <v>-1.8772162873164182E-2</v>
      </c>
      <c r="L617">
        <v>7.1096078497036266E-2</v>
      </c>
      <c r="M617">
        <v>-8.7343394766120066E-4</v>
      </c>
      <c r="N617">
        <v>-1.0118195788635495E-3</v>
      </c>
      <c r="O617">
        <v>3.8320786309902549E-3</v>
      </c>
      <c r="P617">
        <v>-1.4746287428046244E-5</v>
      </c>
      <c r="Q617">
        <v>-1.7082668214579406E-5</v>
      </c>
      <c r="R617">
        <v>6.4697431432303004E-5</v>
      </c>
    </row>
    <row r="618" spans="1:18">
      <c r="A618" t="s">
        <v>141</v>
      </c>
      <c r="B618">
        <v>2018</v>
      </c>
      <c r="C618">
        <v>-2.1410948858144376</v>
      </c>
      <c r="D618">
        <v>0.37237028118851756</v>
      </c>
      <c r="E618">
        <v>216.87</v>
      </c>
      <c r="F618">
        <v>-92.86</v>
      </c>
      <c r="G618">
        <v>-279.39999999999998</v>
      </c>
      <c r="H618">
        <v>1.9300000000000001E-2</v>
      </c>
      <c r="I618">
        <v>1.97E-3</v>
      </c>
      <c r="J618">
        <v>9.0976210352335135E-2</v>
      </c>
      <c r="K618">
        <v>-3.8954446872863188E-2</v>
      </c>
      <c r="L618">
        <v>-0.11720732776521618</v>
      </c>
      <c r="M618">
        <v>1.7558408598000682E-3</v>
      </c>
      <c r="N618">
        <v>-7.5182082464625953E-4</v>
      </c>
      <c r="O618">
        <v>-2.2621014258686727E-3</v>
      </c>
      <c r="P618">
        <v>1.7922313439410021E-4</v>
      </c>
      <c r="Q618">
        <v>-7.674026033954048E-5</v>
      </c>
      <c r="R618">
        <v>-2.3089843569747587E-4</v>
      </c>
    </row>
    <row r="619" spans="1:18">
      <c r="A619" t="s">
        <v>141</v>
      </c>
      <c r="B619">
        <v>2019</v>
      </c>
      <c r="C619">
        <v>-2.4913167027538381</v>
      </c>
      <c r="D619">
        <v>0.32554084074205919</v>
      </c>
      <c r="E619">
        <v>370.83</v>
      </c>
      <c r="F619">
        <v>-215.27</v>
      </c>
      <c r="G619">
        <v>-152.29</v>
      </c>
      <c r="H619">
        <v>1.78E-2</v>
      </c>
      <c r="I619">
        <v>2.1099999999999999E-3</v>
      </c>
      <c r="J619">
        <v>0.16709849812772898</v>
      </c>
      <c r="K619">
        <v>-9.7002113345619881E-2</v>
      </c>
      <c r="L619">
        <v>-6.8622900735840806E-2</v>
      </c>
      <c r="M619">
        <v>2.9743532666735759E-3</v>
      </c>
      <c r="N619">
        <v>-1.7266376175520339E-3</v>
      </c>
      <c r="O619">
        <v>-1.2214876330979662E-3</v>
      </c>
      <c r="P619">
        <v>3.5257783104950815E-4</v>
      </c>
      <c r="Q619">
        <v>-2.0467445915925794E-4</v>
      </c>
      <c r="R619">
        <v>-1.4479432055262409E-4</v>
      </c>
    </row>
    <row r="620" spans="1:18">
      <c r="A620" t="s">
        <v>141</v>
      </c>
      <c r="B620">
        <v>2020</v>
      </c>
      <c r="C620">
        <v>-2.3364502030672125</v>
      </c>
      <c r="D620">
        <v>0.35038106871279634</v>
      </c>
      <c r="E620">
        <v>200.79</v>
      </c>
      <c r="F620">
        <v>-241.04</v>
      </c>
      <c r="G620">
        <v>32.090000000000003</v>
      </c>
      <c r="H620">
        <v>1.8599999999999998E-2</v>
      </c>
      <c r="I620">
        <v>2.1099999999999999E-3</v>
      </c>
      <c r="J620">
        <v>8.6359804562502154E-2</v>
      </c>
      <c r="K620">
        <v>-0.10367133468671506</v>
      </c>
      <c r="L620">
        <v>1.3801913085366276E-2</v>
      </c>
      <c r="M620">
        <v>1.60629236486254E-3</v>
      </c>
      <c r="N620">
        <v>-1.9282868251729E-3</v>
      </c>
      <c r="O620">
        <v>2.5671558338781269E-4</v>
      </c>
      <c r="P620">
        <v>1.8221918762687954E-4</v>
      </c>
      <c r="Q620">
        <v>-2.1874651618896876E-4</v>
      </c>
      <c r="R620">
        <v>2.9122036610122841E-5</v>
      </c>
    </row>
    <row r="621" spans="1:18">
      <c r="A621" t="s">
        <v>141</v>
      </c>
      <c r="B621">
        <v>2021</v>
      </c>
      <c r="C621">
        <v>-2.2819568603890308</v>
      </c>
      <c r="D621">
        <v>0.36517114058103506</v>
      </c>
      <c r="E621">
        <v>57.46</v>
      </c>
      <c r="F621">
        <v>-140.53</v>
      </c>
      <c r="G621">
        <v>106.23</v>
      </c>
      <c r="H621">
        <v>1.11E-2</v>
      </c>
      <c r="I621">
        <v>1.42E-3</v>
      </c>
      <c r="J621">
        <v>2.2739594834716468E-2</v>
      </c>
      <c r="K621">
        <v>-5.5614257955494351E-2</v>
      </c>
      <c r="L621">
        <v>4.2040152441558135E-2</v>
      </c>
      <c r="M621">
        <v>2.524095026653528E-4</v>
      </c>
      <c r="N621">
        <v>-6.1731826330598731E-4</v>
      </c>
      <c r="O621">
        <v>4.6664569210129529E-4</v>
      </c>
      <c r="P621">
        <v>3.2290224665297384E-5</v>
      </c>
      <c r="Q621">
        <v>-7.897224629680198E-5</v>
      </c>
      <c r="R621">
        <v>5.9697016467012556E-5</v>
      </c>
    </row>
    <row r="622" spans="1:18">
      <c r="A622" t="s">
        <v>142</v>
      </c>
      <c r="B622">
        <v>2017</v>
      </c>
      <c r="C622">
        <v>-2.5467344373896212</v>
      </c>
      <c r="D622">
        <v>0.3843319022833479</v>
      </c>
      <c r="E622">
        <v>29.39</v>
      </c>
      <c r="F622">
        <v>15.16</v>
      </c>
      <c r="G622">
        <v>-54.15</v>
      </c>
      <c r="H622">
        <v>7.6E-3</v>
      </c>
      <c r="I622">
        <v>5.2300000000000003E-3</v>
      </c>
      <c r="J622">
        <v>0.1116598913415144</v>
      </c>
      <c r="K622">
        <v>5.759659587401695E-2</v>
      </c>
      <c r="L622">
        <v>-0.20572926560541013</v>
      </c>
      <c r="M622">
        <v>8.4861517419550941E-4</v>
      </c>
      <c r="N622">
        <v>4.3773412864252882E-4</v>
      </c>
      <c r="O622">
        <v>-1.5635424186011171E-3</v>
      </c>
      <c r="P622">
        <v>5.8398123171612038E-4</v>
      </c>
      <c r="Q622">
        <v>3.0123019642110864E-4</v>
      </c>
      <c r="R622">
        <v>-1.075964059116295E-3</v>
      </c>
    </row>
    <row r="623" spans="1:18">
      <c r="A623" t="s">
        <v>142</v>
      </c>
      <c r="B623">
        <v>2018</v>
      </c>
      <c r="C623">
        <v>-1.8086005876419342</v>
      </c>
      <c r="D623">
        <v>0.45994408201304754</v>
      </c>
      <c r="E623">
        <v>13.22</v>
      </c>
      <c r="F623">
        <v>-15.03</v>
      </c>
      <c r="G623">
        <v>5.39</v>
      </c>
      <c r="H623">
        <v>5.0000000000000001E-3</v>
      </c>
      <c r="I623">
        <v>0</v>
      </c>
      <c r="J623">
        <v>4.9282385834109974E-2</v>
      </c>
      <c r="K623">
        <v>-5.6029822926374651E-2</v>
      </c>
      <c r="L623">
        <v>2.0093196644920781E-2</v>
      </c>
      <c r="M623">
        <v>2.4641192917054989E-4</v>
      </c>
      <c r="N623">
        <v>-2.8014911463187327E-4</v>
      </c>
      <c r="O623">
        <v>1.004659832246039E-4</v>
      </c>
      <c r="P623">
        <v>0</v>
      </c>
      <c r="Q623">
        <v>0</v>
      </c>
      <c r="R623">
        <v>0</v>
      </c>
    </row>
    <row r="624" spans="1:18">
      <c r="A624" t="s">
        <v>142</v>
      </c>
      <c r="B624">
        <v>2019</v>
      </c>
      <c r="C624">
        <v>-0.97508812964283276</v>
      </c>
      <c r="D624">
        <v>0.6087128399746996</v>
      </c>
      <c r="E624">
        <v>-43.04</v>
      </c>
      <c r="F624">
        <v>-3.4</v>
      </c>
      <c r="G624">
        <v>34.28</v>
      </c>
      <c r="H624">
        <v>5.0000000000000001E-3</v>
      </c>
      <c r="I624">
        <v>0</v>
      </c>
      <c r="J624">
        <v>-0.1134303183639047</v>
      </c>
      <c r="K624">
        <v>-8.9605734767025085E-3</v>
      </c>
      <c r="L624">
        <v>9.0343664347459413E-2</v>
      </c>
      <c r="M624">
        <v>-5.6715159181952351E-4</v>
      </c>
      <c r="N624">
        <v>-4.4802867383512545E-5</v>
      </c>
      <c r="O624">
        <v>4.5171832173729706E-4</v>
      </c>
      <c r="P624">
        <v>0</v>
      </c>
      <c r="Q624">
        <v>0</v>
      </c>
      <c r="R624">
        <v>0</v>
      </c>
    </row>
    <row r="625" spans="1:18">
      <c r="A625" t="s">
        <v>142</v>
      </c>
      <c r="B625">
        <v>2020</v>
      </c>
      <c r="C625">
        <v>-1.1680617941199334</v>
      </c>
      <c r="D625">
        <v>0.57017468376215474</v>
      </c>
      <c r="E625">
        <v>28.51</v>
      </c>
      <c r="F625">
        <v>-4.04</v>
      </c>
      <c r="G625">
        <v>-8.9499999999999993</v>
      </c>
      <c r="H625">
        <v>0</v>
      </c>
      <c r="I625">
        <v>1.4500000000000001E-2</v>
      </c>
      <c r="J625">
        <v>8.1777242348621756E-2</v>
      </c>
      <c r="K625">
        <v>-1.1588216734073373E-2</v>
      </c>
      <c r="L625">
        <v>-2.5671915784642743E-2</v>
      </c>
      <c r="M625">
        <v>0</v>
      </c>
      <c r="N625">
        <v>0</v>
      </c>
      <c r="O625">
        <v>0</v>
      </c>
      <c r="P625">
        <v>1.1857700140550155E-3</v>
      </c>
      <c r="Q625">
        <v>-1.6802914264406392E-4</v>
      </c>
      <c r="R625">
        <v>-3.722427788773198E-4</v>
      </c>
    </row>
    <row r="626" spans="1:18">
      <c r="A626" t="s">
        <v>142</v>
      </c>
      <c r="B626">
        <v>2021</v>
      </c>
      <c r="C626">
        <v>-1.2502180776784497</v>
      </c>
      <c r="D626">
        <v>0.56967936361415039</v>
      </c>
      <c r="E626">
        <v>3.77</v>
      </c>
      <c r="F626">
        <v>-5.19</v>
      </c>
      <c r="G626">
        <v>-7.39</v>
      </c>
      <c r="H626">
        <v>8.9999999999999998E-4</v>
      </c>
      <c r="I626">
        <v>1.4500000000000001E-2</v>
      </c>
      <c r="J626">
        <v>1.0235386745581408E-2</v>
      </c>
      <c r="K626">
        <v>-1.4090625254527192E-2</v>
      </c>
      <c r="L626">
        <v>-2.0063529986696711E-2</v>
      </c>
      <c r="M626">
        <v>9.2118480710232672E-6</v>
      </c>
      <c r="N626">
        <v>-1.2681562729074472E-5</v>
      </c>
      <c r="O626">
        <v>-1.8057176988027038E-5</v>
      </c>
      <c r="P626">
        <v>1.4841310781093042E-4</v>
      </c>
      <c r="Q626">
        <v>-2.0431406619064428E-4</v>
      </c>
      <c r="R626">
        <v>-2.9092118480710232E-4</v>
      </c>
    </row>
    <row r="627" spans="1:18">
      <c r="A627" t="s">
        <v>143</v>
      </c>
      <c r="B627">
        <v>2017</v>
      </c>
      <c r="C627">
        <v>-0.6741228305461896</v>
      </c>
      <c r="D627">
        <v>0.68163605889134526</v>
      </c>
      <c r="E627">
        <v>2766.46</v>
      </c>
      <c r="F627">
        <v>3133.95</v>
      </c>
      <c r="G627">
        <v>-11635.08</v>
      </c>
      <c r="H627">
        <v>0.29310000000000003</v>
      </c>
      <c r="I627">
        <v>2.0999999999999999E-3</v>
      </c>
      <c r="J627">
        <v>4.3546740896844446E-2</v>
      </c>
      <c r="K627">
        <v>4.9331386910949598E-2</v>
      </c>
      <c r="L627">
        <v>-0.18314734862389365</v>
      </c>
      <c r="M627">
        <v>1.2763549756865108E-2</v>
      </c>
      <c r="N627">
        <v>1.4459029503599329E-2</v>
      </c>
      <c r="O627">
        <v>-5.3680487881663234E-2</v>
      </c>
      <c r="P627">
        <v>9.144815588337333E-5</v>
      </c>
      <c r="Q627">
        <v>1.0359591251299415E-4</v>
      </c>
      <c r="R627">
        <v>-3.8460943211017664E-4</v>
      </c>
    </row>
    <row r="628" spans="1:18">
      <c r="A628" t="s">
        <v>143</v>
      </c>
      <c r="B628">
        <v>2018</v>
      </c>
      <c r="C628">
        <v>-2.0029120236220179</v>
      </c>
      <c r="D628">
        <v>0.47227619176070834</v>
      </c>
      <c r="E628">
        <v>4391.13</v>
      </c>
      <c r="F628">
        <v>-3866.6</v>
      </c>
      <c r="G628">
        <v>-3357</v>
      </c>
      <c r="H628">
        <v>0.40210000000000001</v>
      </c>
      <c r="I628">
        <v>2.5999999999999999E-3</v>
      </c>
      <c r="J628">
        <v>6.7996663291452084E-2</v>
      </c>
      <c r="K628">
        <v>-5.9874314420827572E-2</v>
      </c>
      <c r="L628">
        <v>-5.1983156652024562E-2</v>
      </c>
      <c r="M628">
        <v>2.7341458309492885E-2</v>
      </c>
      <c r="N628">
        <v>-2.4075461828614766E-2</v>
      </c>
      <c r="O628">
        <v>-2.0902427289779077E-2</v>
      </c>
      <c r="P628">
        <v>1.7679132455777541E-4</v>
      </c>
      <c r="Q628">
        <v>-1.5567321749415167E-4</v>
      </c>
      <c r="R628">
        <v>-1.3515620729526385E-4</v>
      </c>
    </row>
    <row r="629" spans="1:18">
      <c r="A629" t="s">
        <v>143</v>
      </c>
      <c r="B629">
        <v>2019</v>
      </c>
      <c r="C629">
        <v>-1.937344017133106</v>
      </c>
      <c r="D629">
        <v>0.46670219353578851</v>
      </c>
      <c r="E629">
        <v>5104.13</v>
      </c>
      <c r="F629">
        <v>-6011.44</v>
      </c>
      <c r="G629">
        <v>3116.9</v>
      </c>
      <c r="H629">
        <v>0.38979999999999998</v>
      </c>
      <c r="I629">
        <v>3.0999999999999999E-3</v>
      </c>
      <c r="J629">
        <v>5.2459139389859424E-2</v>
      </c>
      <c r="K629">
        <v>-6.1784274478466759E-2</v>
      </c>
      <c r="L629">
        <v>3.203482112803805E-2</v>
      </c>
      <c r="M629">
        <v>2.0448572534167202E-2</v>
      </c>
      <c r="N629">
        <v>-2.4083510191706341E-2</v>
      </c>
      <c r="O629">
        <v>1.2487173275709232E-2</v>
      </c>
      <c r="P629">
        <v>1.6262333210856421E-4</v>
      </c>
      <c r="Q629">
        <v>-1.9153125088324695E-4</v>
      </c>
      <c r="R629">
        <v>9.9307945496917958E-5</v>
      </c>
    </row>
    <row r="630" spans="1:18">
      <c r="A630" t="s">
        <v>143</v>
      </c>
      <c r="B630">
        <v>2020</v>
      </c>
      <c r="C630">
        <v>0.10996207417294677</v>
      </c>
      <c r="D630">
        <v>0.783730568802114</v>
      </c>
      <c r="E630">
        <v>1351.3</v>
      </c>
      <c r="F630">
        <v>-33757.29</v>
      </c>
      <c r="G630">
        <v>33330.959999999999</v>
      </c>
      <c r="H630">
        <v>0.33589999999999998</v>
      </c>
      <c r="I630">
        <v>4.5100000000000001E-3</v>
      </c>
      <c r="J630">
        <v>1.1675653743294254E-2</v>
      </c>
      <c r="K630">
        <v>-0.29167352131426749</v>
      </c>
      <c r="L630">
        <v>0.28798989705586547</v>
      </c>
      <c r="M630">
        <v>3.9218520923725393E-3</v>
      </c>
      <c r="N630">
        <v>-9.7973135809462444E-2</v>
      </c>
      <c r="O630">
        <v>9.6735806421065204E-2</v>
      </c>
      <c r="P630">
        <v>5.2657198382257088E-5</v>
      </c>
      <c r="Q630">
        <v>-1.3154475811273465E-3</v>
      </c>
      <c r="R630">
        <v>1.2988344357219533E-3</v>
      </c>
    </row>
    <row r="631" spans="1:18">
      <c r="A631" t="s">
        <v>143</v>
      </c>
      <c r="B631">
        <v>2021</v>
      </c>
      <c r="C631">
        <v>-0.87935740511440108</v>
      </c>
      <c r="D631">
        <v>0.66424391366182567</v>
      </c>
      <c r="E631">
        <v>1143.9100000000001</v>
      </c>
      <c r="F631">
        <v>6346.22</v>
      </c>
      <c r="G631">
        <v>7095.69</v>
      </c>
      <c r="H631">
        <v>0.31680000000000003</v>
      </c>
      <c r="I631">
        <v>4.8999999999999998E-3</v>
      </c>
      <c r="J631">
        <v>9.0719210122459162E-3</v>
      </c>
      <c r="K631">
        <v>5.0329489703154338E-2</v>
      </c>
      <c r="L631">
        <v>5.6273255070226867E-2</v>
      </c>
      <c r="M631">
        <v>2.8739845766795067E-3</v>
      </c>
      <c r="N631">
        <v>1.5944382337959296E-2</v>
      </c>
      <c r="O631">
        <v>1.7827367206247873E-2</v>
      </c>
      <c r="P631">
        <v>4.4452412960004985E-5</v>
      </c>
      <c r="Q631">
        <v>2.4661449954545625E-4</v>
      </c>
      <c r="R631">
        <v>2.7573894984411166E-4</v>
      </c>
    </row>
    <row r="632" spans="1:18">
      <c r="A632" t="s">
        <v>144</v>
      </c>
      <c r="B632">
        <v>2017</v>
      </c>
      <c r="C632">
        <v>-2.0860823921511753</v>
      </c>
      <c r="D632">
        <v>0.44919074547769539</v>
      </c>
      <c r="E632">
        <v>4.2</v>
      </c>
      <c r="F632">
        <v>-119.22</v>
      </c>
      <c r="G632">
        <v>82.89</v>
      </c>
      <c r="H632">
        <v>0.14000000000000001</v>
      </c>
      <c r="I632">
        <v>0.29850100000000002</v>
      </c>
      <c r="J632">
        <v>4.8176739811193071E-3</v>
      </c>
      <c r="K632">
        <v>-0.13675311714977231</v>
      </c>
      <c r="L632">
        <v>9.5080237213090307E-2</v>
      </c>
      <c r="M632">
        <v>6.7447435735670303E-4</v>
      </c>
      <c r="N632">
        <v>-1.9145436400968125E-2</v>
      </c>
      <c r="O632">
        <v>1.3311233209832645E-2</v>
      </c>
      <c r="P632">
        <v>1.4380805010380943E-3</v>
      </c>
      <c r="Q632">
        <v>-4.0820942222324186E-2</v>
      </c>
      <c r="R632">
        <v>2.838154588834467E-2</v>
      </c>
    </row>
    <row r="633" spans="1:18">
      <c r="A633" t="s">
        <v>144</v>
      </c>
      <c r="B633">
        <v>2018</v>
      </c>
      <c r="C633">
        <v>-1.4560393606567907</v>
      </c>
      <c r="D633">
        <v>0.53036172651240332</v>
      </c>
      <c r="E633">
        <v>61.37</v>
      </c>
      <c r="F633">
        <v>-129.76</v>
      </c>
      <c r="G633">
        <v>71.3</v>
      </c>
      <c r="H633">
        <v>5.8200000000000002E-2</v>
      </c>
      <c r="I633">
        <v>0.30719999999999997</v>
      </c>
      <c r="J633">
        <v>5.8128190799132388E-2</v>
      </c>
      <c r="K633">
        <v>-0.12290555708156131</v>
      </c>
      <c r="L633">
        <v>6.7533648427214266E-2</v>
      </c>
      <c r="M633">
        <v>3.3830607045095052E-3</v>
      </c>
      <c r="N633">
        <v>-7.1531034221468687E-3</v>
      </c>
      <c r="O633">
        <v>3.9304583384638702E-3</v>
      </c>
      <c r="P633">
        <v>1.7856980213493467E-2</v>
      </c>
      <c r="Q633">
        <v>-3.7756587135455634E-2</v>
      </c>
      <c r="R633">
        <v>2.0746336796840219E-2</v>
      </c>
    </row>
    <row r="634" spans="1:18">
      <c r="A634" t="s">
        <v>144</v>
      </c>
      <c r="B634">
        <v>2019</v>
      </c>
      <c r="C634">
        <v>-1.8338644310526373</v>
      </c>
      <c r="D634">
        <v>0.46364615856487851</v>
      </c>
      <c r="E634">
        <v>-289.41000000000003</v>
      </c>
      <c r="F634">
        <v>-23.47</v>
      </c>
      <c r="G634">
        <v>320.68</v>
      </c>
      <c r="H634">
        <v>0.27500000000000002</v>
      </c>
      <c r="I634">
        <v>0.53239999999999998</v>
      </c>
      <c r="J634">
        <v>-0.22760768522960531</v>
      </c>
      <c r="K634">
        <v>-1.8458078063435388E-2</v>
      </c>
      <c r="L634">
        <v>0.25220010538485133</v>
      </c>
      <c r="M634">
        <v>-6.2592113438141472E-2</v>
      </c>
      <c r="N634">
        <v>-5.0759714674447325E-3</v>
      </c>
      <c r="O634">
        <v>6.9355028980834121E-2</v>
      </c>
      <c r="P634">
        <v>-0.12117833161624186</v>
      </c>
      <c r="Q634">
        <v>-9.8270807609730001E-3</v>
      </c>
      <c r="R634">
        <v>0.13427133610689485</v>
      </c>
    </row>
    <row r="635" spans="1:18">
      <c r="A635" t="s">
        <v>144</v>
      </c>
      <c r="B635">
        <v>2020</v>
      </c>
      <c r="C635">
        <v>-1.5778067617213563</v>
      </c>
      <c r="D635">
        <v>0.51029099114374776</v>
      </c>
      <c r="E635">
        <v>39.1</v>
      </c>
      <c r="F635">
        <v>-85.39</v>
      </c>
      <c r="G635">
        <v>59.24</v>
      </c>
      <c r="H635">
        <v>0.2586</v>
      </c>
      <c r="I635">
        <v>0.4884</v>
      </c>
      <c r="J635">
        <v>2.5499223936662797E-2</v>
      </c>
      <c r="K635">
        <v>-5.5687435599786089E-2</v>
      </c>
      <c r="L635">
        <v>3.86336068032712E-2</v>
      </c>
      <c r="M635">
        <v>6.5940993100209993E-3</v>
      </c>
      <c r="N635">
        <v>-1.4400770846104683E-2</v>
      </c>
      <c r="O635">
        <v>9.9906507193259324E-3</v>
      </c>
      <c r="P635">
        <v>1.2453820970666111E-2</v>
      </c>
      <c r="Q635">
        <v>-2.7197743546935525E-2</v>
      </c>
      <c r="R635">
        <v>1.8868653562717653E-2</v>
      </c>
    </row>
    <row r="636" spans="1:18">
      <c r="A636" t="s">
        <v>144</v>
      </c>
      <c r="B636">
        <v>2021</v>
      </c>
      <c r="C636">
        <v>-1.6993085115913793</v>
      </c>
      <c r="D636">
        <v>0.49433515108279025</v>
      </c>
      <c r="E636">
        <v>107.89</v>
      </c>
      <c r="F636">
        <v>-140.19999999999999</v>
      </c>
      <c r="G636">
        <v>57.16</v>
      </c>
      <c r="H636">
        <v>0.25</v>
      </c>
      <c r="I636">
        <v>1.9099999999999999E-2</v>
      </c>
      <c r="J636">
        <v>6.5227379901575525E-2</v>
      </c>
      <c r="K636">
        <v>-8.4761133211612633E-2</v>
      </c>
      <c r="L636">
        <v>3.4557392113949918E-2</v>
      </c>
      <c r="M636">
        <v>1.6306844975393881E-2</v>
      </c>
      <c r="N636">
        <v>-2.1190283302903158E-2</v>
      </c>
      <c r="O636">
        <v>8.6393480284874796E-3</v>
      </c>
      <c r="P636">
        <v>1.2458429561200924E-3</v>
      </c>
      <c r="Q636">
        <v>-1.6189376443418012E-3</v>
      </c>
      <c r="R636">
        <v>6.6004618937644342E-4</v>
      </c>
    </row>
    <row r="637" spans="1:18">
      <c r="A637" t="s">
        <v>145</v>
      </c>
      <c r="B637">
        <v>2017</v>
      </c>
      <c r="C637">
        <v>-0.87537803451866691</v>
      </c>
      <c r="D637">
        <v>0.6138132471469151</v>
      </c>
      <c r="E637">
        <v>147.58000000000001</v>
      </c>
      <c r="F637">
        <v>146.19999999999999</v>
      </c>
      <c r="G637">
        <v>-159.69999999999999</v>
      </c>
      <c r="H637">
        <v>0.35210000000000002</v>
      </c>
      <c r="I637">
        <v>3.2500000000000001E-2</v>
      </c>
      <c r="J637">
        <v>2.9625912134017208E-2</v>
      </c>
      <c r="K637">
        <v>2.9348884360979231E-2</v>
      </c>
      <c r="L637">
        <v>-3.2058938662437642E-2</v>
      </c>
      <c r="M637">
        <v>1.043128366238746E-2</v>
      </c>
      <c r="N637">
        <v>1.0333742183500787E-2</v>
      </c>
      <c r="O637">
        <v>-1.1287952303044295E-2</v>
      </c>
      <c r="P637">
        <v>9.6284214435555929E-4</v>
      </c>
      <c r="Q637">
        <v>9.5383874173182509E-4</v>
      </c>
      <c r="R637">
        <v>-1.0419155065292233E-3</v>
      </c>
    </row>
    <row r="638" spans="1:18">
      <c r="A638" t="s">
        <v>145</v>
      </c>
      <c r="B638">
        <v>2018</v>
      </c>
      <c r="C638">
        <v>-1.0493059865100183</v>
      </c>
      <c r="D638">
        <v>0.59547108916964753</v>
      </c>
      <c r="E638">
        <v>239.11</v>
      </c>
      <c r="F638">
        <v>17.3</v>
      </c>
      <c r="G638">
        <v>-371.94</v>
      </c>
      <c r="H638">
        <v>0.34389999999999998</v>
      </c>
      <c r="I638">
        <v>3.2399999999999998E-2</v>
      </c>
      <c r="J638">
        <v>4.6713306386229239E-2</v>
      </c>
      <c r="K638">
        <v>3.3797842017555344E-3</v>
      </c>
      <c r="L638">
        <v>-7.2663406705257422E-2</v>
      </c>
      <c r="M638">
        <v>1.6064706066224236E-2</v>
      </c>
      <c r="N638">
        <v>1.1623077869837282E-3</v>
      </c>
      <c r="O638">
        <v>-2.4988945565938028E-2</v>
      </c>
      <c r="P638">
        <v>1.5135111269138273E-3</v>
      </c>
      <c r="Q638">
        <v>1.095050081368793E-4</v>
      </c>
      <c r="R638">
        <v>-2.3542943772503402E-3</v>
      </c>
    </row>
    <row r="639" spans="1:18">
      <c r="A639" t="s">
        <v>145</v>
      </c>
      <c r="B639">
        <v>2019</v>
      </c>
      <c r="C639">
        <v>-1.0556777577748118</v>
      </c>
      <c r="D639">
        <v>0.61864702707850538</v>
      </c>
      <c r="E639">
        <v>237.19</v>
      </c>
      <c r="F639">
        <v>-44.95</v>
      </c>
      <c r="G639">
        <v>-183.36</v>
      </c>
      <c r="H639">
        <v>0.11799999999999999</v>
      </c>
      <c r="I639">
        <v>1.6000000000000001E-3</v>
      </c>
      <c r="J639">
        <v>4.1831123526942703E-2</v>
      </c>
      <c r="K639">
        <v>-7.9274379296600823E-3</v>
      </c>
      <c r="L639">
        <v>-3.2337597748219635E-2</v>
      </c>
      <c r="M639">
        <v>4.9360725761792386E-3</v>
      </c>
      <c r="N639">
        <v>-9.3543767569988971E-4</v>
      </c>
      <c r="O639">
        <v>-3.8158365342899165E-3</v>
      </c>
      <c r="P639">
        <v>6.6929797643108324E-5</v>
      </c>
      <c r="Q639">
        <v>-1.2683900687456132E-5</v>
      </c>
      <c r="R639">
        <v>-5.1740156397151417E-5</v>
      </c>
    </row>
    <row r="640" spans="1:18">
      <c r="A640" t="s">
        <v>145</v>
      </c>
      <c r="B640">
        <v>2020</v>
      </c>
      <c r="C640">
        <v>-1.4286909529377285</v>
      </c>
      <c r="D640">
        <v>0.5681312046075131</v>
      </c>
      <c r="E640">
        <v>306.49</v>
      </c>
      <c r="F640">
        <v>-24.65</v>
      </c>
      <c r="G640">
        <v>-353.82</v>
      </c>
      <c r="H640">
        <v>1.0500000000000001E-2</v>
      </c>
      <c r="I640">
        <v>5.0000000000000001E-4</v>
      </c>
      <c r="J640">
        <v>7.49234240510816E-2</v>
      </c>
      <c r="K640">
        <v>-6.0258488135311473E-3</v>
      </c>
      <c r="L640">
        <v>-8.6493542685744038E-2</v>
      </c>
      <c r="M640">
        <v>7.8669595253635688E-4</v>
      </c>
      <c r="N640">
        <v>-6.3271412542077049E-5</v>
      </c>
      <c r="O640">
        <v>-9.081821982003125E-4</v>
      </c>
      <c r="P640">
        <v>3.7461712025540802E-5</v>
      </c>
      <c r="Q640">
        <v>-3.0129244067655736E-6</v>
      </c>
      <c r="R640">
        <v>-4.324677134287202E-5</v>
      </c>
    </row>
    <row r="641" spans="1:18">
      <c r="A641" t="s">
        <v>145</v>
      </c>
      <c r="B641">
        <v>2021</v>
      </c>
      <c r="C641">
        <v>-1.3106120397972869</v>
      </c>
      <c r="D641">
        <v>0.58153944645776412</v>
      </c>
      <c r="E641">
        <v>-103.18</v>
      </c>
      <c r="F641">
        <v>-477.38</v>
      </c>
      <c r="G641">
        <v>543.25</v>
      </c>
      <c r="H641">
        <v>1.3100000000000001E-2</v>
      </c>
      <c r="I641">
        <v>0</v>
      </c>
      <c r="J641">
        <v>-2.3591279594846415E-2</v>
      </c>
      <c r="K641">
        <v>-0.10914910886787924</v>
      </c>
      <c r="L641">
        <v>0.12420975615332733</v>
      </c>
      <c r="M641">
        <v>-3.0904576269248803E-4</v>
      </c>
      <c r="N641">
        <v>-1.429853326169218E-3</v>
      </c>
      <c r="O641">
        <v>1.6271478056085881E-3</v>
      </c>
      <c r="P641">
        <v>0</v>
      </c>
      <c r="Q641">
        <v>0</v>
      </c>
      <c r="R641">
        <v>0</v>
      </c>
    </row>
    <row r="642" spans="1:18">
      <c r="A642" t="s">
        <v>146</v>
      </c>
      <c r="B642">
        <v>2017</v>
      </c>
      <c r="C642">
        <v>-0.56465588021529811</v>
      </c>
      <c r="D642">
        <v>0.71099666321029631</v>
      </c>
      <c r="E642">
        <v>-1456.26</v>
      </c>
      <c r="F642">
        <v>-1440.43</v>
      </c>
      <c r="G642">
        <v>2815.67</v>
      </c>
      <c r="H642">
        <v>0.38629999999999998</v>
      </c>
      <c r="I642">
        <v>1.77E-2</v>
      </c>
      <c r="J642">
        <v>-0.14312911263016673</v>
      </c>
      <c r="K642">
        <v>-0.14157325457395731</v>
      </c>
      <c r="L642">
        <v>0.27673928320449753</v>
      </c>
      <c r="M642">
        <v>-5.5290776209033402E-2</v>
      </c>
      <c r="N642">
        <v>-5.4689748241919703E-2</v>
      </c>
      <c r="O642">
        <v>0.10690438510189738</v>
      </c>
      <c r="P642">
        <v>-2.5333852935539511E-3</v>
      </c>
      <c r="Q642">
        <v>-2.5058466059590446E-3</v>
      </c>
      <c r="R642">
        <v>4.8982853127196068E-3</v>
      </c>
    </row>
    <row r="643" spans="1:18">
      <c r="A643" t="s">
        <v>146</v>
      </c>
      <c r="B643">
        <v>2018</v>
      </c>
      <c r="C643">
        <v>-0.72110649012115935</v>
      </c>
      <c r="D643">
        <v>0.63418213695607739</v>
      </c>
      <c r="E643">
        <v>2335.85</v>
      </c>
      <c r="F643">
        <v>-194.57</v>
      </c>
      <c r="G643">
        <v>-1772.61</v>
      </c>
      <c r="H643">
        <v>0.40820000000000001</v>
      </c>
      <c r="I643">
        <v>1.54E-2</v>
      </c>
      <c r="J643">
        <v>0.28759471166039974</v>
      </c>
      <c r="K643">
        <v>-2.395586319659395E-2</v>
      </c>
      <c r="L643">
        <v>-0.21824743105779101</v>
      </c>
      <c r="M643">
        <v>0.11739616129977518</v>
      </c>
      <c r="N643">
        <v>-9.7787833568496515E-3</v>
      </c>
      <c r="O643">
        <v>-8.9088601357790287E-2</v>
      </c>
      <c r="P643">
        <v>4.428958559570156E-3</v>
      </c>
      <c r="Q643">
        <v>-3.6892029322754686E-4</v>
      </c>
      <c r="R643">
        <v>-3.3610104382899818E-3</v>
      </c>
    </row>
    <row r="644" spans="1:18">
      <c r="A644" t="s">
        <v>146</v>
      </c>
      <c r="B644">
        <v>2019</v>
      </c>
      <c r="C644">
        <v>-0.76282594651808577</v>
      </c>
      <c r="D644">
        <v>0.6259070775610216</v>
      </c>
      <c r="E644">
        <v>1180.98</v>
      </c>
      <c r="F644">
        <v>-229.71</v>
      </c>
      <c r="G644">
        <v>-1336.23</v>
      </c>
      <c r="H644">
        <v>0.4163</v>
      </c>
      <c r="I644">
        <v>0.12</v>
      </c>
      <c r="J644">
        <v>0.14644435516271595</v>
      </c>
      <c r="K644">
        <v>-2.84845914616907E-2</v>
      </c>
      <c r="L644">
        <v>-0.16569572786929157</v>
      </c>
      <c r="M644">
        <v>6.0964785054238649E-2</v>
      </c>
      <c r="N644">
        <v>-1.1858135425501839E-2</v>
      </c>
      <c r="O644">
        <v>-6.8979131511986078E-2</v>
      </c>
      <c r="P644">
        <v>1.7573322619525912E-2</v>
      </c>
      <c r="Q644">
        <v>-3.4181509754028839E-3</v>
      </c>
      <c r="R644">
        <v>-1.9883487344314988E-2</v>
      </c>
    </row>
    <row r="645" spans="1:18">
      <c r="A645" t="s">
        <v>146</v>
      </c>
      <c r="B645">
        <v>2020</v>
      </c>
      <c r="C645">
        <v>-1.111186783699661</v>
      </c>
      <c r="D645">
        <v>0.59023790784339736</v>
      </c>
      <c r="E645">
        <v>15.58</v>
      </c>
      <c r="F645">
        <v>345.74</v>
      </c>
      <c r="G645">
        <v>-218.2</v>
      </c>
      <c r="H645">
        <v>0.15210000000000001</v>
      </c>
      <c r="I645">
        <v>0.1235</v>
      </c>
      <c r="J645">
        <v>2.0069328063953913E-3</v>
      </c>
      <c r="K645">
        <v>4.453638950469465E-2</v>
      </c>
      <c r="L645">
        <v>-2.8107364464407855E-2</v>
      </c>
      <c r="M645">
        <v>3.0525447985273906E-4</v>
      </c>
      <c r="N645">
        <v>6.7739848436640564E-3</v>
      </c>
      <c r="O645">
        <v>-4.2751301350364354E-3</v>
      </c>
      <c r="P645">
        <v>2.4785620158983084E-4</v>
      </c>
      <c r="Q645">
        <v>5.500244103829789E-3</v>
      </c>
      <c r="R645">
        <v>-3.4712595113543703E-3</v>
      </c>
    </row>
    <row r="646" spans="1:18">
      <c r="A646" t="s">
        <v>146</v>
      </c>
      <c r="B646">
        <v>2021</v>
      </c>
      <c r="C646">
        <v>-1.3740340660175931</v>
      </c>
      <c r="D646">
        <v>0.62831278510344246</v>
      </c>
      <c r="E646">
        <v>-308.27</v>
      </c>
      <c r="F646">
        <v>-308.74</v>
      </c>
      <c r="G646">
        <v>1149.99</v>
      </c>
      <c r="H646">
        <v>8.5900000000000004E-2</v>
      </c>
      <c r="I646">
        <v>4.0070000000000001E-2</v>
      </c>
      <c r="J646">
        <v>-2.0020236499475253E-2</v>
      </c>
      <c r="K646">
        <v>-2.0050760102663219E-2</v>
      </c>
      <c r="L646">
        <v>7.4684762617288569E-2</v>
      </c>
      <c r="M646">
        <v>-1.7197383153049243E-3</v>
      </c>
      <c r="N646">
        <v>-1.7223602928187706E-3</v>
      </c>
      <c r="O646">
        <v>6.415421108825088E-3</v>
      </c>
      <c r="P646">
        <v>-8.0221087653397347E-4</v>
      </c>
      <c r="Q646">
        <v>-8.0343395731371527E-4</v>
      </c>
      <c r="R646">
        <v>2.992618438074753E-3</v>
      </c>
    </row>
    <row r="647" spans="1:18">
      <c r="A647" t="s">
        <v>147</v>
      </c>
      <c r="B647">
        <v>2017</v>
      </c>
      <c r="C647">
        <v>-1.7232720602830467</v>
      </c>
      <c r="D647">
        <v>0.52912047255548034</v>
      </c>
      <c r="E647">
        <v>2260.98</v>
      </c>
      <c r="F647">
        <v>-786.49</v>
      </c>
      <c r="G647">
        <v>-323.95999999999998</v>
      </c>
      <c r="H647">
        <v>0.43819999999999998</v>
      </c>
      <c r="I647">
        <v>2.0000000000000002E-5</v>
      </c>
      <c r="J647">
        <v>0.28598460653052449</v>
      </c>
      <c r="K647">
        <v>-9.9480770811856897E-2</v>
      </c>
      <c r="L647">
        <v>-4.0976732713968594E-2</v>
      </c>
      <c r="M647">
        <v>0.12531845458167581</v>
      </c>
      <c r="N647">
        <v>-4.3592473769755689E-2</v>
      </c>
      <c r="O647">
        <v>-1.7956004275261037E-2</v>
      </c>
      <c r="P647">
        <v>5.7196921306104902E-6</v>
      </c>
      <c r="Q647">
        <v>-1.9896154162371383E-6</v>
      </c>
      <c r="R647">
        <v>-8.1953465427937198E-7</v>
      </c>
    </row>
    <row r="648" spans="1:18">
      <c r="A648" t="s">
        <v>147</v>
      </c>
      <c r="B648">
        <v>2018</v>
      </c>
      <c r="C648">
        <v>-2.1739138522637393</v>
      </c>
      <c r="D648">
        <v>0.44805940842245989</v>
      </c>
      <c r="E648">
        <v>991.46</v>
      </c>
      <c r="F648">
        <v>-1829.57</v>
      </c>
      <c r="G648">
        <v>840.2</v>
      </c>
      <c r="H648">
        <v>0.38600000000000001</v>
      </c>
      <c r="I648">
        <v>2.0000000000000002E-5</v>
      </c>
      <c r="J648">
        <v>0.10355322526737969</v>
      </c>
      <c r="K648">
        <v>-0.19108978108288771</v>
      </c>
      <c r="L648">
        <v>8.7754846256684504E-2</v>
      </c>
      <c r="M648">
        <v>3.9971544953208558E-2</v>
      </c>
      <c r="N648">
        <v>-7.3760655497994654E-2</v>
      </c>
      <c r="O648">
        <v>3.3873370655080219E-2</v>
      </c>
      <c r="P648">
        <v>2.0710645053475938E-6</v>
      </c>
      <c r="Q648">
        <v>-3.8217956216577546E-6</v>
      </c>
      <c r="R648">
        <v>1.7550969251336903E-6</v>
      </c>
    </row>
    <row r="649" spans="1:18">
      <c r="A649" t="s">
        <v>147</v>
      </c>
      <c r="B649">
        <v>2019</v>
      </c>
      <c r="C649">
        <v>-2.2670172611131516</v>
      </c>
      <c r="D649">
        <v>0.43142807621517576</v>
      </c>
      <c r="E649">
        <v>325.27999999999997</v>
      </c>
      <c r="F649">
        <v>-377.43</v>
      </c>
      <c r="G649">
        <v>-131.37</v>
      </c>
      <c r="H649">
        <v>0.3901</v>
      </c>
      <c r="I649">
        <v>6.4799999999999996E-3</v>
      </c>
      <c r="J649">
        <v>2.9830187658365117E-2</v>
      </c>
      <c r="K649">
        <v>-3.4612665174301359E-2</v>
      </c>
      <c r="L649">
        <v>-1.2047441443308613E-2</v>
      </c>
      <c r="M649">
        <v>1.1636756205528231E-2</v>
      </c>
      <c r="N649">
        <v>-1.350240068449496E-2</v>
      </c>
      <c r="O649">
        <v>-4.6997069070346901E-3</v>
      </c>
      <c r="P649">
        <v>1.9329961602620595E-4</v>
      </c>
      <c r="Q649">
        <v>-2.242900703294728E-4</v>
      </c>
      <c r="R649">
        <v>-7.8067420552639801E-5</v>
      </c>
    </row>
    <row r="650" spans="1:18">
      <c r="A650" t="s">
        <v>147</v>
      </c>
      <c r="B650">
        <v>2020</v>
      </c>
      <c r="C650">
        <v>-1.696896641839057</v>
      </c>
      <c r="D650">
        <v>0.50740432069581487</v>
      </c>
      <c r="E650">
        <v>-1110.9100000000001</v>
      </c>
      <c r="F650">
        <v>-1042.54</v>
      </c>
      <c r="G650">
        <v>1325.97</v>
      </c>
      <c r="H650">
        <v>0.47670000000000001</v>
      </c>
      <c r="I650">
        <v>1.0120000000000001E-2</v>
      </c>
      <c r="J650">
        <v>-8.1428836352894704E-2</v>
      </c>
      <c r="K650">
        <v>-7.6417368689945031E-2</v>
      </c>
      <c r="L650">
        <v>9.7192566579513903E-2</v>
      </c>
      <c r="M650">
        <v>-3.8817126289424908E-2</v>
      </c>
      <c r="N650">
        <v>-3.6428159654496799E-2</v>
      </c>
      <c r="O650">
        <v>4.6331696488454276E-2</v>
      </c>
      <c r="P650">
        <v>-8.2405982389129441E-4</v>
      </c>
      <c r="Q650">
        <v>-7.7334377114224371E-4</v>
      </c>
      <c r="R650">
        <v>9.8358877378468073E-4</v>
      </c>
    </row>
    <row r="651" spans="1:18">
      <c r="A651" t="s">
        <v>147</v>
      </c>
      <c r="B651">
        <v>2021</v>
      </c>
      <c r="C651">
        <v>-2.160232531027638</v>
      </c>
      <c r="D651">
        <v>0.42722177152331897</v>
      </c>
      <c r="E651">
        <v>1295.54</v>
      </c>
      <c r="F651">
        <v>-2005.6</v>
      </c>
      <c r="G651">
        <v>2748.51</v>
      </c>
      <c r="H651">
        <v>0.32</v>
      </c>
      <c r="I651">
        <v>8.7600000000000004E-3</v>
      </c>
      <c r="J651">
        <v>5.4854761102294723E-2</v>
      </c>
      <c r="K651">
        <v>-8.491957706189103E-2</v>
      </c>
      <c r="L651">
        <v>0.11637530252811036</v>
      </c>
      <c r="M651">
        <v>1.7553523552734311E-2</v>
      </c>
      <c r="N651">
        <v>-2.7174264659805131E-2</v>
      </c>
      <c r="O651">
        <v>3.7240096808995315E-2</v>
      </c>
      <c r="P651">
        <v>4.8052770725610179E-4</v>
      </c>
      <c r="Q651">
        <v>-7.4389549506216548E-4</v>
      </c>
      <c r="R651">
        <v>1.0194476501462469E-3</v>
      </c>
    </row>
    <row r="652" spans="1:18">
      <c r="A652" t="s">
        <v>148</v>
      </c>
      <c r="B652">
        <v>2017</v>
      </c>
      <c r="C652">
        <v>-4.8191010849266158</v>
      </c>
      <c r="D652">
        <v>0.17631250768447121</v>
      </c>
      <c r="E652">
        <v>119.76</v>
      </c>
      <c r="F652">
        <v>19.61</v>
      </c>
      <c r="G652">
        <v>-114.5</v>
      </c>
      <c r="H652">
        <v>0.2127</v>
      </c>
      <c r="I652">
        <v>2.3999999999999998E-3</v>
      </c>
      <c r="J652">
        <v>0.21035251962833507</v>
      </c>
      <c r="K652">
        <v>3.4443995573744571E-2</v>
      </c>
      <c r="L652">
        <v>-0.20111358965801907</v>
      </c>
      <c r="M652">
        <v>4.474198092494687E-2</v>
      </c>
      <c r="N652">
        <v>7.3262378585354703E-3</v>
      </c>
      <c r="O652">
        <v>-4.2776860520260654E-2</v>
      </c>
      <c r="P652">
        <v>5.0484604710800411E-4</v>
      </c>
      <c r="Q652">
        <v>8.2665589376986962E-5</v>
      </c>
      <c r="R652">
        <v>-4.8267261517924572E-4</v>
      </c>
    </row>
    <row r="653" spans="1:18">
      <c r="A653" t="s">
        <v>148</v>
      </c>
      <c r="B653">
        <v>2018</v>
      </c>
      <c r="C653">
        <v>-4.7278083238053101</v>
      </c>
      <c r="D653">
        <v>0.25500022372365655</v>
      </c>
      <c r="E653">
        <v>171.32</v>
      </c>
      <c r="F653">
        <v>150.59</v>
      </c>
      <c r="G653">
        <v>-301.11</v>
      </c>
      <c r="H653">
        <v>0.2167</v>
      </c>
      <c r="I653">
        <v>2.3999999999999998E-3</v>
      </c>
      <c r="J653">
        <v>0.38328336838337285</v>
      </c>
      <c r="K653">
        <v>0.33690545438274644</v>
      </c>
      <c r="L653">
        <v>-0.67365430220591527</v>
      </c>
      <c r="M653">
        <v>8.3057505928676903E-2</v>
      </c>
      <c r="N653">
        <v>7.3007411964741156E-2</v>
      </c>
      <c r="O653">
        <v>-0.14598088728802183</v>
      </c>
      <c r="P653">
        <v>9.1988008412009477E-4</v>
      </c>
      <c r="Q653">
        <v>8.0857309051859136E-4</v>
      </c>
      <c r="R653">
        <v>-1.6167703252941965E-3</v>
      </c>
    </row>
    <row r="654" spans="1:18">
      <c r="A654" t="s">
        <v>148</v>
      </c>
      <c r="B654">
        <v>2019</v>
      </c>
      <c r="C654">
        <v>-4.3458424160180558</v>
      </c>
      <c r="D654">
        <v>0.24403669724770644</v>
      </c>
      <c r="E654">
        <v>92.75</v>
      </c>
      <c r="F654">
        <v>10.78</v>
      </c>
      <c r="G654">
        <v>-152.72</v>
      </c>
      <c r="H654">
        <v>0.1797</v>
      </c>
      <c r="I654">
        <v>2.3999999999999998E-3</v>
      </c>
      <c r="J654">
        <v>0.23969505104018607</v>
      </c>
      <c r="K654">
        <v>2.7858896498255587E-2</v>
      </c>
      <c r="L654">
        <v>-0.39467631476935006</v>
      </c>
      <c r="M654">
        <v>4.3073200671921434E-2</v>
      </c>
      <c r="N654">
        <v>5.0062437007365292E-3</v>
      </c>
      <c r="O654">
        <v>-7.0923333764052202E-2</v>
      </c>
      <c r="P654">
        <v>5.7526812249644656E-4</v>
      </c>
      <c r="Q654">
        <v>6.68613515958134E-5</v>
      </c>
      <c r="R654">
        <v>-9.4722315544644008E-4</v>
      </c>
    </row>
    <row r="655" spans="1:18">
      <c r="A655" t="s">
        <v>148</v>
      </c>
      <c r="B655">
        <v>2020</v>
      </c>
      <c r="C655">
        <v>-4.1987065378505841</v>
      </c>
      <c r="D655">
        <v>0.249703643212771</v>
      </c>
      <c r="E655">
        <v>113.94</v>
      </c>
      <c r="F655">
        <v>13.79</v>
      </c>
      <c r="G655">
        <v>-109.25</v>
      </c>
      <c r="H655">
        <v>0.1174</v>
      </c>
      <c r="I655">
        <v>2.3999999999999998E-3</v>
      </c>
      <c r="J655">
        <v>0.30015015410552937</v>
      </c>
      <c r="K655">
        <v>3.6326756407892305E-2</v>
      </c>
      <c r="L655">
        <v>-0.28779536893127156</v>
      </c>
      <c r="M655">
        <v>3.5237628091989145E-2</v>
      </c>
      <c r="N655">
        <v>4.264761202286557E-3</v>
      </c>
      <c r="O655">
        <v>-3.3787176312531281E-2</v>
      </c>
      <c r="P655">
        <v>7.2036036985327037E-4</v>
      </c>
      <c r="Q655">
        <v>8.7184215378941526E-5</v>
      </c>
      <c r="R655">
        <v>-6.9070888543505172E-4</v>
      </c>
    </row>
    <row r="656" spans="1:18">
      <c r="A656" t="s">
        <v>148</v>
      </c>
      <c r="B656">
        <v>2021</v>
      </c>
      <c r="C656">
        <v>-3.9544029211688652</v>
      </c>
      <c r="D656">
        <v>0.14934130723010522</v>
      </c>
      <c r="E656">
        <v>66.12</v>
      </c>
      <c r="F656">
        <v>4.3</v>
      </c>
      <c r="G656">
        <v>-39.25</v>
      </c>
      <c r="H656">
        <v>8.3000000000000004E-2</v>
      </c>
      <c r="I656">
        <v>2.3999999999999998E-3</v>
      </c>
      <c r="J656">
        <v>0.18652148156506532</v>
      </c>
      <c r="K656">
        <v>1.2130102400631892E-2</v>
      </c>
      <c r="L656">
        <v>-0.11072244633134926</v>
      </c>
      <c r="M656">
        <v>1.5481282969900423E-2</v>
      </c>
      <c r="N656">
        <v>1.006798499252447E-3</v>
      </c>
      <c r="O656">
        <v>-9.1899630455019882E-3</v>
      </c>
      <c r="P656">
        <v>4.4765155575615673E-4</v>
      </c>
      <c r="Q656">
        <v>2.911224576151654E-5</v>
      </c>
      <c r="R656">
        <v>-2.6573387119523817E-4</v>
      </c>
    </row>
    <row r="657" spans="1:18">
      <c r="A657" t="s">
        <v>149</v>
      </c>
      <c r="B657">
        <v>2017</v>
      </c>
      <c r="C657">
        <v>-3.1506219404717961</v>
      </c>
      <c r="D657">
        <v>0.32159828873717511</v>
      </c>
      <c r="E657">
        <v>251.27</v>
      </c>
      <c r="F657">
        <v>-108.32</v>
      </c>
      <c r="G657">
        <v>-132.26</v>
      </c>
      <c r="H657">
        <v>0.154</v>
      </c>
      <c r="I657">
        <v>6.6E-3</v>
      </c>
      <c r="J657">
        <v>0.16092403069001293</v>
      </c>
      <c r="K657">
        <v>-6.9372750445107656E-2</v>
      </c>
      <c r="L657">
        <v>-8.4704948060099136E-2</v>
      </c>
      <c r="M657">
        <v>2.4782300726261992E-2</v>
      </c>
      <c r="N657">
        <v>-1.0683403568546579E-2</v>
      </c>
      <c r="O657">
        <v>-1.3044562001255268E-2</v>
      </c>
      <c r="P657">
        <v>1.0620986025540854E-3</v>
      </c>
      <c r="Q657">
        <v>-4.5786015293771055E-4</v>
      </c>
      <c r="R657">
        <v>-5.5905265719665429E-4</v>
      </c>
    </row>
    <row r="658" spans="1:18">
      <c r="A658" t="s">
        <v>149</v>
      </c>
      <c r="B658">
        <v>2018</v>
      </c>
      <c r="C658">
        <v>-3.1802816788668626</v>
      </c>
      <c r="D658">
        <v>0.32577504483730463</v>
      </c>
      <c r="E658">
        <v>340.59</v>
      </c>
      <c r="F658">
        <v>-227.15</v>
      </c>
      <c r="G658">
        <v>-16.84</v>
      </c>
      <c r="H658">
        <v>9.74E-2</v>
      </c>
      <c r="I658">
        <v>4.7999999999999996E-3</v>
      </c>
      <c r="J658">
        <v>0.21815910837817062</v>
      </c>
      <c r="K658">
        <v>-0.14549705354855239</v>
      </c>
      <c r="L658">
        <v>-1.0786574429925698E-2</v>
      </c>
      <c r="M658">
        <v>2.1248697156033818E-2</v>
      </c>
      <c r="N658">
        <v>-1.4171413015629002E-2</v>
      </c>
      <c r="O658">
        <v>-1.050612349474763E-3</v>
      </c>
      <c r="P658">
        <v>1.0471637202152189E-3</v>
      </c>
      <c r="Q658">
        <v>-6.9838585703305134E-4</v>
      </c>
      <c r="R658">
        <v>-5.1775557263643343E-5</v>
      </c>
    </row>
    <row r="659" spans="1:18">
      <c r="A659" t="s">
        <v>149</v>
      </c>
      <c r="B659">
        <v>2019</v>
      </c>
      <c r="C659">
        <v>-2.7735944600010343</v>
      </c>
      <c r="D659">
        <v>0.36155095067574067</v>
      </c>
      <c r="E659">
        <v>231.86</v>
      </c>
      <c r="F659">
        <v>-244.62</v>
      </c>
      <c r="G659">
        <v>35.69</v>
      </c>
      <c r="H659">
        <v>0.1067</v>
      </c>
      <c r="I659">
        <v>4.5999999999999999E-3</v>
      </c>
      <c r="J659">
        <v>0.13116553241801449</v>
      </c>
      <c r="K659">
        <v>-0.13838399266839774</v>
      </c>
      <c r="L659">
        <v>2.0190191719136271E-2</v>
      </c>
      <c r="M659">
        <v>1.3995362309002146E-2</v>
      </c>
      <c r="N659">
        <v>-1.4765572017718038E-2</v>
      </c>
      <c r="O659">
        <v>2.1542934564318401E-3</v>
      </c>
      <c r="P659">
        <v>6.0336144912286668E-4</v>
      </c>
      <c r="Q659">
        <v>-6.3656636627462963E-4</v>
      </c>
      <c r="R659">
        <v>9.287488190802685E-5</v>
      </c>
    </row>
    <row r="660" spans="1:18">
      <c r="A660" t="s">
        <v>149</v>
      </c>
      <c r="B660">
        <v>2020</v>
      </c>
      <c r="C660">
        <v>-2.8944030248756696</v>
      </c>
      <c r="D660">
        <v>0.33310760178734977</v>
      </c>
      <c r="E660">
        <v>173.73</v>
      </c>
      <c r="F660">
        <v>-103.35</v>
      </c>
      <c r="G660">
        <v>-116.1</v>
      </c>
      <c r="H660">
        <v>7.3200000000000001E-2</v>
      </c>
      <c r="I660">
        <v>2.0999999999999999E-3</v>
      </c>
      <c r="J660">
        <v>9.6433626599317257E-2</v>
      </c>
      <c r="K660">
        <v>-5.7367267075573811E-2</v>
      </c>
      <c r="L660">
        <v>-6.4444506119730224E-2</v>
      </c>
      <c r="M660">
        <v>7.0589414670700233E-3</v>
      </c>
      <c r="N660">
        <v>-4.1992839499320027E-3</v>
      </c>
      <c r="O660">
        <v>-4.7173378479642529E-3</v>
      </c>
      <c r="P660">
        <v>2.0251061585856622E-4</v>
      </c>
      <c r="Q660">
        <v>-1.2047126085870499E-4</v>
      </c>
      <c r="R660">
        <v>-1.3533346285143346E-4</v>
      </c>
    </row>
    <row r="661" spans="1:18">
      <c r="A661" t="s">
        <v>149</v>
      </c>
      <c r="B661">
        <v>2021</v>
      </c>
      <c r="C661">
        <v>-2.981703489745565</v>
      </c>
      <c r="D661">
        <v>0.32471169175345249</v>
      </c>
      <c r="E661">
        <v>133.35</v>
      </c>
      <c r="F661">
        <v>-23.65</v>
      </c>
      <c r="G661">
        <v>-60.03</v>
      </c>
      <c r="H661">
        <v>7.6300000000000007E-2</v>
      </c>
      <c r="I661">
        <v>2.0999999999999999E-3</v>
      </c>
      <c r="J661">
        <v>6.9023168181535852E-2</v>
      </c>
      <c r="K661">
        <v>-1.2241454274415619E-2</v>
      </c>
      <c r="L661">
        <v>-3.1072071885546285E-2</v>
      </c>
      <c r="M661">
        <v>5.2664677322511863E-3</v>
      </c>
      <c r="N661">
        <v>-9.3402296113791184E-4</v>
      </c>
      <c r="O661">
        <v>-2.3707990848671817E-3</v>
      </c>
      <c r="P661">
        <v>1.4494865318122528E-4</v>
      </c>
      <c r="Q661">
        <v>-2.5707053976272799E-5</v>
      </c>
      <c r="R661">
        <v>-6.5251350959647197E-5</v>
      </c>
    </row>
    <row r="662" spans="1:18">
      <c r="A662" t="s">
        <v>150</v>
      </c>
      <c r="B662">
        <v>2017</v>
      </c>
      <c r="C662">
        <v>-1.8232395320676367</v>
      </c>
      <c r="D662">
        <v>0.49968235999000415</v>
      </c>
      <c r="E662">
        <v>1784.97</v>
      </c>
      <c r="F662">
        <v>-847.75</v>
      </c>
      <c r="G662">
        <v>-2189.71</v>
      </c>
      <c r="H662">
        <v>0.21529999999999999</v>
      </c>
      <c r="I662">
        <v>1.7899999999999999E-3</v>
      </c>
      <c r="J662">
        <v>0.17913993322032776</v>
      </c>
      <c r="K662">
        <v>-8.5080353388310645E-2</v>
      </c>
      <c r="L662">
        <v>-0.21975971762656171</v>
      </c>
      <c r="M662">
        <v>3.8568827622336564E-2</v>
      </c>
      <c r="N662">
        <v>-1.8317800084503282E-2</v>
      </c>
      <c r="O662">
        <v>-4.7314267204998733E-2</v>
      </c>
      <c r="P662">
        <v>3.2066048046438666E-4</v>
      </c>
      <c r="Q662">
        <v>-1.5229383256507606E-4</v>
      </c>
      <c r="R662">
        <v>-3.9336989455154544E-4</v>
      </c>
    </row>
    <row r="663" spans="1:18">
      <c r="A663" t="s">
        <v>150</v>
      </c>
      <c r="B663">
        <v>2018</v>
      </c>
      <c r="C663">
        <v>-1.3726033417503158</v>
      </c>
      <c r="D663">
        <v>0.58389336044508466</v>
      </c>
      <c r="E663">
        <v>1520.02</v>
      </c>
      <c r="F663">
        <v>943.08</v>
      </c>
      <c r="G663">
        <v>-2543.96</v>
      </c>
      <c r="H663">
        <v>0.21820000000000001</v>
      </c>
      <c r="I663">
        <v>1.8000000000000001E-4</v>
      </c>
      <c r="J663">
        <v>0.17171001722725859</v>
      </c>
      <c r="K663">
        <v>0.10653562653562654</v>
      </c>
      <c r="L663">
        <v>-0.28738004462142391</v>
      </c>
      <c r="M663">
        <v>3.7467125758987828E-2</v>
      </c>
      <c r="N663">
        <v>2.3246073710073711E-2</v>
      </c>
      <c r="O663">
        <v>-6.2706325736394702E-2</v>
      </c>
      <c r="P663">
        <v>3.0907803100906551E-5</v>
      </c>
      <c r="Q663">
        <v>1.9176412776412779E-5</v>
      </c>
      <c r="R663">
        <v>-5.1728408031856306E-5</v>
      </c>
    </row>
    <row r="664" spans="1:18">
      <c r="A664" t="s">
        <v>150</v>
      </c>
      <c r="B664">
        <v>2019</v>
      </c>
      <c r="C664">
        <v>-2.1618407593525473</v>
      </c>
      <c r="D664">
        <v>0.45440507872043112</v>
      </c>
      <c r="E664">
        <v>1917.48</v>
      </c>
      <c r="F664">
        <v>-187.4</v>
      </c>
      <c r="G664">
        <v>-1344.22</v>
      </c>
      <c r="H664">
        <v>0.1855</v>
      </c>
      <c r="I664">
        <v>1.8000000000000001E-4</v>
      </c>
      <c r="J664">
        <v>0.25349710673165782</v>
      </c>
      <c r="K664">
        <v>-2.4774890899259796E-2</v>
      </c>
      <c r="L664">
        <v>-0.17771026597973855</v>
      </c>
      <c r="M664">
        <v>4.7023713298722528E-2</v>
      </c>
      <c r="N664">
        <v>-4.5957422618126921E-3</v>
      </c>
      <c r="O664">
        <v>-3.2965254339241502E-2</v>
      </c>
      <c r="P664">
        <v>4.5629479211698413E-5</v>
      </c>
      <c r="Q664">
        <v>-4.4594803618667634E-6</v>
      </c>
      <c r="R664">
        <v>-3.1987847876352939E-5</v>
      </c>
    </row>
    <row r="665" spans="1:18">
      <c r="A665" t="s">
        <v>150</v>
      </c>
      <c r="B665">
        <v>2020</v>
      </c>
      <c r="C665">
        <v>-2.8832302924771978</v>
      </c>
      <c r="D665">
        <v>0.32654372449587238</v>
      </c>
      <c r="E665">
        <v>1222.32</v>
      </c>
      <c r="F665">
        <v>218.09</v>
      </c>
      <c r="G665">
        <v>-1829.68</v>
      </c>
      <c r="H665">
        <v>0.18260000000000001</v>
      </c>
      <c r="I665">
        <v>1.8000000000000001E-4</v>
      </c>
      <c r="J665">
        <v>0.19154657657036475</v>
      </c>
      <c r="K665">
        <v>3.4176314618292139E-2</v>
      </c>
      <c r="L665">
        <v>-0.28672437677471119</v>
      </c>
      <c r="M665">
        <v>3.4976404881748607E-2</v>
      </c>
      <c r="N665">
        <v>6.2405950493001454E-3</v>
      </c>
      <c r="O665">
        <v>-5.2355871199062265E-2</v>
      </c>
      <c r="P665">
        <v>3.4478383782665659E-5</v>
      </c>
      <c r="Q665">
        <v>6.151736631292585E-6</v>
      </c>
      <c r="R665">
        <v>-5.1610387819448019E-5</v>
      </c>
    </row>
    <row r="666" spans="1:18">
      <c r="A666" t="s">
        <v>150</v>
      </c>
      <c r="B666">
        <v>2021</v>
      </c>
      <c r="C666">
        <v>-2.6099293031906594</v>
      </c>
      <c r="D666">
        <v>0.36087988333439003</v>
      </c>
      <c r="E666">
        <v>1073.97</v>
      </c>
      <c r="F666">
        <v>8.6</v>
      </c>
      <c r="G666">
        <v>-1143.27</v>
      </c>
      <c r="H666">
        <v>0.13600000000000001</v>
      </c>
      <c r="I666">
        <v>1.8000000000000001E-4</v>
      </c>
      <c r="J666">
        <v>0.16213168358982255</v>
      </c>
      <c r="K666">
        <v>1.2982974188035735E-3</v>
      </c>
      <c r="L666">
        <v>-0.17259354534832111</v>
      </c>
      <c r="M666">
        <v>2.2049908968215869E-2</v>
      </c>
      <c r="N666">
        <v>1.76568448957286E-4</v>
      </c>
      <c r="O666">
        <v>-2.3472722167371673E-2</v>
      </c>
      <c r="P666">
        <v>2.9183703046168061E-5</v>
      </c>
      <c r="Q666">
        <v>2.3369353538464326E-7</v>
      </c>
      <c r="R666">
        <v>-3.10668381626978E-5</v>
      </c>
    </row>
    <row r="667" spans="1:18">
      <c r="A667" t="s">
        <v>151</v>
      </c>
      <c r="B667">
        <v>2017</v>
      </c>
      <c r="C667">
        <v>-2.3277839242265093</v>
      </c>
      <c r="D667">
        <v>0.39346519779669509</v>
      </c>
      <c r="E667">
        <v>-125.44</v>
      </c>
      <c r="F667">
        <v>108.41</v>
      </c>
      <c r="G667">
        <v>105.14</v>
      </c>
      <c r="H667">
        <v>0.10290000000000001</v>
      </c>
      <c r="I667">
        <v>9.69E-2</v>
      </c>
      <c r="J667">
        <v>-7.8517776664997499E-2</v>
      </c>
      <c r="K667">
        <v>6.7858037055583381E-2</v>
      </c>
      <c r="L667">
        <v>6.5811216825237856E-2</v>
      </c>
      <c r="M667">
        <v>-8.0794792188282425E-3</v>
      </c>
      <c r="N667">
        <v>6.98259201301953E-3</v>
      </c>
      <c r="O667">
        <v>6.7719742113169761E-3</v>
      </c>
      <c r="P667">
        <v>-7.6083725588382573E-3</v>
      </c>
      <c r="Q667">
        <v>6.5754437906860299E-3</v>
      </c>
      <c r="R667">
        <v>6.3771069103655481E-3</v>
      </c>
    </row>
    <row r="668" spans="1:18">
      <c r="A668" t="s">
        <v>151</v>
      </c>
      <c r="B668">
        <v>2018</v>
      </c>
      <c r="C668">
        <v>-2.2532749138950985</v>
      </c>
      <c r="D668">
        <v>0.40835689414005533</v>
      </c>
      <c r="E668">
        <v>2.64</v>
      </c>
      <c r="F668">
        <v>-22.77</v>
      </c>
      <c r="G668">
        <v>89.01</v>
      </c>
      <c r="H668">
        <v>4.3999999999999997E-2</v>
      </c>
      <c r="I668">
        <v>0.1469</v>
      </c>
      <c r="J668">
        <v>1.571381804112973E-3</v>
      </c>
      <c r="K668">
        <v>-1.355316806047439E-2</v>
      </c>
      <c r="L668">
        <v>5.2980566054581714E-2</v>
      </c>
      <c r="M668">
        <v>6.9140799380970806E-5</v>
      </c>
      <c r="N668">
        <v>-5.9633939466087308E-4</v>
      </c>
      <c r="O668">
        <v>2.3311449064015951E-3</v>
      </c>
      <c r="P668">
        <v>2.3083598702419573E-4</v>
      </c>
      <c r="Q668">
        <v>-1.990960388083688E-3</v>
      </c>
      <c r="R668">
        <v>7.7828451534180543E-3</v>
      </c>
    </row>
    <row r="669" spans="1:18">
      <c r="A669" t="s">
        <v>151</v>
      </c>
      <c r="B669">
        <v>2019</v>
      </c>
      <c r="C669">
        <v>-3.0095613611094909</v>
      </c>
      <c r="D669">
        <v>0.342000381916853</v>
      </c>
      <c r="E669">
        <v>173.12</v>
      </c>
      <c r="F669">
        <v>-8.02</v>
      </c>
      <c r="G669">
        <v>-206.56</v>
      </c>
      <c r="H669">
        <v>5.0799999999999998E-2</v>
      </c>
      <c r="I669">
        <v>0.13450000000000001</v>
      </c>
      <c r="J669">
        <v>0.10664104127781987</v>
      </c>
      <c r="K669">
        <v>-4.9402792920986323E-3</v>
      </c>
      <c r="L669">
        <v>-0.12723991154312889</v>
      </c>
      <c r="M669">
        <v>5.4173648969132494E-3</v>
      </c>
      <c r="N669">
        <v>-2.5096618803861049E-4</v>
      </c>
      <c r="O669">
        <v>-6.4637875063909469E-3</v>
      </c>
      <c r="P669">
        <v>1.4343220051866773E-2</v>
      </c>
      <c r="Q669">
        <v>-6.6446756478726607E-4</v>
      </c>
      <c r="R669">
        <v>-1.7113768102550837E-2</v>
      </c>
    </row>
    <row r="670" spans="1:18">
      <c r="A670" t="s">
        <v>151</v>
      </c>
      <c r="B670">
        <v>2020</v>
      </c>
      <c r="C670">
        <v>-3.0119140743487329</v>
      </c>
      <c r="D670">
        <v>0.35673755338604252</v>
      </c>
      <c r="E670">
        <v>335.62</v>
      </c>
      <c r="F670">
        <v>4.13</v>
      </c>
      <c r="G670">
        <v>-194.52</v>
      </c>
      <c r="H670">
        <v>4.6199999999999998E-2</v>
      </c>
      <c r="I670">
        <v>0.13730000000000001</v>
      </c>
      <c r="J670">
        <v>0.18543258579061067</v>
      </c>
      <c r="K670">
        <v>2.2818562043835948E-3</v>
      </c>
      <c r="L670">
        <v>-0.1074737697038007</v>
      </c>
      <c r="M670">
        <v>8.5669854635262131E-3</v>
      </c>
      <c r="N670">
        <v>1.0542175664252207E-4</v>
      </c>
      <c r="O670">
        <v>-4.9652881603155915E-3</v>
      </c>
      <c r="P670">
        <v>2.5459894029050845E-2</v>
      </c>
      <c r="Q670">
        <v>3.1329885686186759E-4</v>
      </c>
      <c r="R670">
        <v>-1.4756148580331837E-2</v>
      </c>
    </row>
    <row r="671" spans="1:18">
      <c r="A671" t="s">
        <v>151</v>
      </c>
      <c r="B671">
        <v>2021</v>
      </c>
      <c r="C671">
        <v>-2.9143866366093163</v>
      </c>
      <c r="D671">
        <v>0.34519097064981696</v>
      </c>
      <c r="E671">
        <v>327.95</v>
      </c>
      <c r="F671">
        <v>30.39</v>
      </c>
      <c r="G671">
        <v>-275.51</v>
      </c>
      <c r="H671">
        <v>0.11070000000000001</v>
      </c>
      <c r="I671">
        <v>0.14330000000000001</v>
      </c>
      <c r="J671">
        <v>0.17472122920207353</v>
      </c>
      <c r="K671">
        <v>1.6190816147129181E-2</v>
      </c>
      <c r="L671">
        <v>-0.1467828811021902</v>
      </c>
      <c r="M671">
        <v>1.9341640072669541E-2</v>
      </c>
      <c r="N671">
        <v>1.7923233474872004E-3</v>
      </c>
      <c r="O671">
        <v>-1.6248864938012458E-2</v>
      </c>
      <c r="P671">
        <v>2.5037552144657138E-2</v>
      </c>
      <c r="Q671">
        <v>2.3201439538836116E-3</v>
      </c>
      <c r="R671">
        <v>-2.1033986861943858E-2</v>
      </c>
    </row>
    <row r="672" spans="1:18">
      <c r="A672" t="e">
        <v>#REF!</v>
      </c>
      <c r="B672" t="e">
        <v>#REF!</v>
      </c>
      <c r="C672" t="e">
        <v>#REF!</v>
      </c>
      <c r="D672" t="e">
        <v>#REF!</v>
      </c>
      <c r="E672" t="e">
        <v>#REF!</v>
      </c>
      <c r="F672" t="e">
        <v>#REF!</v>
      </c>
      <c r="G672" t="e">
        <v>#REF!</v>
      </c>
      <c r="H672" t="e">
        <v>#REF!</v>
      </c>
      <c r="I672" t="e">
        <v>#REF!</v>
      </c>
      <c r="J672" t="e">
        <v>#REF!</v>
      </c>
      <c r="K672" t="e">
        <v>#REF!</v>
      </c>
      <c r="L672" t="e">
        <v>#REF!</v>
      </c>
      <c r="M672" t="e">
        <v>#REF!</v>
      </c>
      <c r="N672" t="e">
        <v>#REF!</v>
      </c>
      <c r="O672" t="e">
        <v>#REF!</v>
      </c>
      <c r="P672" t="e">
        <v>#REF!</v>
      </c>
      <c r="Q672" t="e">
        <v>#REF!</v>
      </c>
      <c r="R672" t="e">
        <v>#REF!</v>
      </c>
    </row>
    <row r="673" spans="1:18">
      <c r="A673" t="e">
        <v>#REF!</v>
      </c>
      <c r="B673" t="e">
        <v>#REF!</v>
      </c>
      <c r="C673" t="e">
        <v>#REF!</v>
      </c>
      <c r="D673" t="e">
        <v>#REF!</v>
      </c>
      <c r="E673" t="e">
        <v>#REF!</v>
      </c>
      <c r="F673" t="e">
        <v>#REF!</v>
      </c>
      <c r="G673" t="e">
        <v>#REF!</v>
      </c>
      <c r="H673" t="e">
        <v>#REF!</v>
      </c>
      <c r="I673" t="e">
        <v>#REF!</v>
      </c>
      <c r="J673" t="e">
        <v>#REF!</v>
      </c>
      <c r="K673" t="e">
        <v>#REF!</v>
      </c>
      <c r="L673" t="e">
        <v>#REF!</v>
      </c>
      <c r="M673" t="e">
        <v>#REF!</v>
      </c>
      <c r="N673" t="e">
        <v>#REF!</v>
      </c>
      <c r="O673" t="e">
        <v>#REF!</v>
      </c>
      <c r="P673" t="e">
        <v>#REF!</v>
      </c>
      <c r="Q673" t="e">
        <v>#REF!</v>
      </c>
      <c r="R673" t="e">
        <v>#REF!</v>
      </c>
    </row>
    <row r="674" spans="1:18">
      <c r="A674" t="e">
        <v>#REF!</v>
      </c>
      <c r="B674" t="e">
        <v>#REF!</v>
      </c>
      <c r="C674" t="e">
        <v>#REF!</v>
      </c>
      <c r="D674" t="e">
        <v>#REF!</v>
      </c>
      <c r="E674" t="e">
        <v>#REF!</v>
      </c>
      <c r="F674" t="e">
        <v>#REF!</v>
      </c>
      <c r="G674" t="e">
        <v>#REF!</v>
      </c>
      <c r="H674" t="e">
        <v>#REF!</v>
      </c>
      <c r="I674" t="e">
        <v>#REF!</v>
      </c>
      <c r="J674" t="e">
        <v>#REF!</v>
      </c>
      <c r="K674" t="e">
        <v>#REF!</v>
      </c>
      <c r="L674" t="e">
        <v>#REF!</v>
      </c>
      <c r="M674" t="e">
        <v>#REF!</v>
      </c>
      <c r="N674" t="e">
        <v>#REF!</v>
      </c>
      <c r="O674" t="e">
        <v>#REF!</v>
      </c>
      <c r="P674" t="e">
        <v>#REF!</v>
      </c>
      <c r="Q674" t="e">
        <v>#REF!</v>
      </c>
      <c r="R674" t="e">
        <v>#REF!</v>
      </c>
    </row>
    <row r="675" spans="1:18">
      <c r="A675" t="e">
        <v>#REF!</v>
      </c>
      <c r="B675" t="e">
        <v>#REF!</v>
      </c>
      <c r="C675" t="e">
        <v>#REF!</v>
      </c>
      <c r="D675" t="e">
        <v>#REF!</v>
      </c>
      <c r="E675" t="e">
        <v>#REF!</v>
      </c>
      <c r="F675" t="e">
        <v>#REF!</v>
      </c>
      <c r="G675" t="e">
        <v>#REF!</v>
      </c>
      <c r="H675" t="e">
        <v>#REF!</v>
      </c>
      <c r="I675" t="e">
        <v>#REF!</v>
      </c>
      <c r="J675" t="e">
        <v>#REF!</v>
      </c>
      <c r="K675" t="e">
        <v>#REF!</v>
      </c>
      <c r="L675" t="e">
        <v>#REF!</v>
      </c>
      <c r="M675" t="e">
        <v>#REF!</v>
      </c>
      <c r="N675" t="e">
        <v>#REF!</v>
      </c>
      <c r="O675" t="e">
        <v>#REF!</v>
      </c>
      <c r="P675" t="e">
        <v>#REF!</v>
      </c>
      <c r="Q675" t="e">
        <v>#REF!</v>
      </c>
      <c r="R675" t="e">
        <v>#REF!</v>
      </c>
    </row>
    <row r="676" spans="1:18">
      <c r="A676" t="e">
        <v>#REF!</v>
      </c>
      <c r="B676" t="e">
        <v>#REF!</v>
      </c>
      <c r="C676" t="e">
        <v>#REF!</v>
      </c>
      <c r="D676" t="e">
        <v>#REF!</v>
      </c>
      <c r="E676" t="e">
        <v>#REF!</v>
      </c>
      <c r="F676" t="e">
        <v>#REF!</v>
      </c>
      <c r="G676" t="e">
        <v>#REF!</v>
      </c>
      <c r="H676" t="e">
        <v>#REF!</v>
      </c>
      <c r="I676" t="e">
        <v>#REF!</v>
      </c>
      <c r="J676" t="e">
        <v>#REF!</v>
      </c>
      <c r="K676" t="e">
        <v>#REF!</v>
      </c>
      <c r="L676" t="e">
        <v>#REF!</v>
      </c>
      <c r="M676" t="e">
        <v>#REF!</v>
      </c>
      <c r="N676" t="e">
        <v>#REF!</v>
      </c>
      <c r="O676" t="e">
        <v>#REF!</v>
      </c>
      <c r="P676" t="e">
        <v>#REF!</v>
      </c>
      <c r="Q676" t="e">
        <v>#REF!</v>
      </c>
      <c r="R676" t="e">
        <v>#REF!</v>
      </c>
    </row>
    <row r="677" spans="1:18">
      <c r="A677" t="s">
        <v>152</v>
      </c>
      <c r="B677">
        <v>2017</v>
      </c>
      <c r="C677">
        <v>0.89432643473967055</v>
      </c>
      <c r="D677">
        <v>0.84235187339743889</v>
      </c>
      <c r="E677">
        <v>343.31</v>
      </c>
      <c r="F677">
        <v>-60.17</v>
      </c>
      <c r="G677">
        <v>-70.55</v>
      </c>
      <c r="H677">
        <v>7.7000000000000002E-3</v>
      </c>
      <c r="I677">
        <v>3.8E-3</v>
      </c>
      <c r="J677">
        <v>6.4113649478683254E-2</v>
      </c>
      <c r="K677">
        <v>-1.123683635528348E-2</v>
      </c>
      <c r="L677">
        <v>-1.3175316683816676E-2</v>
      </c>
      <c r="M677">
        <v>4.9367510098586112E-4</v>
      </c>
      <c r="N677">
        <v>-8.6523639935682798E-5</v>
      </c>
      <c r="O677">
        <v>-1.0144993846538841E-4</v>
      </c>
      <c r="P677">
        <v>2.4363186801899637E-4</v>
      </c>
      <c r="Q677">
        <v>-4.2699978150077224E-5</v>
      </c>
      <c r="R677">
        <v>-5.0066203398503367E-5</v>
      </c>
    </row>
    <row r="678" spans="1:18">
      <c r="A678" t="s">
        <v>152</v>
      </c>
      <c r="B678">
        <v>2018</v>
      </c>
      <c r="C678">
        <v>0.29285230043730248</v>
      </c>
      <c r="D678">
        <v>0.81447020422360461</v>
      </c>
      <c r="E678">
        <v>143.97</v>
      </c>
      <c r="F678">
        <v>208.61</v>
      </c>
      <c r="G678">
        <v>-403.12</v>
      </c>
      <c r="H678">
        <v>6.1999999999999998E-3</v>
      </c>
      <c r="I678">
        <v>0</v>
      </c>
      <c r="J678">
        <v>3.0534917803657739E-2</v>
      </c>
      <c r="K678">
        <v>4.4244559304167826E-2</v>
      </c>
      <c r="L678">
        <v>-8.5498618219146408E-2</v>
      </c>
      <c r="M678">
        <v>1.8931649038267799E-4</v>
      </c>
      <c r="N678">
        <v>2.7431626768584049E-4</v>
      </c>
      <c r="O678">
        <v>-5.3009143295870774E-4</v>
      </c>
      <c r="P678">
        <v>0</v>
      </c>
      <c r="Q678">
        <v>0</v>
      </c>
      <c r="R678">
        <v>0</v>
      </c>
    </row>
    <row r="679" spans="1:18">
      <c r="A679" t="s">
        <v>152</v>
      </c>
      <c r="B679">
        <v>2019</v>
      </c>
      <c r="C679">
        <v>0.29241905575514338</v>
      </c>
      <c r="D679">
        <v>0.82157247189166638</v>
      </c>
      <c r="E679">
        <v>79.53</v>
      </c>
      <c r="F679">
        <v>21.07</v>
      </c>
      <c r="G679">
        <v>-242.73</v>
      </c>
      <c r="H679">
        <v>5.4000000000000003E-3</v>
      </c>
      <c r="I679">
        <v>3.3999999999999998E-3</v>
      </c>
      <c r="J679">
        <v>1.8652113343308647E-2</v>
      </c>
      <c r="K679">
        <v>4.9415318514210134E-3</v>
      </c>
      <c r="L679">
        <v>-5.6927291233764714E-2</v>
      </c>
      <c r="M679">
        <v>1.0072141205386669E-4</v>
      </c>
      <c r="N679">
        <v>2.6684271997673473E-5</v>
      </c>
      <c r="O679">
        <v>-3.0740737266232948E-4</v>
      </c>
      <c r="P679">
        <v>6.3417185367249402E-5</v>
      </c>
      <c r="Q679">
        <v>1.6801208294831443E-5</v>
      </c>
      <c r="R679">
        <v>-1.9355279019480002E-4</v>
      </c>
    </row>
    <row r="680" spans="1:18">
      <c r="A680" t="s">
        <v>152</v>
      </c>
      <c r="B680">
        <v>2020</v>
      </c>
      <c r="C680">
        <v>-0.72284886671839677</v>
      </c>
      <c r="D680">
        <v>0.6716015041193083</v>
      </c>
      <c r="E680">
        <v>41.86</v>
      </c>
      <c r="F680">
        <v>30.09</v>
      </c>
      <c r="G680">
        <v>-6.96</v>
      </c>
      <c r="H680">
        <v>1.01E-2</v>
      </c>
      <c r="I680">
        <v>9.9000000000000008E-3</v>
      </c>
      <c r="J680">
        <v>1.1131972108905045E-2</v>
      </c>
      <c r="K680">
        <v>8.0019359951493743E-3</v>
      </c>
      <c r="L680">
        <v>-1.8508964614901843E-3</v>
      </c>
      <c r="M680">
        <v>1.1243291829994095E-4</v>
      </c>
      <c r="N680">
        <v>8.0819553551008674E-5</v>
      </c>
      <c r="O680">
        <v>-1.869405426105086E-5</v>
      </c>
      <c r="P680">
        <v>1.1020652387815995E-4</v>
      </c>
      <c r="Q680">
        <v>7.9219166351978811E-5</v>
      </c>
      <c r="R680">
        <v>-1.8323874968752827E-5</v>
      </c>
    </row>
    <row r="681" spans="1:18">
      <c r="A681" t="s">
        <v>152</v>
      </c>
      <c r="B681">
        <v>2021</v>
      </c>
      <c r="C681">
        <v>-0.14728140840957935</v>
      </c>
      <c r="D681">
        <v>0.65427708296395304</v>
      </c>
      <c r="E681">
        <v>-109.94</v>
      </c>
      <c r="F681">
        <v>-28.91</v>
      </c>
      <c r="G681">
        <v>20</v>
      </c>
      <c r="H681">
        <v>1.01E-2</v>
      </c>
      <c r="I681">
        <v>3.3E-3</v>
      </c>
      <c r="J681">
        <v>-3.7485849892936539E-2</v>
      </c>
      <c r="K681">
        <v>-9.8573396434854955E-3</v>
      </c>
      <c r="L681">
        <v>6.8193287052822514E-3</v>
      </c>
      <c r="M681">
        <v>-3.7860708391865901E-4</v>
      </c>
      <c r="N681">
        <v>-9.9559130399203507E-5</v>
      </c>
      <c r="O681">
        <v>6.8875219923350737E-5</v>
      </c>
      <c r="P681">
        <v>-1.2370330464669057E-4</v>
      </c>
      <c r="Q681">
        <v>-3.2529220823502136E-5</v>
      </c>
      <c r="R681">
        <v>2.250378472743143E-5</v>
      </c>
    </row>
    <row r="682" spans="1:18">
      <c r="A682" t="s">
        <v>153</v>
      </c>
      <c r="B682">
        <v>2017</v>
      </c>
      <c r="C682">
        <v>-1.0925777952562137</v>
      </c>
      <c r="D682">
        <v>0.62358689242692278</v>
      </c>
      <c r="E682">
        <v>-18.25</v>
      </c>
      <c r="F682">
        <v>-68.150000000000006</v>
      </c>
      <c r="G682">
        <v>15.5</v>
      </c>
      <c r="H682">
        <v>0.31</v>
      </c>
      <c r="I682">
        <v>9.8999999999999999E-4</v>
      </c>
      <c r="J682">
        <v>-1.0249066352174768E-2</v>
      </c>
      <c r="K682">
        <v>-3.8272540926066329E-2</v>
      </c>
      <c r="L682">
        <v>8.7046864908881579E-3</v>
      </c>
      <c r="M682">
        <v>-3.177210569174178E-3</v>
      </c>
      <c r="N682">
        <v>-1.1864487687080563E-2</v>
      </c>
      <c r="O682">
        <v>2.6984528121753288E-3</v>
      </c>
      <c r="P682">
        <v>-1.014657568865302E-5</v>
      </c>
      <c r="Q682">
        <v>-3.7889815516805666E-5</v>
      </c>
      <c r="R682">
        <v>8.6176396259792763E-6</v>
      </c>
    </row>
    <row r="683" spans="1:18">
      <c r="A683" t="s">
        <v>153</v>
      </c>
      <c r="B683">
        <v>2018</v>
      </c>
      <c r="C683">
        <v>-0.45638533418973382</v>
      </c>
      <c r="D683">
        <v>0.73325356239819384</v>
      </c>
      <c r="E683">
        <v>102.03</v>
      </c>
      <c r="F683">
        <v>-324.8</v>
      </c>
      <c r="G683">
        <v>293.08</v>
      </c>
      <c r="H683">
        <v>0.28149999999999997</v>
      </c>
      <c r="I683">
        <v>9.1020000000000001E-4</v>
      </c>
      <c r="J683">
        <v>4.4556725432226003E-2</v>
      </c>
      <c r="K683">
        <v>-0.14184087445248464</v>
      </c>
      <c r="L683">
        <v>0.12798868067898458</v>
      </c>
      <c r="M683">
        <v>1.2542718209171619E-2</v>
      </c>
      <c r="N683">
        <v>-3.9928206158374419E-2</v>
      </c>
      <c r="O683">
        <v>3.6028813611134157E-2</v>
      </c>
      <c r="P683">
        <v>4.0555531488412106E-5</v>
      </c>
      <c r="Q683">
        <v>-1.2910356392665151E-4</v>
      </c>
      <c r="R683">
        <v>1.1649529715401177E-4</v>
      </c>
    </row>
    <row r="684" spans="1:18">
      <c r="A684" t="s">
        <v>153</v>
      </c>
      <c r="B684">
        <v>2019</v>
      </c>
      <c r="C684">
        <v>-0.44082575621615955</v>
      </c>
      <c r="D684">
        <v>0.73076923076923084</v>
      </c>
      <c r="E684">
        <v>190.11</v>
      </c>
      <c r="F684">
        <v>-133.08000000000001</v>
      </c>
      <c r="G684">
        <v>22.99</v>
      </c>
      <c r="H684">
        <v>0.25</v>
      </c>
      <c r="I684">
        <v>1.002E-4</v>
      </c>
      <c r="J684">
        <v>7.6572657628265553E-2</v>
      </c>
      <c r="K684">
        <v>-5.3602068682181793E-2</v>
      </c>
      <c r="L684">
        <v>9.259930560590315E-3</v>
      </c>
      <c r="M684">
        <v>1.9143164407066388E-2</v>
      </c>
      <c r="N684">
        <v>-1.3400517170545448E-2</v>
      </c>
      <c r="O684">
        <v>2.3149826401475788E-3</v>
      </c>
      <c r="P684">
        <v>7.6725802943522081E-6</v>
      </c>
      <c r="Q684">
        <v>-5.3709272819546153E-6</v>
      </c>
      <c r="R684">
        <v>9.2784504217114952E-7</v>
      </c>
    </row>
    <row r="685" spans="1:18">
      <c r="A685" t="s">
        <v>153</v>
      </c>
      <c r="B685">
        <v>2020</v>
      </c>
      <c r="C685">
        <v>-0.61717358740080508</v>
      </c>
      <c r="D685">
        <v>0.69573749182370026</v>
      </c>
      <c r="E685">
        <v>224.89</v>
      </c>
      <c r="F685">
        <v>-59.06</v>
      </c>
      <c r="G685">
        <v>-202.26</v>
      </c>
      <c r="H685">
        <v>0.14000000000000001</v>
      </c>
      <c r="I685">
        <v>0</v>
      </c>
      <c r="J685">
        <v>9.3695187544526978E-2</v>
      </c>
      <c r="K685">
        <v>-2.4605975260704183E-2</v>
      </c>
      <c r="L685">
        <v>-8.4266924419743108E-2</v>
      </c>
      <c r="M685">
        <v>1.3117326256233778E-2</v>
      </c>
      <c r="N685">
        <v>-3.4448365364985857E-3</v>
      </c>
      <c r="O685">
        <v>-1.1797369418764036E-2</v>
      </c>
      <c r="P685">
        <v>0</v>
      </c>
      <c r="Q685">
        <v>0</v>
      </c>
      <c r="R685">
        <v>0</v>
      </c>
    </row>
    <row r="686" spans="1:18">
      <c r="A686" t="s">
        <v>153</v>
      </c>
      <c r="B686">
        <v>2021</v>
      </c>
      <c r="C686">
        <v>-0.91388879473045281</v>
      </c>
      <c r="D686">
        <v>0.65022079728994009</v>
      </c>
      <c r="E686">
        <v>242.38</v>
      </c>
      <c r="F686">
        <v>-160.56</v>
      </c>
      <c r="G686">
        <v>-111.49</v>
      </c>
      <c r="H686">
        <v>0.129</v>
      </c>
      <c r="I686">
        <v>0</v>
      </c>
      <c r="J686">
        <v>9.7747666001250177E-2</v>
      </c>
      <c r="K686">
        <v>-6.4751073740245593E-2</v>
      </c>
      <c r="L686">
        <v>-4.4961990603512587E-2</v>
      </c>
      <c r="M686">
        <v>1.2609448914161273E-2</v>
      </c>
      <c r="N686">
        <v>-8.3528885124916821E-3</v>
      </c>
      <c r="O686">
        <v>-5.8000967878531241E-3</v>
      </c>
      <c r="P686">
        <v>0</v>
      </c>
      <c r="Q686">
        <v>0</v>
      </c>
      <c r="R686">
        <v>0</v>
      </c>
    </row>
    <row r="687" spans="1:18">
      <c r="A687" t="s">
        <v>154</v>
      </c>
      <c r="B687">
        <v>2017</v>
      </c>
      <c r="C687">
        <v>-2.9562944226349805</v>
      </c>
      <c r="D687">
        <v>0.3036393055699495</v>
      </c>
      <c r="E687">
        <v>219.78</v>
      </c>
      <c r="F687">
        <v>-353.05</v>
      </c>
      <c r="G687">
        <v>694.29</v>
      </c>
      <c r="H687">
        <v>0.45839999999999997</v>
      </c>
      <c r="I687">
        <v>2.2000000000000001E-3</v>
      </c>
      <c r="J687">
        <v>3.6737395653293127E-2</v>
      </c>
      <c r="K687">
        <v>-5.9014184800232683E-2</v>
      </c>
      <c r="L687">
        <v>0.11605426530223352</v>
      </c>
      <c r="M687">
        <v>1.684042216746957E-2</v>
      </c>
      <c r="N687">
        <v>-2.7052102312426659E-2</v>
      </c>
      <c r="O687">
        <v>5.3199275214543845E-2</v>
      </c>
      <c r="P687">
        <v>8.0822270437244884E-5</v>
      </c>
      <c r="Q687">
        <v>-1.298312065605119E-4</v>
      </c>
      <c r="R687">
        <v>2.5531938366491375E-4</v>
      </c>
    </row>
    <row r="688" spans="1:18">
      <c r="A688" t="s">
        <v>154</v>
      </c>
      <c r="B688">
        <v>2018</v>
      </c>
      <c r="C688">
        <v>-2.4886452175270808</v>
      </c>
      <c r="D688">
        <v>0.36726049529863597</v>
      </c>
      <c r="E688">
        <v>770.81</v>
      </c>
      <c r="F688">
        <v>-510.69</v>
      </c>
      <c r="G688">
        <v>1159.68</v>
      </c>
      <c r="H688">
        <v>0.45579999999999998</v>
      </c>
      <c r="I688">
        <v>1.14E-2</v>
      </c>
      <c r="J688">
        <v>8.1664415309230562E-2</v>
      </c>
      <c r="K688">
        <v>-5.4105681366706397E-2</v>
      </c>
      <c r="L688">
        <v>0.12286372665872071</v>
      </c>
      <c r="M688">
        <v>3.7222640497947289E-2</v>
      </c>
      <c r="N688">
        <v>-2.4661369566944775E-2</v>
      </c>
      <c r="O688">
        <v>5.60012866110449E-2</v>
      </c>
      <c r="P688">
        <v>9.3097433452522848E-4</v>
      </c>
      <c r="Q688">
        <v>-6.1680476758045296E-4</v>
      </c>
      <c r="R688">
        <v>1.4006464839094162E-3</v>
      </c>
    </row>
    <row r="689" spans="1:18">
      <c r="A689" t="s">
        <v>154</v>
      </c>
      <c r="B689">
        <v>2019</v>
      </c>
      <c r="C689">
        <v>-2.0505507539148722</v>
      </c>
      <c r="D689">
        <v>0.42909178739473547</v>
      </c>
      <c r="E689">
        <v>-4.04</v>
      </c>
      <c r="F689">
        <v>-1162.48</v>
      </c>
      <c r="G689">
        <v>822.37</v>
      </c>
      <c r="H689">
        <v>0.44429999999999997</v>
      </c>
      <c r="I689">
        <v>1.55E-2</v>
      </c>
      <c r="J689">
        <v>-3.753059812068317E-4</v>
      </c>
      <c r="K689">
        <v>-0.10799150916666281</v>
      </c>
      <c r="L689">
        <v>7.6396133605213412E-2</v>
      </c>
      <c r="M689">
        <v>-1.6674844745019531E-4</v>
      </c>
      <c r="N689">
        <v>-4.798062752274828E-2</v>
      </c>
      <c r="O689">
        <v>3.3942802160796315E-2</v>
      </c>
      <c r="P689">
        <v>-5.8172427087058913E-6</v>
      </c>
      <c r="Q689">
        <v>-1.6738683920832734E-3</v>
      </c>
      <c r="R689">
        <v>1.1841400708808079E-3</v>
      </c>
    </row>
    <row r="690" spans="1:18">
      <c r="A690" t="s">
        <v>154</v>
      </c>
      <c r="B690">
        <v>2020</v>
      </c>
      <c r="C690">
        <v>-1.8429773535920655</v>
      </c>
      <c r="D690">
        <v>0.45545195522348569</v>
      </c>
      <c r="E690">
        <v>-224.12</v>
      </c>
      <c r="F690">
        <v>-447.2</v>
      </c>
      <c r="G690">
        <v>503.11</v>
      </c>
      <c r="H690">
        <v>0.37619999999999998</v>
      </c>
      <c r="I690">
        <v>1.3299999999999999E-2</v>
      </c>
      <c r="J690">
        <v>-1.9770118998262223E-2</v>
      </c>
      <c r="K690">
        <v>-3.9448497305117194E-2</v>
      </c>
      <c r="L690">
        <v>4.4380441590289602E-2</v>
      </c>
      <c r="M690">
        <v>-7.4375187671462473E-3</v>
      </c>
      <c r="N690">
        <v>-1.4840524686185087E-2</v>
      </c>
      <c r="O690">
        <v>1.6695922126266947E-2</v>
      </c>
      <c r="P690">
        <v>-2.6294258267688754E-4</v>
      </c>
      <c r="Q690">
        <v>-5.2466501415805863E-4</v>
      </c>
      <c r="R690">
        <v>5.9025987315085163E-4</v>
      </c>
    </row>
    <row r="691" spans="1:18">
      <c r="A691" t="s">
        <v>154</v>
      </c>
      <c r="B691">
        <v>2021</v>
      </c>
      <c r="C691">
        <v>-1.6353804111763279</v>
      </c>
      <c r="D691">
        <v>0.49549384647128908</v>
      </c>
      <c r="E691">
        <v>-1427.2</v>
      </c>
      <c r="F691">
        <v>806.51</v>
      </c>
      <c r="G691">
        <v>1435.94</v>
      </c>
      <c r="H691">
        <v>7.9799999999999996E-2</v>
      </c>
      <c r="I691">
        <v>0</v>
      </c>
      <c r="J691">
        <v>-9.4995307476753707E-2</v>
      </c>
      <c r="K691">
        <v>5.3681800331471859E-2</v>
      </c>
      <c r="L691">
        <v>9.5577047238067356E-2</v>
      </c>
      <c r="M691">
        <v>-7.5806255366449452E-3</v>
      </c>
      <c r="N691">
        <v>4.2838076664514545E-3</v>
      </c>
      <c r="O691">
        <v>7.6270483695977742E-3</v>
      </c>
      <c r="P691">
        <v>0</v>
      </c>
      <c r="Q691">
        <v>0</v>
      </c>
      <c r="R691">
        <v>0</v>
      </c>
    </row>
    <row r="692" spans="1:18">
      <c r="A692" t="s">
        <v>155</v>
      </c>
      <c r="B692">
        <v>2017</v>
      </c>
      <c r="C692">
        <v>-1.3736850232952915</v>
      </c>
      <c r="D692">
        <v>0.54713644051839705</v>
      </c>
      <c r="E692">
        <v>-179.9</v>
      </c>
      <c r="F692">
        <v>-894.82</v>
      </c>
      <c r="G692">
        <v>1223.52</v>
      </c>
      <c r="H692">
        <v>0.37830000000000003</v>
      </c>
      <c r="I692">
        <v>0.24540000000000001</v>
      </c>
      <c r="J692">
        <v>-2.8951827956297062E-2</v>
      </c>
      <c r="K692">
        <v>-0.14400597382909247</v>
      </c>
      <c r="L692">
        <v>0.19690461668198209</v>
      </c>
      <c r="M692">
        <v>-1.095247651586718E-2</v>
      </c>
      <c r="N692">
        <v>-5.4477459899545687E-2</v>
      </c>
      <c r="O692">
        <v>7.4489016490793827E-2</v>
      </c>
      <c r="P692">
        <v>-7.1047785804752989E-3</v>
      </c>
      <c r="Q692">
        <v>-3.5339065977659297E-2</v>
      </c>
      <c r="R692">
        <v>4.8320392933758408E-2</v>
      </c>
    </row>
    <row r="693" spans="1:18">
      <c r="A693" t="s">
        <v>155</v>
      </c>
      <c r="B693">
        <v>2018</v>
      </c>
      <c r="C693">
        <v>-1.775828636285024</v>
      </c>
      <c r="D693">
        <v>0.50291424318355105</v>
      </c>
      <c r="E693">
        <v>513.15</v>
      </c>
      <c r="F693">
        <v>-535.1</v>
      </c>
      <c r="G693">
        <v>155.76</v>
      </c>
      <c r="H693">
        <v>0.36349999999999999</v>
      </c>
      <c r="I693">
        <v>0.25594</v>
      </c>
      <c r="J693">
        <v>7.7786418186696502E-2</v>
      </c>
      <c r="K693">
        <v>-8.1113733551011008E-2</v>
      </c>
      <c r="L693">
        <v>2.3611054266315594E-2</v>
      </c>
      <c r="M693">
        <v>2.8275363010864179E-2</v>
      </c>
      <c r="N693">
        <v>-2.94848421457925E-2</v>
      </c>
      <c r="O693">
        <v>8.5826182258057181E-3</v>
      </c>
      <c r="P693">
        <v>1.9908655870703104E-2</v>
      </c>
      <c r="Q693">
        <v>-2.0760248965045757E-2</v>
      </c>
      <c r="R693">
        <v>6.0430132289208127E-3</v>
      </c>
    </row>
    <row r="694" spans="1:18">
      <c r="A694" t="s">
        <v>155</v>
      </c>
      <c r="B694">
        <v>2019</v>
      </c>
      <c r="C694">
        <v>-1.3430987322138346</v>
      </c>
      <c r="D694">
        <v>0.55566379003473121</v>
      </c>
      <c r="E694">
        <v>-333.53</v>
      </c>
      <c r="F694">
        <v>-956.39</v>
      </c>
      <c r="G694">
        <v>1156.3</v>
      </c>
      <c r="H694">
        <v>0.28000000000000003</v>
      </c>
      <c r="I694">
        <v>0.24867</v>
      </c>
      <c r="J694">
        <v>-4.0110495377185126E-2</v>
      </c>
      <c r="K694">
        <v>-0.11501597059870503</v>
      </c>
      <c r="L694">
        <v>0.13905725363427326</v>
      </c>
      <c r="M694">
        <v>-1.1230938705611836E-2</v>
      </c>
      <c r="N694">
        <v>-3.220447176763741E-2</v>
      </c>
      <c r="O694">
        <v>3.8936031017596517E-2</v>
      </c>
      <c r="P694">
        <v>-9.9742768854446263E-3</v>
      </c>
      <c r="Q694">
        <v>-2.8601021408779979E-2</v>
      </c>
      <c r="R694">
        <v>3.4579367261234735E-2</v>
      </c>
    </row>
    <row r="695" spans="1:18">
      <c r="A695" t="s">
        <v>155</v>
      </c>
      <c r="B695">
        <v>2020</v>
      </c>
      <c r="C695">
        <v>-1.3701049206862914</v>
      </c>
      <c r="D695">
        <v>0.55515045697172183</v>
      </c>
      <c r="E695">
        <v>632.62</v>
      </c>
      <c r="F695">
        <v>-856.37</v>
      </c>
      <c r="G695">
        <v>1133</v>
      </c>
      <c r="H695">
        <v>0.1386</v>
      </c>
      <c r="I695">
        <v>0.24998000000000001</v>
      </c>
      <c r="J695">
        <v>5.9003867867598987E-2</v>
      </c>
      <c r="K695">
        <v>-7.9872818320280328E-2</v>
      </c>
      <c r="L695">
        <v>0.10567383625871715</v>
      </c>
      <c r="M695">
        <v>8.1779360864492195E-3</v>
      </c>
      <c r="N695">
        <v>-1.1070372619190853E-2</v>
      </c>
      <c r="O695">
        <v>1.4646393705458198E-2</v>
      </c>
      <c r="P695">
        <v>1.4749786889542395E-2</v>
      </c>
      <c r="Q695">
        <v>-1.9966607123703677E-2</v>
      </c>
      <c r="R695">
        <v>2.6416345587954113E-2</v>
      </c>
    </row>
    <row r="696" spans="1:18">
      <c r="A696" t="s">
        <v>155</v>
      </c>
      <c r="B696">
        <v>2021</v>
      </c>
      <c r="C696">
        <v>-0.70440144880590627</v>
      </c>
      <c r="D696">
        <v>0.66389326506498625</v>
      </c>
      <c r="E696">
        <v>93.24</v>
      </c>
      <c r="F696">
        <v>-4949.43</v>
      </c>
      <c r="G696">
        <v>5682.1</v>
      </c>
      <c r="H696">
        <v>5.1999999999999998E-2</v>
      </c>
      <c r="I696">
        <v>0.25163999999999997</v>
      </c>
      <c r="J696">
        <v>4.9895542579242082E-3</v>
      </c>
      <c r="K696">
        <v>-0.26485896107676765</v>
      </c>
      <c r="L696">
        <v>0.3040663475863486</v>
      </c>
      <c r="M696">
        <v>2.5945682141205879E-4</v>
      </c>
      <c r="N696">
        <v>-1.3772665975991917E-2</v>
      </c>
      <c r="O696">
        <v>1.5811450074490127E-2</v>
      </c>
      <c r="P696">
        <v>1.2555714334640477E-3</v>
      </c>
      <c r="Q696">
        <v>-6.6649108965357806E-2</v>
      </c>
      <c r="R696">
        <v>7.651525570662876E-2</v>
      </c>
    </row>
    <row r="697" spans="1:18">
      <c r="A697" t="s">
        <v>156</v>
      </c>
      <c r="B697">
        <v>2017</v>
      </c>
      <c r="C697">
        <v>-0.86312443133807126</v>
      </c>
      <c r="D697">
        <v>0.62519700551615442</v>
      </c>
      <c r="E697">
        <v>154.21</v>
      </c>
      <c r="F697">
        <v>-72.22</v>
      </c>
      <c r="G697">
        <v>-4.51</v>
      </c>
      <c r="H697">
        <v>1.9099999999999999E-2</v>
      </c>
      <c r="I697">
        <v>9.3600000000000003E-3</v>
      </c>
      <c r="J697">
        <v>0.75950551615445239</v>
      </c>
      <c r="K697">
        <v>-0.3556934594168637</v>
      </c>
      <c r="L697">
        <v>-2.22123719464145E-2</v>
      </c>
      <c r="M697">
        <v>1.4506555358550039E-2</v>
      </c>
      <c r="N697">
        <v>-6.793745074862096E-3</v>
      </c>
      <c r="O697">
        <v>-4.2425630417651695E-4</v>
      </c>
      <c r="P697">
        <v>7.1089716312056749E-3</v>
      </c>
      <c r="Q697">
        <v>-3.3292907801418443E-3</v>
      </c>
      <c r="R697">
        <v>-2.0790780141843974E-4</v>
      </c>
    </row>
    <row r="698" spans="1:18">
      <c r="A698" t="s">
        <v>156</v>
      </c>
      <c r="B698">
        <v>2018</v>
      </c>
      <c r="C698">
        <v>-1.4838770357891859</v>
      </c>
      <c r="D698">
        <v>0.51005379098360659</v>
      </c>
      <c r="E698">
        <v>143.79</v>
      </c>
      <c r="F698">
        <v>-66.87</v>
      </c>
      <c r="G698">
        <v>-106.22</v>
      </c>
      <c r="H698">
        <v>1.9099999999999999E-2</v>
      </c>
      <c r="I698">
        <v>4.7600000000000003E-3</v>
      </c>
      <c r="J698">
        <v>0.92078637295081966</v>
      </c>
      <c r="K698">
        <v>-0.4282146516393443</v>
      </c>
      <c r="L698">
        <v>-0.68019979508196726</v>
      </c>
      <c r="M698">
        <v>1.7587019723360655E-2</v>
      </c>
      <c r="N698">
        <v>-8.1788998463114757E-3</v>
      </c>
      <c r="O698">
        <v>-1.2991816086065575E-2</v>
      </c>
      <c r="P698">
        <v>4.3829431352459015E-3</v>
      </c>
      <c r="Q698">
        <v>-2.0383017418032791E-3</v>
      </c>
      <c r="R698">
        <v>-3.2377510245901642E-3</v>
      </c>
    </row>
    <row r="699" spans="1:18">
      <c r="A699" t="s">
        <v>156</v>
      </c>
      <c r="B699">
        <v>2019</v>
      </c>
      <c r="C699">
        <v>-0.20924385994647204</v>
      </c>
      <c r="D699">
        <v>0.71880082803489576</v>
      </c>
      <c r="E699">
        <v>199.1</v>
      </c>
      <c r="F699">
        <v>-66.69</v>
      </c>
      <c r="G699">
        <v>-66.180000000000007</v>
      </c>
      <c r="H699">
        <v>2.8999999999999998E-3</v>
      </c>
      <c r="I699">
        <v>9.3600000000000003E-3</v>
      </c>
      <c r="J699">
        <v>0.73598994529055151</v>
      </c>
      <c r="K699">
        <v>-0.24652521070530831</v>
      </c>
      <c r="L699">
        <v>-0.2446399526837203</v>
      </c>
      <c r="M699">
        <v>2.1343708413425993E-3</v>
      </c>
      <c r="N699">
        <v>-7.1492311104539403E-4</v>
      </c>
      <c r="O699">
        <v>-7.0945586278278879E-4</v>
      </c>
      <c r="P699">
        <v>6.8888658879195626E-3</v>
      </c>
      <c r="Q699">
        <v>-2.3074759722016857E-3</v>
      </c>
      <c r="R699">
        <v>-2.289829957119622E-3</v>
      </c>
    </row>
    <row r="700" spans="1:18">
      <c r="A700" t="s">
        <v>156</v>
      </c>
      <c r="B700">
        <v>2020</v>
      </c>
      <c r="C700">
        <v>1.7478385307385793</v>
      </c>
      <c r="D700">
        <v>0.82300709031873309</v>
      </c>
      <c r="E700">
        <v>185.92</v>
      </c>
      <c r="F700">
        <v>-158.36000000000001</v>
      </c>
      <c r="G700">
        <v>-69.790000000000006</v>
      </c>
      <c r="H700">
        <v>1.9E-3</v>
      </c>
      <c r="I700">
        <v>4.7600000000000003E-3</v>
      </c>
      <c r="J700">
        <v>1.2319925783579617</v>
      </c>
      <c r="K700">
        <v>-1.0493671724869129</v>
      </c>
      <c r="L700">
        <v>-0.46246106951162952</v>
      </c>
      <c r="M700">
        <v>2.3407858988801272E-3</v>
      </c>
      <c r="N700">
        <v>-1.9937976277251347E-3</v>
      </c>
      <c r="O700">
        <v>-8.7867603207209607E-4</v>
      </c>
      <c r="P700">
        <v>5.8642846729838986E-3</v>
      </c>
      <c r="Q700">
        <v>-4.9949877410377062E-3</v>
      </c>
      <c r="R700">
        <v>-2.2013146908753567E-3</v>
      </c>
    </row>
    <row r="701" spans="1:18">
      <c r="A701" t="s">
        <v>156</v>
      </c>
      <c r="B701">
        <v>2021</v>
      </c>
      <c r="C701">
        <v>0.14044088420952172</v>
      </c>
      <c r="D701">
        <v>0.80219084404482999</v>
      </c>
      <c r="E701">
        <v>225.53</v>
      </c>
      <c r="F701">
        <v>-181.29</v>
      </c>
      <c r="G701">
        <v>-42.18</v>
      </c>
      <c r="H701">
        <v>2.8999999999999998E-3</v>
      </c>
      <c r="I701">
        <v>4.7600000000000003E-3</v>
      </c>
      <c r="J701">
        <v>1.4280377382384599</v>
      </c>
      <c r="K701">
        <v>-1.1479136326220476</v>
      </c>
      <c r="L701">
        <v>-0.26708035205470776</v>
      </c>
      <c r="M701">
        <v>4.1413094408915335E-3</v>
      </c>
      <c r="N701">
        <v>-3.3289495346039378E-3</v>
      </c>
      <c r="O701">
        <v>-7.7453302095865245E-4</v>
      </c>
      <c r="P701">
        <v>6.7974596340150701E-3</v>
      </c>
      <c r="Q701">
        <v>-5.4640688912809474E-3</v>
      </c>
      <c r="R701">
        <v>-1.271302475780409E-3</v>
      </c>
    </row>
    <row r="702" spans="1:18">
      <c r="A702" t="s">
        <v>157</v>
      </c>
      <c r="B702">
        <v>2017</v>
      </c>
      <c r="C702">
        <v>-0.44766200854206739</v>
      </c>
      <c r="D702">
        <v>0.71585789728672433</v>
      </c>
      <c r="E702">
        <v>3254.36</v>
      </c>
      <c r="F702">
        <v>-1.27</v>
      </c>
      <c r="G702">
        <v>-3258.47</v>
      </c>
      <c r="H702">
        <v>1.6199999999999999E-2</v>
      </c>
      <c r="I702">
        <v>0.61175000000000002</v>
      </c>
      <c r="J702">
        <v>0.32710883458004231</v>
      </c>
      <c r="K702">
        <v>-1.276528165035994E-4</v>
      </c>
      <c r="L702">
        <v>-0.32752194723817601</v>
      </c>
      <c r="M702">
        <v>5.299163120196685E-3</v>
      </c>
      <c r="N702">
        <v>-2.0679756273583099E-6</v>
      </c>
      <c r="O702">
        <v>-5.3058555452584512E-3</v>
      </c>
      <c r="P702">
        <v>0.20010882955434089</v>
      </c>
      <c r="Q702">
        <v>-7.8091610496076931E-5</v>
      </c>
      <c r="R702">
        <v>-0.20036155122295418</v>
      </c>
    </row>
    <row r="703" spans="1:18">
      <c r="A703" t="s">
        <v>157</v>
      </c>
      <c r="B703">
        <v>2018</v>
      </c>
      <c r="C703">
        <v>-0.71268045428568905</v>
      </c>
      <c r="D703">
        <v>0.682418970773498</v>
      </c>
      <c r="E703">
        <v>322.57</v>
      </c>
      <c r="F703">
        <v>-230.08</v>
      </c>
      <c r="G703">
        <v>-47.2</v>
      </c>
      <c r="H703">
        <v>5.8099999999999999E-2</v>
      </c>
      <c r="I703">
        <v>0.61170999999999998</v>
      </c>
      <c r="J703">
        <v>2.9172239842350345E-2</v>
      </c>
      <c r="K703">
        <v>-2.0807728378113177E-2</v>
      </c>
      <c r="L703">
        <v>-4.268622998291647E-3</v>
      </c>
      <c r="M703">
        <v>1.694907134840555E-3</v>
      </c>
      <c r="N703">
        <v>-1.2089290187683756E-3</v>
      </c>
      <c r="O703">
        <v>-2.4800699620074467E-4</v>
      </c>
      <c r="P703">
        <v>1.7844950833964129E-2</v>
      </c>
      <c r="Q703">
        <v>-1.2728295526175611E-2</v>
      </c>
      <c r="R703">
        <v>-2.6111593742849833E-3</v>
      </c>
    </row>
    <row r="704" spans="1:18">
      <c r="A704" t="s">
        <v>157</v>
      </c>
      <c r="B704">
        <v>2019</v>
      </c>
      <c r="C704">
        <v>-0.67892928378880968</v>
      </c>
      <c r="D704">
        <v>0.68707033258889894</v>
      </c>
      <c r="E704">
        <v>-1017.78</v>
      </c>
      <c r="F704">
        <v>-697.13</v>
      </c>
      <c r="G704">
        <v>2171.9</v>
      </c>
      <c r="H704">
        <v>6.1199999999999997E-2</v>
      </c>
      <c r="I704">
        <v>0.61280199999999996</v>
      </c>
      <c r="J704">
        <v>-7.2899670376424114E-2</v>
      </c>
      <c r="K704">
        <v>-4.9932743038295646E-2</v>
      </c>
      <c r="L704">
        <v>0.15556485103908069</v>
      </c>
      <c r="M704">
        <v>-4.4614598270371559E-3</v>
      </c>
      <c r="N704">
        <v>-3.0558838739436936E-3</v>
      </c>
      <c r="O704">
        <v>9.5205688835917381E-3</v>
      </c>
      <c r="P704">
        <v>-4.4673063806013449E-2</v>
      </c>
      <c r="Q704">
        <v>-3.0598884799353646E-2</v>
      </c>
      <c r="R704">
        <v>9.5330451846450712E-2</v>
      </c>
    </row>
    <row r="705" spans="1:18">
      <c r="A705" t="s">
        <v>157</v>
      </c>
      <c r="B705">
        <v>2020</v>
      </c>
      <c r="C705">
        <v>-0.85735222338057293</v>
      </c>
      <c r="D705">
        <v>0.66740622212660283</v>
      </c>
      <c r="E705">
        <v>4384.7299999999996</v>
      </c>
      <c r="F705">
        <v>-4293.0200000000004</v>
      </c>
      <c r="G705">
        <v>-684.88</v>
      </c>
      <c r="H705">
        <v>7.9000000000000008E-3</v>
      </c>
      <c r="I705">
        <v>1.2099999999999999E-3</v>
      </c>
      <c r="J705">
        <v>0.28075766336331892</v>
      </c>
      <c r="K705">
        <v>-0.2748854009190978</v>
      </c>
      <c r="L705">
        <v>-4.385339769706912E-2</v>
      </c>
      <c r="M705">
        <v>2.2179855405702197E-3</v>
      </c>
      <c r="N705">
        <v>-2.1715946672608726E-3</v>
      </c>
      <c r="O705">
        <v>-3.4644184180684609E-4</v>
      </c>
      <c r="P705">
        <v>3.397167726696159E-4</v>
      </c>
      <c r="Q705">
        <v>-3.3261133511210833E-4</v>
      </c>
      <c r="R705">
        <v>-5.306261121345363E-5</v>
      </c>
    </row>
    <row r="706" spans="1:18">
      <c r="A706" t="s">
        <v>157</v>
      </c>
      <c r="B706">
        <v>2021</v>
      </c>
      <c r="C706">
        <v>-1.2732764430115768</v>
      </c>
      <c r="D706">
        <v>0.60370973361074509</v>
      </c>
      <c r="E706">
        <v>796.98</v>
      </c>
      <c r="F706">
        <v>-2753.09</v>
      </c>
      <c r="G706">
        <v>2396.98</v>
      </c>
      <c r="H706">
        <v>7.9000000000000008E-3</v>
      </c>
      <c r="I706">
        <v>5.3899999999999998E-3</v>
      </c>
      <c r="J706">
        <v>3.8778934092647481E-2</v>
      </c>
      <c r="K706">
        <v>-0.13395806125765625</v>
      </c>
      <c r="L706">
        <v>0.11663069266655897</v>
      </c>
      <c r="M706">
        <v>3.0635357933191511E-4</v>
      </c>
      <c r="N706">
        <v>-1.0582686839354844E-3</v>
      </c>
      <c r="O706">
        <v>9.213824720658159E-4</v>
      </c>
      <c r="P706">
        <v>2.0901845475936991E-4</v>
      </c>
      <c r="Q706">
        <v>-7.2203395017876712E-4</v>
      </c>
      <c r="R706">
        <v>6.2863943347275287E-4</v>
      </c>
    </row>
    <row r="707" spans="1:18">
      <c r="A707" t="s">
        <v>158</v>
      </c>
      <c r="B707">
        <v>2017</v>
      </c>
      <c r="C707">
        <v>-0.85268410257000737</v>
      </c>
      <c r="D707">
        <v>0.65724658715270401</v>
      </c>
      <c r="E707">
        <v>112.31</v>
      </c>
      <c r="F707">
        <v>-250.03</v>
      </c>
      <c r="G707">
        <v>148.11000000000001</v>
      </c>
      <c r="H707">
        <v>9.4200000000000006E-2</v>
      </c>
      <c r="I707">
        <v>7.5000000000000002E-4</v>
      </c>
      <c r="J707">
        <v>4.8657172936370056E-2</v>
      </c>
      <c r="K707">
        <v>-0.10832297167910787</v>
      </c>
      <c r="L707">
        <v>6.4167161282216806E-2</v>
      </c>
      <c r="M707">
        <v>4.5835056906060592E-3</v>
      </c>
      <c r="N707">
        <v>-1.0204023932171962E-2</v>
      </c>
      <c r="O707">
        <v>6.0445465927848234E-3</v>
      </c>
      <c r="P707">
        <v>3.6492879702277544E-5</v>
      </c>
      <c r="Q707">
        <v>-8.1242228759330901E-5</v>
      </c>
      <c r="R707">
        <v>4.8125370961662603E-5</v>
      </c>
    </row>
    <row r="708" spans="1:18">
      <c r="A708" t="s">
        <v>158</v>
      </c>
      <c r="B708">
        <v>2018</v>
      </c>
      <c r="C708">
        <v>-1.3856956956578705</v>
      </c>
      <c r="D708">
        <v>0.57307061576305429</v>
      </c>
      <c r="E708">
        <v>37.07</v>
      </c>
      <c r="F708">
        <v>301.52</v>
      </c>
      <c r="G708">
        <v>-355.25</v>
      </c>
      <c r="H708">
        <v>9.4200000000000006E-2</v>
      </c>
      <c r="I708">
        <v>7.5000000000000002E-4</v>
      </c>
      <c r="J708">
        <v>1.8533887966721996E-2</v>
      </c>
      <c r="K708">
        <v>0.15075095494270344</v>
      </c>
      <c r="L708">
        <v>-0.17761434313941166</v>
      </c>
      <c r="M708">
        <v>1.7458922464652121E-3</v>
      </c>
      <c r="N708">
        <v>1.4200739955602665E-2</v>
      </c>
      <c r="O708">
        <v>-1.6731271123732579E-2</v>
      </c>
      <c r="P708">
        <v>1.3900415975041497E-5</v>
      </c>
      <c r="Q708">
        <v>1.1306321620702758E-4</v>
      </c>
      <c r="R708">
        <v>-1.3321075735455874E-4</v>
      </c>
    </row>
    <row r="709" spans="1:18">
      <c r="A709" t="s">
        <v>158</v>
      </c>
      <c r="B709">
        <v>2019</v>
      </c>
      <c r="C709">
        <v>-1.4343897130145176</v>
      </c>
      <c r="D709">
        <v>0.56521979624470742</v>
      </c>
      <c r="E709">
        <v>229.53</v>
      </c>
      <c r="F709">
        <v>1.96</v>
      </c>
      <c r="G709">
        <v>-243.12</v>
      </c>
      <c r="H709">
        <v>8.5999999999999993E-2</v>
      </c>
      <c r="I709">
        <v>7.5000000000000002E-4</v>
      </c>
      <c r="J709">
        <v>0.11541942815765389</v>
      </c>
      <c r="K709">
        <v>9.8558828557923422E-4</v>
      </c>
      <c r="L709">
        <v>-0.122253175505114</v>
      </c>
      <c r="M709">
        <v>9.9260708215582333E-3</v>
      </c>
      <c r="N709">
        <v>8.4760592559814132E-5</v>
      </c>
      <c r="O709">
        <v>-1.0513773093439803E-2</v>
      </c>
      <c r="P709">
        <v>8.6564571118240421E-5</v>
      </c>
      <c r="Q709">
        <v>7.391912141844257E-7</v>
      </c>
      <c r="R709">
        <v>-9.1689881628835497E-5</v>
      </c>
    </row>
    <row r="710" spans="1:18">
      <c r="A710" t="s">
        <v>158</v>
      </c>
      <c r="B710">
        <v>2020</v>
      </c>
      <c r="C710">
        <v>-1.2378725112541238</v>
      </c>
      <c r="D710">
        <v>0.59004223393929867</v>
      </c>
      <c r="E710">
        <v>193.21</v>
      </c>
      <c r="F710">
        <v>-21.35</v>
      </c>
      <c r="G710">
        <v>-160.74</v>
      </c>
      <c r="H710">
        <v>8.5999999999999993E-2</v>
      </c>
      <c r="I710">
        <v>1.3999999999999999E-4</v>
      </c>
      <c r="J710">
        <v>0.10136670076860524</v>
      </c>
      <c r="K710">
        <v>-1.1201175205267439E-2</v>
      </c>
      <c r="L710">
        <v>-8.4331470842842537E-2</v>
      </c>
      <c r="M710">
        <v>8.7175362661000497E-3</v>
      </c>
      <c r="N710">
        <v>-9.633010676529997E-4</v>
      </c>
      <c r="O710">
        <v>-7.2525064924844574E-3</v>
      </c>
      <c r="P710">
        <v>1.4191338107604733E-5</v>
      </c>
      <c r="Q710">
        <v>-1.5681645287374414E-6</v>
      </c>
      <c r="R710">
        <v>-1.1806405917997953E-5</v>
      </c>
    </row>
    <row r="711" spans="1:18">
      <c r="A711" t="s">
        <v>158</v>
      </c>
      <c r="B711">
        <v>2021</v>
      </c>
      <c r="C711">
        <v>-0.87800921056955561</v>
      </c>
      <c r="D711">
        <v>0.6421365694113188</v>
      </c>
      <c r="E711">
        <v>81.99</v>
      </c>
      <c r="F711">
        <v>-395.12</v>
      </c>
      <c r="G711">
        <v>318.47000000000003</v>
      </c>
      <c r="H711">
        <v>3.4500000000000003E-2</v>
      </c>
      <c r="I711">
        <v>1.3999999999999999E-4</v>
      </c>
      <c r="J711">
        <v>3.3773680503206831E-2</v>
      </c>
      <c r="K711">
        <v>-0.16275956385445886</v>
      </c>
      <c r="L711">
        <v>0.13118555957868375</v>
      </c>
      <c r="M711">
        <v>1.1651919773606357E-3</v>
      </c>
      <c r="N711">
        <v>-5.6152049529788308E-3</v>
      </c>
      <c r="O711">
        <v>4.5259018054645897E-3</v>
      </c>
      <c r="P711">
        <v>4.7283152704489561E-6</v>
      </c>
      <c r="Q711">
        <v>-2.2786338939624239E-5</v>
      </c>
      <c r="R711">
        <v>1.8365978341015722E-5</v>
      </c>
    </row>
    <row r="712" spans="1:18">
      <c r="A712" t="s">
        <v>159</v>
      </c>
      <c r="B712">
        <v>2017</v>
      </c>
      <c r="C712">
        <v>4.5770673287360862E-2</v>
      </c>
      <c r="D712">
        <v>0.77891907697859186</v>
      </c>
      <c r="E712">
        <v>-532.62</v>
      </c>
      <c r="F712">
        <v>18.13</v>
      </c>
      <c r="G712">
        <v>464.47</v>
      </c>
      <c r="H712">
        <v>4.1000000000000003E-3</v>
      </c>
      <c r="I712">
        <v>0.15790000000000001</v>
      </c>
      <c r="J712">
        <v>-0.33136941387269575</v>
      </c>
      <c r="K712">
        <v>1.1279575444992628E-2</v>
      </c>
      <c r="L712">
        <v>0.28896990661531863</v>
      </c>
      <c r="M712">
        <v>-1.3586145968780526E-3</v>
      </c>
      <c r="N712">
        <v>4.624625932446978E-5</v>
      </c>
      <c r="O712">
        <v>1.1847766171228064E-3</v>
      </c>
      <c r="P712">
        <v>-5.2323230450498665E-2</v>
      </c>
      <c r="Q712">
        <v>1.781044962764336E-3</v>
      </c>
      <c r="R712">
        <v>4.5628348254558818E-2</v>
      </c>
    </row>
    <row r="713" spans="1:18">
      <c r="A713" t="s">
        <v>159</v>
      </c>
      <c r="B713">
        <v>2018</v>
      </c>
      <c r="C713">
        <v>0.30673670136779069</v>
      </c>
      <c r="D713">
        <v>0.83106573184284493</v>
      </c>
      <c r="E713">
        <v>-513.67999999999995</v>
      </c>
      <c r="F713">
        <v>-4.04</v>
      </c>
      <c r="G713">
        <v>612.59</v>
      </c>
      <c r="H713">
        <v>0</v>
      </c>
      <c r="I713">
        <v>0.15529999999999999</v>
      </c>
      <c r="J713">
        <v>-0.20987775380793619</v>
      </c>
      <c r="K713">
        <v>-1.6506504543374518E-3</v>
      </c>
      <c r="L713">
        <v>0.25029008956004445</v>
      </c>
      <c r="M713">
        <v>0</v>
      </c>
      <c r="N713">
        <v>0</v>
      </c>
      <c r="O713">
        <v>0</v>
      </c>
      <c r="P713">
        <v>-3.2594015166372489E-2</v>
      </c>
      <c r="Q713">
        <v>-2.5634601555860623E-4</v>
      </c>
      <c r="R713">
        <v>3.8870050908674902E-2</v>
      </c>
    </row>
    <row r="714" spans="1:18">
      <c r="A714" t="s">
        <v>159</v>
      </c>
      <c r="B714">
        <v>2019</v>
      </c>
      <c r="C714">
        <v>0.1637035638195487</v>
      </c>
      <c r="D714">
        <v>0.80894975648336997</v>
      </c>
      <c r="E714">
        <v>294.52</v>
      </c>
      <c r="F714">
        <v>4.05</v>
      </c>
      <c r="G714">
        <v>-344.45</v>
      </c>
      <c r="H714">
        <v>0</v>
      </c>
      <c r="I714">
        <v>0.16192000000000001</v>
      </c>
      <c r="J714">
        <v>0.12259917578986802</v>
      </c>
      <c r="K714">
        <v>1.6858843608208798E-3</v>
      </c>
      <c r="L714">
        <v>-0.14338342421845729</v>
      </c>
      <c r="M714">
        <v>0</v>
      </c>
      <c r="N714">
        <v>0</v>
      </c>
      <c r="O714">
        <v>0</v>
      </c>
      <c r="P714">
        <v>1.9851258543895432E-2</v>
      </c>
      <c r="Q714">
        <v>2.7297839570411688E-4</v>
      </c>
      <c r="R714">
        <v>-2.3216644049452607E-2</v>
      </c>
    </row>
    <row r="715" spans="1:18">
      <c r="A715" t="s">
        <v>159</v>
      </c>
      <c r="B715">
        <v>2020</v>
      </c>
      <c r="C715">
        <v>0.25187779087631529</v>
      </c>
      <c r="D715">
        <v>0.80316445722615082</v>
      </c>
      <c r="E715">
        <v>287.77999999999997</v>
      </c>
      <c r="F715">
        <v>-121.53</v>
      </c>
      <c r="G715">
        <v>-207.49</v>
      </c>
      <c r="H715">
        <v>0</v>
      </c>
      <c r="I715">
        <v>0.1108</v>
      </c>
      <c r="J715">
        <v>0.14171607540331316</v>
      </c>
      <c r="K715">
        <v>-5.984694782043453E-2</v>
      </c>
      <c r="L715">
        <v>-0.10217759568223453</v>
      </c>
      <c r="M715">
        <v>0</v>
      </c>
      <c r="N715">
        <v>0</v>
      </c>
      <c r="O715">
        <v>0</v>
      </c>
      <c r="P715">
        <v>1.5702141154687096E-2</v>
      </c>
      <c r="Q715">
        <v>-6.6310418185041454E-3</v>
      </c>
      <c r="R715">
        <v>-1.1321277601591585E-2</v>
      </c>
    </row>
    <row r="716" spans="1:18">
      <c r="A716" t="s">
        <v>159</v>
      </c>
      <c r="B716">
        <v>2021</v>
      </c>
      <c r="C716">
        <v>-0.31574034403918089</v>
      </c>
      <c r="D716">
        <v>0.71740843011451316</v>
      </c>
      <c r="E716">
        <v>-237.56</v>
      </c>
      <c r="F716">
        <v>11.05</v>
      </c>
      <c r="G716">
        <v>200.12</v>
      </c>
      <c r="H716">
        <v>1.5599999999999999E-2</v>
      </c>
      <c r="I716">
        <v>2.01E-2</v>
      </c>
      <c r="J716">
        <v>-9.6467148542191183E-2</v>
      </c>
      <c r="K716">
        <v>4.4871274262974093E-3</v>
      </c>
      <c r="L716">
        <v>8.126370502720702E-2</v>
      </c>
      <c r="M716">
        <v>-1.5048875172581824E-3</v>
      </c>
      <c r="N716">
        <v>6.9999187850239587E-5</v>
      </c>
      <c r="O716">
        <v>1.2677137984244294E-3</v>
      </c>
      <c r="P716">
        <v>-1.9389896856980427E-3</v>
      </c>
      <c r="Q716">
        <v>9.019126126857793E-5</v>
      </c>
      <c r="R716">
        <v>1.6334004710468612E-3</v>
      </c>
    </row>
    <row r="717" spans="1:18">
      <c r="A717" t="s">
        <v>160</v>
      </c>
      <c r="B717">
        <v>2017</v>
      </c>
      <c r="C717">
        <v>-2.150064552904833</v>
      </c>
      <c r="D717">
        <v>0.43861961061880966</v>
      </c>
      <c r="E717">
        <v>115.19</v>
      </c>
      <c r="F717">
        <v>108.08</v>
      </c>
      <c r="G717">
        <v>-275.94</v>
      </c>
      <c r="H717">
        <v>0.1106</v>
      </c>
      <c r="I717">
        <v>6.9999999999999999E-4</v>
      </c>
      <c r="J717">
        <v>2.6819432738380725E-2</v>
      </c>
      <c r="K717">
        <v>2.516402717565925E-2</v>
      </c>
      <c r="L717">
        <v>-6.4246499434228471E-2</v>
      </c>
      <c r="M717">
        <v>2.9662292608649081E-3</v>
      </c>
      <c r="N717">
        <v>2.783141405627913E-3</v>
      </c>
      <c r="O717">
        <v>-7.1056628374256692E-3</v>
      </c>
      <c r="P717">
        <v>1.8773602916866509E-5</v>
      </c>
      <c r="Q717">
        <v>1.7614819022961476E-5</v>
      </c>
      <c r="R717">
        <v>-4.4972549603959927E-5</v>
      </c>
    </row>
    <row r="718" spans="1:18">
      <c r="A718" t="s">
        <v>160</v>
      </c>
      <c r="B718">
        <v>2018</v>
      </c>
      <c r="C718">
        <v>-2.1866646568398975</v>
      </c>
      <c r="D718">
        <v>0.47185851910530674</v>
      </c>
      <c r="E718">
        <v>468.44</v>
      </c>
      <c r="F718">
        <v>-72.67</v>
      </c>
      <c r="G718">
        <v>-274.07</v>
      </c>
      <c r="H718">
        <v>6.6900000000000001E-2</v>
      </c>
      <c r="I718">
        <v>6.9999999999999999E-4</v>
      </c>
      <c r="J718">
        <v>9.2079735342507754E-2</v>
      </c>
      <c r="K718">
        <v>-1.4284506804158567E-2</v>
      </c>
      <c r="L718">
        <v>-5.3873053251902274E-2</v>
      </c>
      <c r="M718">
        <v>6.1601342944137688E-3</v>
      </c>
      <c r="N718">
        <v>-9.5563350519820814E-4</v>
      </c>
      <c r="O718">
        <v>-3.6041072625522621E-3</v>
      </c>
      <c r="P718">
        <v>6.445581473975543E-5</v>
      </c>
      <c r="Q718">
        <v>-9.9991547629109966E-6</v>
      </c>
      <c r="R718">
        <v>-3.771113727633159E-5</v>
      </c>
    </row>
    <row r="719" spans="1:18">
      <c r="A719" t="s">
        <v>160</v>
      </c>
      <c r="B719">
        <v>2019</v>
      </c>
      <c r="C719">
        <v>-1.5148551968989814</v>
      </c>
      <c r="D719">
        <v>0.55569979383415513</v>
      </c>
      <c r="E719">
        <v>641.12</v>
      </c>
      <c r="F719">
        <v>-53.89</v>
      </c>
      <c r="G719">
        <v>-280</v>
      </c>
      <c r="H719">
        <v>5.74E-2</v>
      </c>
      <c r="I719">
        <v>1.34E-3</v>
      </c>
      <c r="J719">
        <v>0.10950873770819419</v>
      </c>
      <c r="K719">
        <v>-9.2048694083706403E-3</v>
      </c>
      <c r="L719">
        <v>-4.7826376588305422E-2</v>
      </c>
      <c r="M719">
        <v>6.2858015444503465E-3</v>
      </c>
      <c r="N719">
        <v>-5.2835950404047478E-4</v>
      </c>
      <c r="O719">
        <v>-2.7452340161687313E-3</v>
      </c>
      <c r="P719">
        <v>1.4674170852898023E-4</v>
      </c>
      <c r="Q719">
        <v>-1.2334525007216658E-5</v>
      </c>
      <c r="R719">
        <v>-6.4087344628329263E-5</v>
      </c>
    </row>
    <row r="720" spans="1:18">
      <c r="A720" t="s">
        <v>160</v>
      </c>
      <c r="B720">
        <v>2020</v>
      </c>
      <c r="C720">
        <v>-2.271652610844181</v>
      </c>
      <c r="D720">
        <v>0.49360291913649351</v>
      </c>
      <c r="E720">
        <v>783.67</v>
      </c>
      <c r="F720">
        <v>-751.2</v>
      </c>
      <c r="G720">
        <v>-275.12</v>
      </c>
      <c r="H720">
        <v>0.85899999999999999</v>
      </c>
      <c r="I720">
        <v>1.6999999999999999E-3</v>
      </c>
      <c r="J720">
        <v>0.11984700837447161</v>
      </c>
      <c r="K720">
        <v>-0.11488135655429338</v>
      </c>
      <c r="L720">
        <v>-4.2074226324836518E-2</v>
      </c>
      <c r="M720">
        <v>0.10294858019367112</v>
      </c>
      <c r="N720">
        <v>-9.8683085280138014E-2</v>
      </c>
      <c r="O720">
        <v>-3.6141760413034567E-2</v>
      </c>
      <c r="P720">
        <v>2.0373991423660172E-4</v>
      </c>
      <c r="Q720">
        <v>-1.9529830614229874E-4</v>
      </c>
      <c r="R720">
        <v>-7.1526184752222072E-5</v>
      </c>
    </row>
    <row r="721" spans="1:18">
      <c r="A721" t="s">
        <v>160</v>
      </c>
      <c r="B721">
        <v>2021</v>
      </c>
      <c r="C721">
        <v>-1.932936649521998</v>
      </c>
      <c r="D721">
        <v>0.48413327846983945</v>
      </c>
      <c r="E721">
        <v>254.57</v>
      </c>
      <c r="F721">
        <v>315</v>
      </c>
      <c r="G721">
        <v>-858.13</v>
      </c>
      <c r="H721">
        <v>0.14710000000000001</v>
      </c>
      <c r="I721">
        <v>1.6999999999999999E-3</v>
      </c>
      <c r="J721">
        <v>4.2237700511690568E-2</v>
      </c>
      <c r="K721">
        <v>5.2264114629306399E-2</v>
      </c>
      <c r="L721">
        <v>-0.14237906249792603</v>
      </c>
      <c r="M721">
        <v>6.2131657452696833E-3</v>
      </c>
      <c r="N721">
        <v>7.6880512619709714E-3</v>
      </c>
      <c r="O721">
        <v>-2.094396009344492E-2</v>
      </c>
      <c r="P721">
        <v>7.1804090869873955E-5</v>
      </c>
      <c r="Q721">
        <v>8.8848994869820871E-5</v>
      </c>
      <c r="R721">
        <v>-2.4204440624647425E-4</v>
      </c>
    </row>
    <row r="722" spans="1:18">
      <c r="A722" t="s">
        <v>161</v>
      </c>
      <c r="B722">
        <v>2017</v>
      </c>
      <c r="C722">
        <v>0.37054371163545607</v>
      </c>
      <c r="D722">
        <v>0.75879380442118094</v>
      </c>
      <c r="E722">
        <v>82.92</v>
      </c>
      <c r="F722">
        <v>-16.239999999999998</v>
      </c>
      <c r="G722">
        <v>-38.520000000000003</v>
      </c>
      <c r="H722">
        <v>8.2000000000000007E-3</v>
      </c>
      <c r="I722">
        <v>8.8800000000000004E-2</v>
      </c>
      <c r="J722">
        <v>0.13648708705742926</v>
      </c>
      <c r="K722">
        <v>-2.6731190229289086E-2</v>
      </c>
      <c r="L722">
        <v>-6.3404276332032994E-2</v>
      </c>
      <c r="M722">
        <v>1.1191941138709201E-3</v>
      </c>
      <c r="N722">
        <v>-2.1919575988017052E-4</v>
      </c>
      <c r="O722">
        <v>-5.1991506592267056E-4</v>
      </c>
      <c r="P722">
        <v>1.212005333069972E-2</v>
      </c>
      <c r="Q722">
        <v>-2.3737296923608711E-3</v>
      </c>
      <c r="R722">
        <v>-5.6302997382845299E-3</v>
      </c>
    </row>
    <row r="723" spans="1:18">
      <c r="A723" t="s">
        <v>161</v>
      </c>
      <c r="B723">
        <v>2018</v>
      </c>
      <c r="C723">
        <v>0.10789993654060848</v>
      </c>
      <c r="D723">
        <v>0.7130530520278574</v>
      </c>
      <c r="E723">
        <v>138.16</v>
      </c>
      <c r="F723">
        <v>-1.51</v>
      </c>
      <c r="G723">
        <v>-165.02</v>
      </c>
      <c r="H723">
        <v>7.9000000000000008E-3</v>
      </c>
      <c r="I723">
        <v>8.9300000000000004E-2</v>
      </c>
      <c r="J723">
        <v>0.35374846374436703</v>
      </c>
      <c r="K723">
        <v>-3.8662433428922572E-3</v>
      </c>
      <c r="L723">
        <v>-0.42252150757886114</v>
      </c>
      <c r="M723">
        <v>2.7946128635804998E-3</v>
      </c>
      <c r="N723">
        <v>-3.0543322408848834E-5</v>
      </c>
      <c r="O723">
        <v>-3.3379199098730033E-3</v>
      </c>
      <c r="P723">
        <v>3.1589737812371975E-2</v>
      </c>
      <c r="Q723">
        <v>-3.4525553052027857E-4</v>
      </c>
      <c r="R723">
        <v>-3.77311706267923E-2</v>
      </c>
    </row>
    <row r="724" spans="1:18">
      <c r="A724" t="s">
        <v>161</v>
      </c>
      <c r="B724">
        <v>2019</v>
      </c>
      <c r="C724">
        <v>-0.9860697660877733</v>
      </c>
      <c r="D724">
        <v>0.59995284448785746</v>
      </c>
      <c r="E724">
        <v>67.63</v>
      </c>
      <c r="F724">
        <v>23.92</v>
      </c>
      <c r="G724">
        <v>-95.19</v>
      </c>
      <c r="H724">
        <v>7.7999999999999996E-3</v>
      </c>
      <c r="I724">
        <v>6.4500000000000002E-2</v>
      </c>
      <c r="J724">
        <v>0.22779480615716258</v>
      </c>
      <c r="K724">
        <v>8.0568560746404408E-2</v>
      </c>
      <c r="L724">
        <v>-0.32062380006062852</v>
      </c>
      <c r="M724">
        <v>1.7767994880258681E-3</v>
      </c>
      <c r="N724">
        <v>6.284347738219543E-4</v>
      </c>
      <c r="O724">
        <v>-2.5008656404729023E-3</v>
      </c>
      <c r="P724">
        <v>1.4692764997136986E-2</v>
      </c>
      <c r="Q724">
        <v>5.1966721681430848E-3</v>
      </c>
      <c r="R724">
        <v>-2.0680235103910542E-2</v>
      </c>
    </row>
    <row r="725" spans="1:18">
      <c r="A725" t="s">
        <v>161</v>
      </c>
      <c r="B725">
        <v>2020</v>
      </c>
      <c r="C725">
        <v>-0.69333552961309386</v>
      </c>
      <c r="D725">
        <v>0.63790826128722378</v>
      </c>
      <c r="E725">
        <v>-38.299999999999997</v>
      </c>
      <c r="F725">
        <v>0.31</v>
      </c>
      <c r="G725">
        <v>35.22</v>
      </c>
      <c r="H725">
        <v>7.7000000000000002E-3</v>
      </c>
      <c r="I725">
        <v>7.0199999999999999E-2</v>
      </c>
      <c r="J725">
        <v>-0.11497358309317962</v>
      </c>
      <c r="K725">
        <v>9.3059558117195007E-4</v>
      </c>
      <c r="L725">
        <v>0.10572766570605187</v>
      </c>
      <c r="M725">
        <v>-8.8529658981748309E-4</v>
      </c>
      <c r="N725">
        <v>7.165585975024016E-6</v>
      </c>
      <c r="O725">
        <v>8.1410302593659938E-4</v>
      </c>
      <c r="P725">
        <v>-8.0711455331412101E-3</v>
      </c>
      <c r="Q725">
        <v>6.53278097982709E-5</v>
      </c>
      <c r="R725">
        <v>7.422082132564841E-3</v>
      </c>
    </row>
    <row r="726" spans="1:18">
      <c r="A726" t="s">
        <v>161</v>
      </c>
      <c r="B726">
        <v>2021</v>
      </c>
      <c r="C726">
        <v>-0.51889912034648022</v>
      </c>
      <c r="D726">
        <v>0.65057645631067962</v>
      </c>
      <c r="E726">
        <v>9.52</v>
      </c>
      <c r="F726">
        <v>0.2</v>
      </c>
      <c r="G726">
        <v>-5.74</v>
      </c>
      <c r="H726">
        <v>8.5000000000000006E-3</v>
      </c>
      <c r="I726">
        <v>6.6299999999999998E-2</v>
      </c>
      <c r="J726">
        <v>2.8883495145631065E-2</v>
      </c>
      <c r="K726">
        <v>6.0679611650485432E-4</v>
      </c>
      <c r="L726">
        <v>-1.7415048543689318E-2</v>
      </c>
      <c r="M726">
        <v>2.4550970873786406E-4</v>
      </c>
      <c r="N726">
        <v>5.1577669902912623E-6</v>
      </c>
      <c r="O726">
        <v>-1.4802791262135922E-4</v>
      </c>
      <c r="P726">
        <v>1.9149757281553396E-3</v>
      </c>
      <c r="Q726">
        <v>4.023058252427184E-5</v>
      </c>
      <c r="R726">
        <v>-1.1546177184466018E-3</v>
      </c>
    </row>
    <row r="727" spans="1:18">
      <c r="A727" t="s">
        <v>162</v>
      </c>
      <c r="B727">
        <v>2017</v>
      </c>
      <c r="C727">
        <v>-1.8165293692149007</v>
      </c>
      <c r="D727">
        <v>0.49972730075170146</v>
      </c>
      <c r="E727">
        <v>50.29</v>
      </c>
      <c r="F727">
        <v>-213.16</v>
      </c>
      <c r="G727">
        <v>117.24</v>
      </c>
      <c r="H727">
        <v>0.15540000000000001</v>
      </c>
      <c r="I727">
        <v>9.9000000000000008E-3</v>
      </c>
      <c r="J727">
        <v>0.11925256692988073</v>
      </c>
      <c r="K727">
        <v>-0.50546584145502838</v>
      </c>
      <c r="L727">
        <v>0.27801095539588816</v>
      </c>
      <c r="M727">
        <v>1.8531848900903466E-2</v>
      </c>
      <c r="N727">
        <v>-7.8549391762111412E-2</v>
      </c>
      <c r="O727">
        <v>4.3202902468521022E-2</v>
      </c>
      <c r="P727">
        <v>1.1806004126058193E-3</v>
      </c>
      <c r="Q727">
        <v>-5.0041118304047817E-3</v>
      </c>
      <c r="R727">
        <v>2.7523084584192932E-3</v>
      </c>
    </row>
    <row r="728" spans="1:18">
      <c r="A728" t="s">
        <v>162</v>
      </c>
      <c r="B728">
        <v>2018</v>
      </c>
      <c r="C728">
        <v>-2.2048800775395057</v>
      </c>
      <c r="D728">
        <v>0.44187176994320215</v>
      </c>
      <c r="E728">
        <v>72.66</v>
      </c>
      <c r="F728">
        <v>-3.46</v>
      </c>
      <c r="G728">
        <v>-65.08</v>
      </c>
      <c r="H728">
        <v>0.1547</v>
      </c>
      <c r="I728">
        <v>1.3188E-2</v>
      </c>
      <c r="J728">
        <v>0.1858977639052346</v>
      </c>
      <c r="K728">
        <v>-8.8522744716778377E-3</v>
      </c>
      <c r="L728">
        <v>-0.16650463081410222</v>
      </c>
      <c r="M728">
        <v>2.8758384076139794E-2</v>
      </c>
      <c r="N728">
        <v>-1.3694468607685615E-3</v>
      </c>
      <c r="O728">
        <v>-2.5758266386941613E-2</v>
      </c>
      <c r="P728">
        <v>2.4516197103822339E-3</v>
      </c>
      <c r="Q728">
        <v>-1.1674379573248732E-4</v>
      </c>
      <c r="R728">
        <v>-2.19586307117638E-3</v>
      </c>
    </row>
    <row r="729" spans="1:18">
      <c r="A729" t="s">
        <v>162</v>
      </c>
      <c r="B729">
        <v>2019</v>
      </c>
      <c r="C729">
        <v>-1.1679051460019607</v>
      </c>
      <c r="D729">
        <v>0.59775252433860515</v>
      </c>
      <c r="E729">
        <v>90.38</v>
      </c>
      <c r="F729">
        <v>-215.11</v>
      </c>
      <c r="G729">
        <v>106.33</v>
      </c>
      <c r="H729">
        <v>2.7799999999999998E-2</v>
      </c>
      <c r="I729">
        <v>1.3188E-2</v>
      </c>
      <c r="J729">
        <v>0.16354818862871412</v>
      </c>
      <c r="K729">
        <v>-0.38925482248199489</v>
      </c>
      <c r="L729">
        <v>0.19241069812891318</v>
      </c>
      <c r="M729">
        <v>4.5466396438782518E-3</v>
      </c>
      <c r="N729">
        <v>-1.0821284064999458E-2</v>
      </c>
      <c r="O729">
        <v>5.3490174079837858E-3</v>
      </c>
      <c r="P729">
        <v>2.1568735116354819E-3</v>
      </c>
      <c r="Q729">
        <v>-5.1334925988925483E-3</v>
      </c>
      <c r="R729">
        <v>2.5375122869241069E-3</v>
      </c>
    </row>
    <row r="730" spans="1:18">
      <c r="A730" t="s">
        <v>162</v>
      </c>
      <c r="B730">
        <v>2020</v>
      </c>
      <c r="C730">
        <v>-1.4240328396875774</v>
      </c>
      <c r="D730">
        <v>0.54757983530829479</v>
      </c>
      <c r="E730">
        <v>68.83</v>
      </c>
      <c r="F730">
        <v>3.82</v>
      </c>
      <c r="G730">
        <v>-60.57</v>
      </c>
      <c r="H730">
        <v>2.3300000000000001E-2</v>
      </c>
      <c r="I730">
        <v>9.7999999999999997E-3</v>
      </c>
      <c r="J730">
        <v>0.13824061056437037</v>
      </c>
      <c r="K730">
        <v>7.6722233380196823E-3</v>
      </c>
      <c r="L730">
        <v>-0.12165093392247441</v>
      </c>
      <c r="M730">
        <v>3.22100622614983E-3</v>
      </c>
      <c r="N730">
        <v>1.787628037758586E-4</v>
      </c>
      <c r="O730">
        <v>-2.8344667603936538E-3</v>
      </c>
      <c r="P730">
        <v>1.3547579835308295E-3</v>
      </c>
      <c r="Q730">
        <v>7.5187788712592887E-5</v>
      </c>
      <c r="R730">
        <v>-1.192179152440249E-3</v>
      </c>
    </row>
    <row r="731" spans="1:18">
      <c r="A731" t="s">
        <v>162</v>
      </c>
      <c r="B731">
        <v>2021</v>
      </c>
      <c r="C731">
        <v>-2.0094108969451177</v>
      </c>
      <c r="D731">
        <v>0.43510877719429852</v>
      </c>
      <c r="E731">
        <v>68.36</v>
      </c>
      <c r="F731">
        <v>-90.16</v>
      </c>
      <c r="G731">
        <v>13.01</v>
      </c>
      <c r="H731">
        <v>1.26E-2</v>
      </c>
      <c r="I731">
        <v>0.01</v>
      </c>
      <c r="J731">
        <v>0.12820705176294073</v>
      </c>
      <c r="K731">
        <v>-0.16909227306826705</v>
      </c>
      <c r="L731">
        <v>2.439984996249062E-2</v>
      </c>
      <c r="M731">
        <v>1.6154088522130532E-3</v>
      </c>
      <c r="N731">
        <v>-2.1305626406601646E-3</v>
      </c>
      <c r="O731">
        <v>3.0743810952738179E-4</v>
      </c>
      <c r="P731">
        <v>1.2820705176294074E-3</v>
      </c>
      <c r="Q731">
        <v>-1.6909227306826705E-3</v>
      </c>
      <c r="R731">
        <v>2.4399849962490619E-4</v>
      </c>
    </row>
    <row r="732" spans="1:18">
      <c r="A732" t="s">
        <v>163</v>
      </c>
      <c r="B732">
        <v>2017</v>
      </c>
      <c r="C732">
        <v>-1.0473608920447635</v>
      </c>
      <c r="D732">
        <v>0.62142891603012906</v>
      </c>
      <c r="E732">
        <v>1776.96</v>
      </c>
      <c r="F732">
        <v>-2281.83</v>
      </c>
      <c r="G732">
        <v>3425.24</v>
      </c>
      <c r="H732">
        <v>0.1037</v>
      </c>
      <c r="I732">
        <v>9.4000000000000008E-4</v>
      </c>
      <c r="J732">
        <v>2.8767800578477318E-2</v>
      </c>
      <c r="K732">
        <v>-3.694131009926329E-2</v>
      </c>
      <c r="L732">
        <v>5.5452357539518972E-2</v>
      </c>
      <c r="M732">
        <v>2.9832209199880978E-3</v>
      </c>
      <c r="N732">
        <v>-3.830813857293603E-3</v>
      </c>
      <c r="O732">
        <v>5.7504094768481171E-3</v>
      </c>
      <c r="P732">
        <v>2.704173254376868E-5</v>
      </c>
      <c r="Q732">
        <v>-3.4724831493307497E-5</v>
      </c>
      <c r="R732">
        <v>5.2125216087147836E-5</v>
      </c>
    </row>
    <row r="733" spans="1:18">
      <c r="A733" t="s">
        <v>163</v>
      </c>
      <c r="B733">
        <v>2018</v>
      </c>
      <c r="C733">
        <v>-1.2752029428528977</v>
      </c>
      <c r="D733">
        <v>0.589712332933924</v>
      </c>
      <c r="E733">
        <v>4371.29</v>
      </c>
      <c r="F733">
        <v>-3364.56</v>
      </c>
      <c r="G733">
        <v>-5009.12</v>
      </c>
      <c r="H733">
        <v>0.1096</v>
      </c>
      <c r="I733">
        <v>1.32E-3</v>
      </c>
      <c r="J733">
        <v>7.7666092427001204E-2</v>
      </c>
      <c r="K733">
        <v>-5.9779202005858949E-2</v>
      </c>
      <c r="L733">
        <v>-8.8998619834863443E-2</v>
      </c>
      <c r="M733">
        <v>8.512203729999333E-3</v>
      </c>
      <c r="N733">
        <v>-6.5518005398421406E-3</v>
      </c>
      <c r="O733">
        <v>-9.7542487339010338E-3</v>
      </c>
      <c r="P733">
        <v>1.0251924200364159E-4</v>
      </c>
      <c r="Q733">
        <v>-7.8908546647733817E-5</v>
      </c>
      <c r="R733">
        <v>-1.1747817818201975E-4</v>
      </c>
    </row>
    <row r="734" spans="1:18">
      <c r="A734" t="s">
        <v>163</v>
      </c>
      <c r="B734">
        <v>2019</v>
      </c>
      <c r="C734">
        <v>-1.3377106117173818</v>
      </c>
      <c r="D734">
        <v>0.58027350292839919</v>
      </c>
      <c r="E734">
        <v>4180.51</v>
      </c>
      <c r="F734">
        <v>-2467.15</v>
      </c>
      <c r="G734">
        <v>-661.82</v>
      </c>
      <c r="H734">
        <v>0.13400000000000001</v>
      </c>
      <c r="I734">
        <v>1.32E-3</v>
      </c>
      <c r="J734">
        <v>6.7686963640181785E-2</v>
      </c>
      <c r="K734">
        <v>-3.9945818176460403E-2</v>
      </c>
      <c r="L734">
        <v>-1.0715579265770232E-2</v>
      </c>
      <c r="M734">
        <v>9.0700531277843593E-3</v>
      </c>
      <c r="N734">
        <v>-5.3527396356456945E-3</v>
      </c>
      <c r="O734">
        <v>-1.435887621613211E-3</v>
      </c>
      <c r="P734">
        <v>8.9346792005039956E-5</v>
      </c>
      <c r="Q734">
        <v>-5.2728479992927729E-5</v>
      </c>
      <c r="R734">
        <v>-1.4144564630816705E-5</v>
      </c>
    </row>
    <row r="735" spans="1:18">
      <c r="A735" t="s">
        <v>163</v>
      </c>
      <c r="B735">
        <v>2020</v>
      </c>
      <c r="C735">
        <v>-0.94702858216692531</v>
      </c>
      <c r="D735">
        <v>0.60517269848678223</v>
      </c>
      <c r="E735">
        <v>5349.36</v>
      </c>
      <c r="F735">
        <v>-3842.52</v>
      </c>
      <c r="G735">
        <v>-2171.08</v>
      </c>
      <c r="H735">
        <v>0.157</v>
      </c>
      <c r="I735">
        <v>1.32E-3</v>
      </c>
      <c r="J735">
        <v>8.7542002686797293E-2</v>
      </c>
      <c r="K735">
        <v>-6.2882643187983672E-2</v>
      </c>
      <c r="L735">
        <v>-3.5529613111335165E-2</v>
      </c>
      <c r="M735">
        <v>1.3744094421827176E-2</v>
      </c>
      <c r="N735">
        <v>-9.8725749805134363E-3</v>
      </c>
      <c r="O735">
        <v>-5.5781492584796206E-3</v>
      </c>
      <c r="P735">
        <v>1.1555544354657242E-4</v>
      </c>
      <c r="Q735">
        <v>-8.3005089008138447E-5</v>
      </c>
      <c r="R735">
        <v>-4.6899089306962419E-5</v>
      </c>
    </row>
    <row r="736" spans="1:18">
      <c r="A736" t="s">
        <v>163</v>
      </c>
      <c r="B736">
        <v>2021</v>
      </c>
      <c r="C736">
        <v>-1.3078338190469654</v>
      </c>
      <c r="D736">
        <v>0.56382699266135372</v>
      </c>
      <c r="E736">
        <v>-656.32</v>
      </c>
      <c r="F736">
        <v>-4444.79</v>
      </c>
      <c r="G736">
        <v>685.84</v>
      </c>
      <c r="H736">
        <v>0.17019999999999999</v>
      </c>
      <c r="I736">
        <v>1.32E-3</v>
      </c>
      <c r="J736">
        <v>-1.0129764455812238E-2</v>
      </c>
      <c r="K736">
        <v>-6.8601712206773635E-2</v>
      </c>
      <c r="L736">
        <v>1.0585381604056351E-2</v>
      </c>
      <c r="M736">
        <v>-1.7240859103792429E-3</v>
      </c>
      <c r="N736">
        <v>-1.1676011417592872E-2</v>
      </c>
      <c r="O736">
        <v>1.8016319490103908E-3</v>
      </c>
      <c r="P736">
        <v>-1.3371289081672154E-5</v>
      </c>
      <c r="Q736">
        <v>-9.0554260112941197E-5</v>
      </c>
      <c r="R736">
        <v>1.3972703717354384E-5</v>
      </c>
    </row>
    <row r="737" spans="1:18">
      <c r="A737" t="s">
        <v>164</v>
      </c>
      <c r="B737">
        <v>2017</v>
      </c>
      <c r="C737">
        <v>-1.0175785034439326</v>
      </c>
      <c r="D737">
        <v>0.60496174247758527</v>
      </c>
      <c r="E737">
        <v>27.23</v>
      </c>
      <c r="F737">
        <v>-51.21</v>
      </c>
      <c r="G737">
        <v>25.26</v>
      </c>
      <c r="H737">
        <v>2.0000000000000001E-4</v>
      </c>
      <c r="I737">
        <v>0.15359999999999999</v>
      </c>
      <c r="J737">
        <v>2.1303728739301194E-2</v>
      </c>
      <c r="K737">
        <v>-4.0064779608505845E-2</v>
      </c>
      <c r="L737">
        <v>1.9762474768811905E-2</v>
      </c>
      <c r="M737">
        <v>4.2607457478602388E-6</v>
      </c>
      <c r="N737">
        <v>-8.0129559217011695E-6</v>
      </c>
      <c r="O737">
        <v>3.952494953762381E-6</v>
      </c>
      <c r="P737">
        <v>3.272252734356663E-3</v>
      </c>
      <c r="Q737">
        <v>-6.1539501478664969E-3</v>
      </c>
      <c r="R737">
        <v>3.0355161244895084E-3</v>
      </c>
    </row>
    <row r="738" spans="1:18">
      <c r="A738" t="s">
        <v>164</v>
      </c>
      <c r="B738">
        <v>2018</v>
      </c>
      <c r="C738">
        <v>-0.95298447749552539</v>
      </c>
      <c r="D738">
        <v>0.63973247799085509</v>
      </c>
      <c r="E738">
        <v>9.7100000000000009</v>
      </c>
      <c r="F738">
        <v>-196.91</v>
      </c>
      <c r="G738">
        <v>191.15</v>
      </c>
      <c r="H738">
        <v>8.3999999999999995E-3</v>
      </c>
      <c r="I738">
        <v>0.15359999999999999</v>
      </c>
      <c r="J738">
        <v>7.3629215101951072E-3</v>
      </c>
      <c r="K738">
        <v>-0.1493133753421749</v>
      </c>
      <c r="L738">
        <v>0.1449456690704217</v>
      </c>
      <c r="M738">
        <v>6.1848540685638902E-5</v>
      </c>
      <c r="N738">
        <v>-1.254232352874269E-3</v>
      </c>
      <c r="O738">
        <v>1.2175436201915422E-3</v>
      </c>
      <c r="P738">
        <v>1.1309447439659683E-3</v>
      </c>
      <c r="Q738">
        <v>-2.2934534452558063E-2</v>
      </c>
      <c r="R738">
        <v>2.2263654769216771E-2</v>
      </c>
    </row>
    <row r="739" spans="1:18">
      <c r="A739" t="s">
        <v>164</v>
      </c>
      <c r="B739">
        <v>2019</v>
      </c>
      <c r="C739">
        <v>-0.95566445518015197</v>
      </c>
      <c r="D739">
        <v>0.62019366933254216</v>
      </c>
      <c r="E739">
        <v>-50.32</v>
      </c>
      <c r="F739">
        <v>-9.01</v>
      </c>
      <c r="G739">
        <v>69.790000000000006</v>
      </c>
      <c r="H739">
        <v>1.11E-2</v>
      </c>
      <c r="I739">
        <v>0.15359999999999999</v>
      </c>
      <c r="J739">
        <v>-3.3932593361835274E-2</v>
      </c>
      <c r="K739">
        <v>-6.0757684060042888E-3</v>
      </c>
      <c r="L739">
        <v>4.7061917542179726E-2</v>
      </c>
      <c r="M739">
        <v>-3.7665178631637154E-4</v>
      </c>
      <c r="N739">
        <v>-6.7441029306647611E-5</v>
      </c>
      <c r="O739">
        <v>5.2238728471819501E-4</v>
      </c>
      <c r="P739">
        <v>-5.2120463403778974E-3</v>
      </c>
      <c r="Q739">
        <v>-9.3323802716225863E-4</v>
      </c>
      <c r="R739">
        <v>7.2287105344788051E-3</v>
      </c>
    </row>
    <row r="740" spans="1:18">
      <c r="A740" t="s">
        <v>164</v>
      </c>
      <c r="B740">
        <v>2020</v>
      </c>
      <c r="C740">
        <v>-1.6456564808226022</v>
      </c>
      <c r="D740">
        <v>0.46960312768701634</v>
      </c>
      <c r="E740">
        <v>32.93</v>
      </c>
      <c r="F740">
        <v>36.97</v>
      </c>
      <c r="G740">
        <v>-32.880000000000003</v>
      </c>
      <c r="H740">
        <v>3.5999999999999999E-3</v>
      </c>
      <c r="I740">
        <v>0.15359999999999999</v>
      </c>
      <c r="J740">
        <v>2.2120861994840927E-2</v>
      </c>
      <c r="K740">
        <v>2.4834748495270849E-2</v>
      </c>
      <c r="L740">
        <v>-2.2087274290627686E-2</v>
      </c>
      <c r="M740">
        <v>7.9635103181427329E-5</v>
      </c>
      <c r="N740">
        <v>8.9405094582975053E-5</v>
      </c>
      <c r="O740">
        <v>-7.951418744625967E-5</v>
      </c>
      <c r="P740">
        <v>3.3977644024075662E-3</v>
      </c>
      <c r="Q740">
        <v>3.814617368873602E-3</v>
      </c>
      <c r="R740">
        <v>-3.392605331040412E-3</v>
      </c>
    </row>
    <row r="741" spans="1:18">
      <c r="A741" t="s">
        <v>164</v>
      </c>
      <c r="B741">
        <v>2021</v>
      </c>
      <c r="C741">
        <v>-0.47347615271602889</v>
      </c>
      <c r="D741">
        <v>0.62251460637831102</v>
      </c>
      <c r="E741">
        <v>-4.8899999999999997</v>
      </c>
      <c r="F741">
        <v>-314.43</v>
      </c>
      <c r="G741">
        <v>312.86</v>
      </c>
      <c r="H741">
        <v>3.5999999999999999E-3</v>
      </c>
      <c r="I741">
        <v>0.15359999999999999</v>
      </c>
      <c r="J741">
        <v>-2.8231300371798721E-3</v>
      </c>
      <c r="K741">
        <v>-0.1815289933722837</v>
      </c>
      <c r="L741">
        <v>0.18062258965891512</v>
      </c>
      <c r="M741">
        <v>-1.0163268133847539E-5</v>
      </c>
      <c r="N741">
        <v>-6.5350437614022136E-4</v>
      </c>
      <c r="O741">
        <v>6.502413227720944E-4</v>
      </c>
      <c r="P741">
        <v>-4.336327737108283E-4</v>
      </c>
      <c r="Q741">
        <v>-2.7882853381982774E-2</v>
      </c>
      <c r="R741">
        <v>2.7743629771609359E-2</v>
      </c>
    </row>
    <row r="742" spans="1:18">
      <c r="A742" t="s">
        <v>165</v>
      </c>
      <c r="B742">
        <v>2017</v>
      </c>
      <c r="C742">
        <v>3.473839035411274E-2</v>
      </c>
      <c r="D742">
        <v>0.9531765593222622</v>
      </c>
      <c r="E742">
        <v>216.28</v>
      </c>
      <c r="F742">
        <v>-499</v>
      </c>
      <c r="G742">
        <v>304.20999999999998</v>
      </c>
      <c r="H742">
        <v>0.15989999999999999</v>
      </c>
      <c r="I742">
        <v>0.18709999999999999</v>
      </c>
      <c r="J742">
        <v>0.14564898245046937</v>
      </c>
      <c r="K742">
        <v>-0.33604051342141766</v>
      </c>
      <c r="L742">
        <v>0.20486349616819532</v>
      </c>
      <c r="M742">
        <v>2.328927229383005E-2</v>
      </c>
      <c r="N742">
        <v>-5.373287809608468E-2</v>
      </c>
      <c r="O742">
        <v>3.2757673037294432E-2</v>
      </c>
      <c r="P742">
        <v>2.7250924616482815E-2</v>
      </c>
      <c r="Q742">
        <v>-6.2873180061147241E-2</v>
      </c>
      <c r="R742">
        <v>3.8329960133069343E-2</v>
      </c>
    </row>
    <row r="743" spans="1:18">
      <c r="A743" t="s">
        <v>165</v>
      </c>
      <c r="B743">
        <v>2018</v>
      </c>
      <c r="C743">
        <v>1.5349855077018513</v>
      </c>
      <c r="D743">
        <v>1.2058101072856444</v>
      </c>
      <c r="E743">
        <v>149.79</v>
      </c>
      <c r="F743">
        <v>-450.53</v>
      </c>
      <c r="G743">
        <v>312.12</v>
      </c>
      <c r="H743">
        <v>0.158</v>
      </c>
      <c r="I743">
        <v>0.1822</v>
      </c>
      <c r="J743">
        <v>8.61679178531366E-2</v>
      </c>
      <c r="K743">
        <v>-0.25917105301003823</v>
      </c>
      <c r="L743">
        <v>0.17954957287082579</v>
      </c>
      <c r="M743">
        <v>1.3614531020795583E-2</v>
      </c>
      <c r="N743">
        <v>-4.0949026375586041E-2</v>
      </c>
      <c r="O743">
        <v>2.8368832513590476E-2</v>
      </c>
      <c r="P743">
        <v>1.5699794632841487E-2</v>
      </c>
      <c r="Q743">
        <v>-4.7220965858428963E-2</v>
      </c>
      <c r="R743">
        <v>3.2713932177064461E-2</v>
      </c>
    </row>
    <row r="744" spans="1:18">
      <c r="A744" t="s">
        <v>165</v>
      </c>
      <c r="B744">
        <v>2019</v>
      </c>
      <c r="C744">
        <v>0.47086219630238679</v>
      </c>
      <c r="D744">
        <v>0.98285665960582813</v>
      </c>
      <c r="E744">
        <v>223.29</v>
      </c>
      <c r="F744">
        <v>-500.82</v>
      </c>
      <c r="G744">
        <v>336.94</v>
      </c>
      <c r="H744">
        <v>0.23</v>
      </c>
      <c r="I744">
        <v>0.1832</v>
      </c>
      <c r="J744">
        <v>8.9920988410022634E-2</v>
      </c>
      <c r="K744">
        <v>-0.2016849362510974</v>
      </c>
      <c r="L744">
        <v>0.13568891502025629</v>
      </c>
      <c r="M744">
        <v>2.0681827334305208E-2</v>
      </c>
      <c r="N744">
        <v>-4.6387535337752403E-2</v>
      </c>
      <c r="O744">
        <v>3.1208450454658948E-2</v>
      </c>
      <c r="P744">
        <v>1.6473525076716147E-2</v>
      </c>
      <c r="Q744">
        <v>-3.6948680321201043E-2</v>
      </c>
      <c r="R744">
        <v>2.4858209231710952E-2</v>
      </c>
    </row>
    <row r="745" spans="1:18">
      <c r="A745" t="s">
        <v>165</v>
      </c>
      <c r="B745">
        <v>2020</v>
      </c>
      <c r="C745">
        <v>0.69114499844043853</v>
      </c>
      <c r="D745">
        <v>0.98386708490081309</v>
      </c>
      <c r="E745">
        <v>829.73</v>
      </c>
      <c r="F745">
        <v>-497.57</v>
      </c>
      <c r="G745">
        <v>-290.97000000000003</v>
      </c>
      <c r="H745">
        <v>0.17269999999999999</v>
      </c>
      <c r="I745">
        <v>0.19320000000000001</v>
      </c>
      <c r="J745">
        <v>0.29812836626388273</v>
      </c>
      <c r="K745">
        <v>-0.17878072529849484</v>
      </c>
      <c r="L745">
        <v>-0.10454775738107815</v>
      </c>
      <c r="M745">
        <v>5.1486768853772548E-2</v>
      </c>
      <c r="N745">
        <v>-3.0875431259050058E-2</v>
      </c>
      <c r="O745">
        <v>-1.8055397699712195E-2</v>
      </c>
      <c r="P745">
        <v>5.7598400362182146E-2</v>
      </c>
      <c r="Q745">
        <v>-3.4540436127669202E-2</v>
      </c>
      <c r="R745">
        <v>-2.01986267260243E-2</v>
      </c>
    </row>
    <row r="746" spans="1:18">
      <c r="A746" t="s">
        <v>165</v>
      </c>
      <c r="B746">
        <v>2021</v>
      </c>
      <c r="C746">
        <v>0.88015387737313877</v>
      </c>
      <c r="D746">
        <v>1.0459518311656701</v>
      </c>
      <c r="E746">
        <v>159.53</v>
      </c>
      <c r="F746">
        <v>-363.03</v>
      </c>
      <c r="G746">
        <v>171.68</v>
      </c>
      <c r="H746">
        <v>0.215</v>
      </c>
      <c r="I746">
        <v>0.2029</v>
      </c>
      <c r="J746">
        <v>5.2474557092765467E-2</v>
      </c>
      <c r="K746">
        <v>-0.11941226390889893</v>
      </c>
      <c r="L746">
        <v>5.6471083568519875E-2</v>
      </c>
      <c r="M746">
        <v>1.1282029774944574E-2</v>
      </c>
      <c r="N746">
        <v>-2.5673636740413269E-2</v>
      </c>
      <c r="O746">
        <v>1.2141282967231774E-2</v>
      </c>
      <c r="P746">
        <v>1.0647087634122114E-2</v>
      </c>
      <c r="Q746">
        <v>-2.4228748347115595E-2</v>
      </c>
      <c r="R746">
        <v>1.1457982856052682E-2</v>
      </c>
    </row>
    <row r="747" spans="1:18">
      <c r="A747" t="s">
        <v>166</v>
      </c>
      <c r="B747">
        <v>2017</v>
      </c>
      <c r="C747">
        <v>-0.87707971636340076</v>
      </c>
      <c r="D747">
        <v>0.6057898197636189</v>
      </c>
      <c r="E747">
        <v>-25.47</v>
      </c>
      <c r="F747">
        <v>-46.22</v>
      </c>
      <c r="G747">
        <v>50.29</v>
      </c>
      <c r="H747">
        <v>4.1999999999999997E-3</v>
      </c>
      <c r="I747">
        <v>0</v>
      </c>
      <c r="J747">
        <v>-4.2943130279374818E-2</v>
      </c>
      <c r="K747">
        <v>-7.7928208932575738E-2</v>
      </c>
      <c r="L747">
        <v>8.4790342432263827E-2</v>
      </c>
      <c r="M747">
        <v>-1.8036114717337421E-4</v>
      </c>
      <c r="N747">
        <v>-3.2729847751681809E-4</v>
      </c>
      <c r="O747">
        <v>3.5611943821550805E-4</v>
      </c>
      <c r="P747">
        <v>0</v>
      </c>
      <c r="Q747">
        <v>0</v>
      </c>
      <c r="R747">
        <v>0</v>
      </c>
    </row>
    <row r="748" spans="1:18">
      <c r="A748" t="s">
        <v>166</v>
      </c>
      <c r="B748">
        <v>2018</v>
      </c>
      <c r="C748">
        <v>-0.12906800185754524</v>
      </c>
      <c r="D748">
        <v>0.64535958299586738</v>
      </c>
      <c r="E748">
        <v>-76.930000000000007</v>
      </c>
      <c r="F748">
        <v>-13.71</v>
      </c>
      <c r="G748">
        <v>66.400000000000006</v>
      </c>
      <c r="H748">
        <v>3.3999999999999998E-3</v>
      </c>
      <c r="I748">
        <v>0</v>
      </c>
      <c r="J748">
        <v>-0.15976159325483358</v>
      </c>
      <c r="K748">
        <v>-2.8471746308641209E-2</v>
      </c>
      <c r="L748">
        <v>0.13789379685585532</v>
      </c>
      <c r="M748">
        <v>-5.4318941706643414E-4</v>
      </c>
      <c r="N748">
        <v>-9.6803937449380101E-5</v>
      </c>
      <c r="O748">
        <v>4.6883890930990804E-4</v>
      </c>
      <c r="P748">
        <v>0</v>
      </c>
      <c r="Q748">
        <v>0</v>
      </c>
      <c r="R748">
        <v>0</v>
      </c>
    </row>
    <row r="749" spans="1:18">
      <c r="A749" t="s">
        <v>166</v>
      </c>
      <c r="B749">
        <v>2019</v>
      </c>
      <c r="C749">
        <v>-4.1483772317247016</v>
      </c>
      <c r="D749">
        <v>0.19491611248016744</v>
      </c>
      <c r="E749">
        <v>287.3</v>
      </c>
      <c r="F749">
        <v>-28.13</v>
      </c>
      <c r="G749">
        <v>-259</v>
      </c>
      <c r="H749">
        <v>3.0999999999999999E-3</v>
      </c>
      <c r="I749">
        <v>0</v>
      </c>
      <c r="J749">
        <v>0.96985450494548153</v>
      </c>
      <c r="K749">
        <v>-9.4959997299395735E-2</v>
      </c>
      <c r="L749">
        <v>-0.87432062924079257</v>
      </c>
      <c r="M749">
        <v>3.0065489653309926E-3</v>
      </c>
      <c r="N749">
        <v>-2.9437599162812677E-4</v>
      </c>
      <c r="O749">
        <v>-2.7103939506464567E-3</v>
      </c>
      <c r="P749">
        <v>0</v>
      </c>
      <c r="Q749">
        <v>0</v>
      </c>
      <c r="R749">
        <v>0</v>
      </c>
    </row>
    <row r="750" spans="1:18">
      <c r="A750" t="s">
        <v>166</v>
      </c>
      <c r="B750">
        <v>2020</v>
      </c>
      <c r="C750">
        <v>-4.3953568657497248</v>
      </c>
      <c r="D750">
        <v>0.13701465081137901</v>
      </c>
      <c r="E750">
        <v>-30.48</v>
      </c>
      <c r="F750">
        <v>40.590000000000003</v>
      </c>
      <c r="G750">
        <v>-9.5399999999999991</v>
      </c>
      <c r="H750">
        <v>3.3E-3</v>
      </c>
      <c r="I750">
        <v>0</v>
      </c>
      <c r="J750">
        <v>-0.10012482754089744</v>
      </c>
      <c r="K750">
        <v>0.13333552329019119</v>
      </c>
      <c r="L750">
        <v>-3.133828263583207E-2</v>
      </c>
      <c r="M750">
        <v>-3.3041193088496153E-4</v>
      </c>
      <c r="N750">
        <v>4.400072268576309E-4</v>
      </c>
      <c r="O750">
        <v>-1.0341633269824583E-4</v>
      </c>
      <c r="P750">
        <v>0</v>
      </c>
      <c r="Q750">
        <v>0</v>
      </c>
      <c r="R750">
        <v>0</v>
      </c>
    </row>
    <row r="751" spans="1:18">
      <c r="A751" t="s">
        <v>166</v>
      </c>
      <c r="B751">
        <v>2021</v>
      </c>
      <c r="C751">
        <v>-2.6125716183485617</v>
      </c>
      <c r="D751">
        <v>0.37756932238045704</v>
      </c>
      <c r="E751">
        <v>47.19</v>
      </c>
      <c r="F751">
        <v>0.82</v>
      </c>
      <c r="G751">
        <v>26.23</v>
      </c>
      <c r="H751">
        <v>3.8E-3</v>
      </c>
      <c r="I751">
        <v>0</v>
      </c>
      <c r="J751">
        <v>8.4639667109086339E-2</v>
      </c>
      <c r="K751">
        <v>1.4707464935251283E-3</v>
      </c>
      <c r="L751">
        <v>4.7045951859956241E-2</v>
      </c>
      <c r="M751">
        <v>3.2163073501452808E-4</v>
      </c>
      <c r="N751">
        <v>5.5888366753954872E-6</v>
      </c>
      <c r="O751">
        <v>1.7877461706783371E-4</v>
      </c>
      <c r="P751">
        <v>0</v>
      </c>
      <c r="Q751">
        <v>0</v>
      </c>
      <c r="R751">
        <v>0</v>
      </c>
    </row>
    <row r="752" spans="1:18">
      <c r="A752" t="s">
        <v>167</v>
      </c>
      <c r="B752">
        <v>2017</v>
      </c>
      <c r="C752">
        <v>-0.8317922583443168</v>
      </c>
      <c r="D752">
        <v>0.6288236313412906</v>
      </c>
      <c r="E752">
        <v>198.64</v>
      </c>
      <c r="F752">
        <v>231.07</v>
      </c>
      <c r="G752">
        <v>-279</v>
      </c>
      <c r="H752">
        <v>0</v>
      </c>
      <c r="I752">
        <v>0</v>
      </c>
      <c r="J752">
        <v>6.7490936766319759E-2</v>
      </c>
      <c r="K752">
        <v>7.8509518518896038E-2</v>
      </c>
      <c r="L752">
        <v>-9.4794459110970675E-2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t="s">
        <v>167</v>
      </c>
      <c r="B753">
        <v>2018</v>
      </c>
      <c r="C753">
        <v>-1.4292043088226283</v>
      </c>
      <c r="D753">
        <v>0.55502209574941563</v>
      </c>
      <c r="E753">
        <v>225.03</v>
      </c>
      <c r="F753">
        <v>27.65</v>
      </c>
      <c r="G753">
        <v>-266.66000000000003</v>
      </c>
      <c r="H753">
        <v>1E-4</v>
      </c>
      <c r="I753">
        <v>0</v>
      </c>
      <c r="J753">
        <v>7.8861324202993535E-2</v>
      </c>
      <c r="K753">
        <v>9.689888522475985E-3</v>
      </c>
      <c r="L753">
        <v>-9.3450476434121035E-2</v>
      </c>
      <c r="M753">
        <v>7.8861324202993542E-6</v>
      </c>
      <c r="N753">
        <v>9.6898885224759849E-7</v>
      </c>
      <c r="O753">
        <v>-9.3450476434121032E-6</v>
      </c>
      <c r="P753">
        <v>0</v>
      </c>
      <c r="Q753">
        <v>0</v>
      </c>
      <c r="R753">
        <v>0</v>
      </c>
    </row>
    <row r="754" spans="1:18">
      <c r="A754" t="s">
        <v>167</v>
      </c>
      <c r="B754">
        <v>2019</v>
      </c>
      <c r="C754">
        <v>-1.763337920772587</v>
      </c>
      <c r="D754">
        <v>0.49165659194689787</v>
      </c>
      <c r="E754">
        <v>323.95</v>
      </c>
      <c r="F754">
        <v>-660.47</v>
      </c>
      <c r="G754">
        <v>-105.77</v>
      </c>
      <c r="H754">
        <v>1E-4</v>
      </c>
      <c r="I754">
        <v>0</v>
      </c>
      <c r="J754">
        <v>0.12472759754510521</v>
      </c>
      <c r="K754">
        <v>-0.2542949107906024</v>
      </c>
      <c r="L754">
        <v>-4.0723685730346591E-2</v>
      </c>
      <c r="M754">
        <v>1.2472759754510522E-5</v>
      </c>
      <c r="N754">
        <v>-2.5429491079060242E-5</v>
      </c>
      <c r="O754">
        <v>-4.0723685730346593E-6</v>
      </c>
      <c r="P754">
        <v>0</v>
      </c>
      <c r="Q754">
        <v>0</v>
      </c>
      <c r="R754">
        <v>0</v>
      </c>
    </row>
    <row r="755" spans="1:18">
      <c r="A755" t="s">
        <v>167</v>
      </c>
      <c r="B755">
        <v>2020</v>
      </c>
      <c r="C755">
        <v>-2.5048139602862509</v>
      </c>
      <c r="D755">
        <v>0.39273742080386176</v>
      </c>
      <c r="E755">
        <v>378.55</v>
      </c>
      <c r="F755">
        <v>293.72000000000003</v>
      </c>
      <c r="G755">
        <v>-540.85</v>
      </c>
      <c r="H755">
        <v>3.5999999999999999E-3</v>
      </c>
      <c r="I755">
        <v>0</v>
      </c>
      <c r="J755">
        <v>0.15862274144346486</v>
      </c>
      <c r="K755">
        <v>0.12307666521403909</v>
      </c>
      <c r="L755">
        <v>-0.2266308538097952</v>
      </c>
      <c r="M755">
        <v>5.7104186919647347E-4</v>
      </c>
      <c r="N755">
        <v>4.430759947705407E-4</v>
      </c>
      <c r="O755">
        <v>-8.1587107371526265E-4</v>
      </c>
      <c r="P755">
        <v>0</v>
      </c>
      <c r="Q755">
        <v>0</v>
      </c>
      <c r="R755">
        <v>0</v>
      </c>
    </row>
    <row r="756" spans="1:18">
      <c r="A756" t="s">
        <v>167</v>
      </c>
      <c r="B756">
        <v>2021</v>
      </c>
      <c r="C756">
        <v>-2.7998624282680962</v>
      </c>
      <c r="D756">
        <v>0.33118460916547493</v>
      </c>
      <c r="E756">
        <v>183.04</v>
      </c>
      <c r="F756">
        <v>97.23</v>
      </c>
      <c r="G756">
        <v>-215.81</v>
      </c>
      <c r="H756">
        <v>3.5999999999999999E-3</v>
      </c>
      <c r="I756">
        <v>0</v>
      </c>
      <c r="J756">
        <v>7.9562199261928451E-2</v>
      </c>
      <c r="K756">
        <v>4.2263071646838415E-2</v>
      </c>
      <c r="L756">
        <v>-9.3806371409073316E-2</v>
      </c>
      <c r="M756">
        <v>2.8642391734294239E-4</v>
      </c>
      <c r="N756">
        <v>1.521470579286183E-4</v>
      </c>
      <c r="O756">
        <v>-3.3770293707266393E-4</v>
      </c>
      <c r="P756">
        <v>0</v>
      </c>
      <c r="Q756">
        <v>0</v>
      </c>
      <c r="R756">
        <v>0</v>
      </c>
    </row>
    <row r="757" spans="1:18">
      <c r="A757" t="s">
        <v>168</v>
      </c>
      <c r="B757">
        <v>2017</v>
      </c>
      <c r="C757">
        <v>-0.77916028092821721</v>
      </c>
      <c r="D757">
        <v>0.68968645651763028</v>
      </c>
      <c r="E757">
        <v>36.119999999999997</v>
      </c>
      <c r="F757">
        <v>-31.81</v>
      </c>
      <c r="G757">
        <v>31.78</v>
      </c>
      <c r="H757">
        <v>4.6199999999999998E-2</v>
      </c>
      <c r="I757">
        <v>2.802E-2</v>
      </c>
      <c r="J757">
        <v>1.5171052355251275E-2</v>
      </c>
      <c r="K757">
        <v>-1.3360774513304072E-2</v>
      </c>
      <c r="L757">
        <v>1.3348173971480774E-2</v>
      </c>
      <c r="M757">
        <v>7.0090261881260889E-4</v>
      </c>
      <c r="N757">
        <v>-6.1726778251464803E-4</v>
      </c>
      <c r="O757">
        <v>6.1668563748241176E-4</v>
      </c>
      <c r="P757">
        <v>4.2509288699414075E-4</v>
      </c>
      <c r="Q757">
        <v>-3.7436890186278007E-4</v>
      </c>
      <c r="R757">
        <v>3.740158346808913E-4</v>
      </c>
    </row>
    <row r="758" spans="1:18">
      <c r="A758" t="s">
        <v>168</v>
      </c>
      <c r="B758">
        <v>2018</v>
      </c>
      <c r="C758">
        <v>-0.65084410869471188</v>
      </c>
      <c r="D758">
        <v>0.69996970570737171</v>
      </c>
      <c r="E758">
        <v>-46.88</v>
      </c>
      <c r="F758">
        <v>95.95</v>
      </c>
      <c r="G758">
        <v>11.93</v>
      </c>
      <c r="H758">
        <v>2.9899999999999999E-2</v>
      </c>
      <c r="I758">
        <v>2.802E-2</v>
      </c>
      <c r="J758">
        <v>-1.7110800462809196E-2</v>
      </c>
      <c r="K758">
        <v>3.5020932261231701E-2</v>
      </c>
      <c r="L758">
        <v>4.3543483259665889E-3</v>
      </c>
      <c r="M758">
        <v>-5.1161293383799494E-4</v>
      </c>
      <c r="N758">
        <v>1.0471258746108279E-3</v>
      </c>
      <c r="O758">
        <v>1.3019501494640099E-4</v>
      </c>
      <c r="P758">
        <v>-4.7944462896791365E-4</v>
      </c>
      <c r="Q758">
        <v>9.8128652195971226E-4</v>
      </c>
      <c r="R758">
        <v>1.2200884009358382E-4</v>
      </c>
    </row>
    <row r="759" spans="1:18">
      <c r="A759" t="s">
        <v>168</v>
      </c>
      <c r="B759">
        <v>2019</v>
      </c>
      <c r="C759">
        <v>-0.36967097579525604</v>
      </c>
      <c r="D759">
        <v>0.72318490606092767</v>
      </c>
      <c r="E759">
        <v>70.09</v>
      </c>
      <c r="F759">
        <v>-75.69</v>
      </c>
      <c r="G759">
        <v>87.04</v>
      </c>
      <c r="H759">
        <v>0.03</v>
      </c>
      <c r="I759">
        <v>1.9300000000000001E-2</v>
      </c>
      <c r="J759">
        <v>2.3249256979089271E-2</v>
      </c>
      <c r="K759">
        <v>-2.5106809255917632E-2</v>
      </c>
      <c r="L759">
        <v>2.8871669674132263E-2</v>
      </c>
      <c r="M759">
        <v>6.9747770937267806E-4</v>
      </c>
      <c r="N759">
        <v>-7.5320427767752891E-4</v>
      </c>
      <c r="O759">
        <v>8.6615009022396783E-4</v>
      </c>
      <c r="P759">
        <v>4.4871065969642293E-4</v>
      </c>
      <c r="Q759">
        <v>-4.8456141863921032E-4</v>
      </c>
      <c r="R759">
        <v>5.5722322471075275E-4</v>
      </c>
    </row>
    <row r="760" spans="1:18">
      <c r="A760" t="s">
        <v>168</v>
      </c>
      <c r="B760">
        <v>2020</v>
      </c>
      <c r="C760">
        <v>-0.50879391726566248</v>
      </c>
      <c r="D760">
        <v>0.73191571804342259</v>
      </c>
      <c r="E760">
        <v>8.19</v>
      </c>
      <c r="F760">
        <v>-83.16</v>
      </c>
      <c r="G760">
        <v>396.69</v>
      </c>
      <c r="H760">
        <v>2.0199999999999999E-2</v>
      </c>
      <c r="I760">
        <v>2.06E-2</v>
      </c>
      <c r="J760">
        <v>2.0342721453747007E-3</v>
      </c>
      <c r="K760">
        <v>-2.0655686399189271E-2</v>
      </c>
      <c r="L760">
        <v>9.8531796990072057E-2</v>
      </c>
      <c r="M760">
        <v>4.1092297336568953E-5</v>
      </c>
      <c r="N760">
        <v>-4.1724486526362328E-4</v>
      </c>
      <c r="O760">
        <v>1.9903422991994556E-3</v>
      </c>
      <c r="P760">
        <v>4.1906006194718832E-5</v>
      </c>
      <c r="Q760">
        <v>-4.2550713982329898E-4</v>
      </c>
      <c r="R760">
        <v>2.0297550179954843E-3</v>
      </c>
    </row>
    <row r="761" spans="1:18">
      <c r="A761" t="s">
        <v>168</v>
      </c>
      <c r="B761">
        <v>2021</v>
      </c>
      <c r="C761">
        <v>-0.38450460332008424</v>
      </c>
      <c r="D761">
        <v>0.74610277618085041</v>
      </c>
      <c r="E761">
        <v>-238.33</v>
      </c>
      <c r="F761">
        <v>-214.07</v>
      </c>
      <c r="G761">
        <v>422.59</v>
      </c>
      <c r="H761">
        <v>4.1700000000000001E-2</v>
      </c>
      <c r="I761">
        <v>1.9199999999999998E-2</v>
      </c>
      <c r="J761">
        <v>-4.4198208556645587E-2</v>
      </c>
      <c r="K761">
        <v>-3.9699200712126549E-2</v>
      </c>
      <c r="L761">
        <v>7.8369156018767497E-2</v>
      </c>
      <c r="M761">
        <v>-1.843065296812121E-3</v>
      </c>
      <c r="N761">
        <v>-1.6554566696956772E-3</v>
      </c>
      <c r="O761">
        <v>3.2679938059826047E-3</v>
      </c>
      <c r="P761">
        <v>-8.4860560428759522E-4</v>
      </c>
      <c r="Q761">
        <v>-7.6222465367282966E-4</v>
      </c>
      <c r="R761">
        <v>1.5046877955603357E-3</v>
      </c>
    </row>
    <row r="762" spans="1:18">
      <c r="A762" t="s">
        <v>169</v>
      </c>
      <c r="B762">
        <v>2017</v>
      </c>
      <c r="C762">
        <v>-0.39784423849349237</v>
      </c>
      <c r="D762">
        <v>0.65723815021486764</v>
      </c>
      <c r="E762">
        <v>-41.42</v>
      </c>
      <c r="F762">
        <v>-242.16</v>
      </c>
      <c r="G762">
        <v>239.59</v>
      </c>
      <c r="H762">
        <v>2.8E-3</v>
      </c>
      <c r="I762">
        <v>0.64359999999999995</v>
      </c>
      <c r="J762">
        <v>-2.6566608941055739E-2</v>
      </c>
      <c r="K762">
        <v>-0.15532037714065808</v>
      </c>
      <c r="L762">
        <v>0.15367199025078573</v>
      </c>
      <c r="M762">
        <v>-7.4386505034956064E-5</v>
      </c>
      <c r="N762">
        <v>-4.348970559938426E-4</v>
      </c>
      <c r="O762">
        <v>4.3028157270220003E-4</v>
      </c>
      <c r="P762">
        <v>-1.7098269514463471E-2</v>
      </c>
      <c r="Q762">
        <v>-9.9964194727727537E-2</v>
      </c>
      <c r="R762">
        <v>9.8903292925405686E-2</v>
      </c>
    </row>
    <row r="763" spans="1:18">
      <c r="A763" t="s">
        <v>169</v>
      </c>
      <c r="B763">
        <v>2018</v>
      </c>
      <c r="C763">
        <v>-0.3921680814238846</v>
      </c>
      <c r="D763">
        <v>0.69164578960435141</v>
      </c>
      <c r="E763">
        <v>47.76</v>
      </c>
      <c r="F763">
        <v>-189.74</v>
      </c>
      <c r="G763">
        <v>153.34</v>
      </c>
      <c r="H763">
        <v>5.0000000000000001E-3</v>
      </c>
      <c r="I763">
        <v>0.64149999999999996</v>
      </c>
      <c r="J763">
        <v>2.6948337734443766E-2</v>
      </c>
      <c r="K763">
        <v>-0.10705983253210555</v>
      </c>
      <c r="L763">
        <v>8.6521317173358619E-2</v>
      </c>
      <c r="M763">
        <v>1.3474168867221882E-4</v>
      </c>
      <c r="N763">
        <v>-5.3529916266052777E-4</v>
      </c>
      <c r="O763">
        <v>4.3260658586679311E-4</v>
      </c>
      <c r="P763">
        <v>1.7287358656645675E-2</v>
      </c>
      <c r="Q763">
        <v>-6.8678882569345706E-2</v>
      </c>
      <c r="R763">
        <v>5.5503424966709548E-2</v>
      </c>
    </row>
    <row r="764" spans="1:18">
      <c r="A764" t="s">
        <v>169</v>
      </c>
      <c r="B764">
        <v>2019</v>
      </c>
      <c r="C764">
        <v>-0.38111455534088123</v>
      </c>
      <c r="D764">
        <v>0.712517938739754</v>
      </c>
      <c r="E764">
        <v>-157.15</v>
      </c>
      <c r="F764">
        <v>-69.42</v>
      </c>
      <c r="G764">
        <v>242.99</v>
      </c>
      <c r="H764">
        <v>4.7000000000000002E-3</v>
      </c>
      <c r="I764">
        <v>0.64149999999999996</v>
      </c>
      <c r="J764">
        <v>-6.9179704351960275E-2</v>
      </c>
      <c r="K764">
        <v>-3.0559688680325058E-2</v>
      </c>
      <c r="L764">
        <v>0.10696771467058752</v>
      </c>
      <c r="M764">
        <v>-3.251446104542133E-4</v>
      </c>
      <c r="N764">
        <v>-1.4363053679752777E-4</v>
      </c>
      <c r="O764">
        <v>5.0274825895176142E-4</v>
      </c>
      <c r="P764">
        <v>-4.4378780341782512E-2</v>
      </c>
      <c r="Q764">
        <v>-1.9604040288428524E-2</v>
      </c>
      <c r="R764">
        <v>6.8619788961181885E-2</v>
      </c>
    </row>
    <row r="765" spans="1:18">
      <c r="A765" t="s">
        <v>169</v>
      </c>
      <c r="B765">
        <v>2020</v>
      </c>
      <c r="C765">
        <v>0.16672723435231429</v>
      </c>
      <c r="D765">
        <v>0.78544390994100122</v>
      </c>
      <c r="E765">
        <v>29.35</v>
      </c>
      <c r="F765">
        <v>-0.36</v>
      </c>
      <c r="G765">
        <v>-41.28</v>
      </c>
      <c r="H765">
        <v>6.7999999999999996E-3</v>
      </c>
      <c r="I765">
        <v>0.64149999999999996</v>
      </c>
      <c r="J765">
        <v>1.3433785398138953E-2</v>
      </c>
      <c r="K765">
        <v>-1.6477556195332275E-4</v>
      </c>
      <c r="L765">
        <v>-1.8894264437314342E-2</v>
      </c>
      <c r="M765">
        <v>9.1349740707344875E-5</v>
      </c>
      <c r="N765">
        <v>-1.1204738212825947E-6</v>
      </c>
      <c r="O765">
        <v>-1.2848099817373753E-4</v>
      </c>
      <c r="P765">
        <v>8.6177733329061371E-3</v>
      </c>
      <c r="Q765">
        <v>-1.0570352299305654E-4</v>
      </c>
      <c r="R765">
        <v>-1.2120670636537149E-2</v>
      </c>
    </row>
    <row r="766" spans="1:18">
      <c r="A766" t="s">
        <v>169</v>
      </c>
      <c r="B766">
        <v>2021</v>
      </c>
      <c r="C766">
        <v>2.38639685006308E-2</v>
      </c>
      <c r="D766">
        <v>0.77260476145480406</v>
      </c>
      <c r="E766">
        <v>-4.79</v>
      </c>
      <c r="F766">
        <v>9.5299999999999994</v>
      </c>
      <c r="G766">
        <v>-0.46</v>
      </c>
      <c r="H766">
        <v>4.7999999999999996E-3</v>
      </c>
      <c r="I766">
        <v>0.64149999999999996</v>
      </c>
      <c r="J766">
        <v>-2.1552984795921585E-3</v>
      </c>
      <c r="K766">
        <v>4.2880990627376337E-3</v>
      </c>
      <c r="L766">
        <v>-2.0698064730947658E-4</v>
      </c>
      <c r="M766">
        <v>-1.034543270204236E-5</v>
      </c>
      <c r="N766">
        <v>2.058287550114064E-5</v>
      </c>
      <c r="O766">
        <v>-9.9350710708548759E-7</v>
      </c>
      <c r="P766">
        <v>-1.3826239746583696E-3</v>
      </c>
      <c r="Q766">
        <v>2.7508155487461919E-3</v>
      </c>
      <c r="R766">
        <v>-1.3277808524902923E-4</v>
      </c>
    </row>
    <row r="767" spans="1:18">
      <c r="A767" t="s">
        <v>170</v>
      </c>
      <c r="B767">
        <v>2017</v>
      </c>
      <c r="C767">
        <v>-1.525580246198198</v>
      </c>
      <c r="D767">
        <v>0.57287293845494325</v>
      </c>
      <c r="E767">
        <v>207.94</v>
      </c>
      <c r="F767">
        <v>12.88</v>
      </c>
      <c r="G767">
        <v>-178.97</v>
      </c>
      <c r="H767">
        <v>4.7000000000000002E-3</v>
      </c>
      <c r="I767">
        <v>0</v>
      </c>
      <c r="J767">
        <v>0.16819134049970477</v>
      </c>
      <c r="K767">
        <v>1.0417930487814744E-2</v>
      </c>
      <c r="L767">
        <v>-0.14475908535746929</v>
      </c>
      <c r="M767">
        <v>7.9049930034861247E-4</v>
      </c>
      <c r="N767">
        <v>4.8964273292729302E-5</v>
      </c>
      <c r="O767">
        <v>-6.803677011801057E-4</v>
      </c>
      <c r="P767">
        <v>0</v>
      </c>
      <c r="Q767">
        <v>0</v>
      </c>
      <c r="R767">
        <v>0</v>
      </c>
    </row>
    <row r="768" spans="1:18">
      <c r="A768" t="s">
        <v>170</v>
      </c>
      <c r="B768">
        <v>2018</v>
      </c>
      <c r="C768">
        <v>-1.5657036814782312</v>
      </c>
      <c r="D768">
        <v>0.57277212732227789</v>
      </c>
      <c r="E768">
        <v>161.55000000000001</v>
      </c>
      <c r="F768">
        <v>-0.01</v>
      </c>
      <c r="G768">
        <v>-249.22</v>
      </c>
      <c r="H768">
        <v>2.9999999999999997E-4</v>
      </c>
      <c r="I768">
        <v>0</v>
      </c>
      <c r="J768">
        <v>0.14387880515131546</v>
      </c>
      <c r="K768">
        <v>-8.9061470226750512E-6</v>
      </c>
      <c r="L768">
        <v>-0.2219589960991076</v>
      </c>
      <c r="M768">
        <v>4.3163641545394635E-5</v>
      </c>
      <c r="N768">
        <v>-2.6718441068025152E-9</v>
      </c>
      <c r="O768">
        <v>-6.6587698829732273E-5</v>
      </c>
      <c r="P768">
        <v>0</v>
      </c>
      <c r="Q768">
        <v>0</v>
      </c>
      <c r="R768">
        <v>0</v>
      </c>
    </row>
    <row r="769" spans="1:18">
      <c r="A769" t="s">
        <v>170</v>
      </c>
      <c r="B769">
        <v>2019</v>
      </c>
      <c r="C769">
        <v>-1.823290690332902</v>
      </c>
      <c r="D769">
        <v>0.51759918241831082</v>
      </c>
      <c r="E769">
        <v>165.08</v>
      </c>
      <c r="F769">
        <v>0.56999999999999995</v>
      </c>
      <c r="G769">
        <v>-145.63999999999999</v>
      </c>
      <c r="H769">
        <v>4.8000000000000001E-4</v>
      </c>
      <c r="I769">
        <v>0</v>
      </c>
      <c r="J769">
        <v>0.15198917256681982</v>
      </c>
      <c r="K769">
        <v>5.2479905720309713E-4</v>
      </c>
      <c r="L769">
        <v>-0.13409076261589309</v>
      </c>
      <c r="M769">
        <v>7.2954802832073519E-5</v>
      </c>
      <c r="N769">
        <v>2.5190354745748665E-7</v>
      </c>
      <c r="O769">
        <v>-6.4363566055628687E-5</v>
      </c>
      <c r="P769">
        <v>0</v>
      </c>
      <c r="Q769">
        <v>0</v>
      </c>
      <c r="R769">
        <v>0</v>
      </c>
    </row>
    <row r="770" spans="1:18">
      <c r="A770" t="s">
        <v>170</v>
      </c>
      <c r="B770">
        <v>2020</v>
      </c>
      <c r="C770">
        <v>-1.9291782485466671</v>
      </c>
      <c r="D770">
        <v>0.48341059992928143</v>
      </c>
      <c r="E770">
        <v>144.41999999999999</v>
      </c>
      <c r="F770">
        <v>-1.51</v>
      </c>
      <c r="G770">
        <v>-158.05000000000001</v>
      </c>
      <c r="H770">
        <v>3.4000000000000002E-4</v>
      </c>
      <c r="I770">
        <v>0</v>
      </c>
      <c r="J770">
        <v>0.14184968373079793</v>
      </c>
      <c r="K770">
        <v>-1.4831257612069305E-3</v>
      </c>
      <c r="L770">
        <v>-0.15523710368129495</v>
      </c>
      <c r="M770">
        <v>4.8228892468471297E-5</v>
      </c>
      <c r="N770">
        <v>-5.0426275881035641E-7</v>
      </c>
      <c r="O770">
        <v>-5.278061525164029E-5</v>
      </c>
      <c r="P770">
        <v>0</v>
      </c>
      <c r="Q770">
        <v>0</v>
      </c>
      <c r="R770">
        <v>0</v>
      </c>
    </row>
    <row r="771" spans="1:18">
      <c r="A771" t="s">
        <v>170</v>
      </c>
      <c r="B771">
        <v>2021</v>
      </c>
      <c r="C771">
        <v>-2.5814318673909606</v>
      </c>
      <c r="D771">
        <v>0.41469512010725484</v>
      </c>
      <c r="E771">
        <v>198.78</v>
      </c>
      <c r="F771">
        <v>-3.9</v>
      </c>
      <c r="G771">
        <v>-170</v>
      </c>
      <c r="H771">
        <v>5.9000000000000003E-4</v>
      </c>
      <c r="I771">
        <v>0</v>
      </c>
      <c r="J771">
        <v>0.20037700472767961</v>
      </c>
      <c r="K771">
        <v>-3.9313327217926873E-3</v>
      </c>
      <c r="L771">
        <v>-0.17136578530891203</v>
      </c>
      <c r="M771">
        <v>1.1822243278933098E-4</v>
      </c>
      <c r="N771">
        <v>-2.3194863058576858E-6</v>
      </c>
      <c r="O771">
        <v>-1.011058133322581E-4</v>
      </c>
      <c r="P771">
        <v>0</v>
      </c>
      <c r="Q771">
        <v>0</v>
      </c>
      <c r="R771">
        <v>0</v>
      </c>
    </row>
    <row r="772" spans="1:18">
      <c r="A772" t="s">
        <v>171</v>
      </c>
      <c r="B772">
        <v>2017</v>
      </c>
      <c r="C772">
        <v>-2.2296356244402191</v>
      </c>
      <c r="D772">
        <v>0.38424277389949807</v>
      </c>
      <c r="E772">
        <v>-509.03</v>
      </c>
      <c r="F772">
        <v>51.07</v>
      </c>
      <c r="G772">
        <v>423.95</v>
      </c>
      <c r="H772">
        <v>5.2999999999999999E-2</v>
      </c>
      <c r="I772">
        <v>6.3369999999999996E-2</v>
      </c>
      <c r="J772">
        <v>-0.11747072059078059</v>
      </c>
      <c r="K772">
        <v>1.1785611261755034E-2</v>
      </c>
      <c r="L772">
        <v>9.7836496855708763E-2</v>
      </c>
      <c r="M772">
        <v>-6.2259481913113715E-3</v>
      </c>
      <c r="N772">
        <v>6.2463739687301681E-4</v>
      </c>
      <c r="O772">
        <v>5.1853343333525641E-3</v>
      </c>
      <c r="P772">
        <v>-7.4441195638377654E-3</v>
      </c>
      <c r="Q772">
        <v>7.4685418565741644E-4</v>
      </c>
      <c r="R772">
        <v>6.1998988057462637E-3</v>
      </c>
    </row>
    <row r="773" spans="1:18">
      <c r="A773" t="s">
        <v>171</v>
      </c>
      <c r="B773">
        <v>2018</v>
      </c>
      <c r="C773">
        <v>-1.8850891100897675</v>
      </c>
      <c r="D773">
        <v>0.44202541660485584</v>
      </c>
      <c r="E773">
        <v>217.1</v>
      </c>
      <c r="F773">
        <v>-461.09</v>
      </c>
      <c r="G773">
        <v>276.02999999999997</v>
      </c>
      <c r="H773">
        <v>2.1299999999999999E-2</v>
      </c>
      <c r="I773">
        <v>0</v>
      </c>
      <c r="J773">
        <v>4.2941205558027988E-2</v>
      </c>
      <c r="K773">
        <v>-9.1201107649705779E-2</v>
      </c>
      <c r="L773">
        <v>5.4597240765465058E-2</v>
      </c>
      <c r="M773">
        <v>9.1464767838599613E-4</v>
      </c>
      <c r="N773">
        <v>-1.9425835929387329E-3</v>
      </c>
      <c r="O773">
        <v>1.1629212283044057E-3</v>
      </c>
      <c r="P773">
        <v>0</v>
      </c>
      <c r="Q773">
        <v>0</v>
      </c>
      <c r="R773">
        <v>0</v>
      </c>
    </row>
    <row r="774" spans="1:18">
      <c r="A774" t="s">
        <v>171</v>
      </c>
      <c r="B774">
        <v>2019</v>
      </c>
      <c r="C774">
        <v>-1.8469263233680362</v>
      </c>
      <c r="D774">
        <v>0.44628992082042784</v>
      </c>
      <c r="E774">
        <v>1192.76</v>
      </c>
      <c r="F774">
        <v>73.81</v>
      </c>
      <c r="G774">
        <v>-1155.69</v>
      </c>
      <c r="H774">
        <v>1.6299999999999999E-2</v>
      </c>
      <c r="I774">
        <v>0</v>
      </c>
      <c r="J774">
        <v>0.22889536244900155</v>
      </c>
      <c r="K774">
        <v>1.4164430985580338E-2</v>
      </c>
      <c r="L774">
        <v>-0.22178148280348653</v>
      </c>
      <c r="M774">
        <v>3.7309944079187249E-3</v>
      </c>
      <c r="N774">
        <v>2.3088022506495949E-4</v>
      </c>
      <c r="O774">
        <v>-3.61503816969683E-3</v>
      </c>
      <c r="P774">
        <v>0</v>
      </c>
      <c r="Q774">
        <v>0</v>
      </c>
      <c r="R774">
        <v>0</v>
      </c>
    </row>
    <row r="775" spans="1:18">
      <c r="A775" t="s">
        <v>171</v>
      </c>
      <c r="B775">
        <v>2020</v>
      </c>
      <c r="C775">
        <v>-2.1699971186465112</v>
      </c>
      <c r="D775">
        <v>0.38829402529591278</v>
      </c>
      <c r="E775">
        <v>-545.21</v>
      </c>
      <c r="F775">
        <v>30.89</v>
      </c>
      <c r="G775">
        <v>588.82000000000005</v>
      </c>
      <c r="H775">
        <v>8.0999999999999996E-3</v>
      </c>
      <c r="I775">
        <v>0</v>
      </c>
      <c r="J775">
        <v>-9.6175624900774415E-2</v>
      </c>
      <c r="K775">
        <v>5.4490289121346298E-3</v>
      </c>
      <c r="L775">
        <v>0.10386847536559123</v>
      </c>
      <c r="M775">
        <v>-7.790225616962727E-4</v>
      </c>
      <c r="N775">
        <v>4.4137134188290499E-5</v>
      </c>
      <c r="O775">
        <v>8.4133465046128889E-4</v>
      </c>
      <c r="P775">
        <v>0</v>
      </c>
      <c r="Q775">
        <v>0</v>
      </c>
      <c r="R775">
        <v>0</v>
      </c>
    </row>
    <row r="776" spans="1:18">
      <c r="A776" t="s">
        <v>171</v>
      </c>
      <c r="B776">
        <v>2021</v>
      </c>
      <c r="C776">
        <v>-2.1707284983165538</v>
      </c>
      <c r="D776">
        <v>0.39073075036782734</v>
      </c>
      <c r="E776">
        <v>-1044.1400000000001</v>
      </c>
      <c r="F776">
        <v>-246.19</v>
      </c>
      <c r="G776">
        <v>1832.39</v>
      </c>
      <c r="H776">
        <v>8.0999999999999996E-3</v>
      </c>
      <c r="I776">
        <v>0</v>
      </c>
      <c r="J776">
        <v>-0.13840117704757235</v>
      </c>
      <c r="K776">
        <v>-3.2632583539891041E-2</v>
      </c>
      <c r="L776">
        <v>0.24288403165303607</v>
      </c>
      <c r="M776">
        <v>-1.1210495340853359E-3</v>
      </c>
      <c r="N776">
        <v>-2.6432392667311743E-4</v>
      </c>
      <c r="O776">
        <v>1.967360656389592E-3</v>
      </c>
      <c r="P776">
        <v>0</v>
      </c>
      <c r="Q776">
        <v>0</v>
      </c>
      <c r="R776">
        <v>0</v>
      </c>
    </row>
    <row r="777" spans="1:18">
      <c r="A777" t="s">
        <v>172</v>
      </c>
      <c r="B777">
        <v>2017</v>
      </c>
      <c r="C777">
        <v>-3.6949479393214726</v>
      </c>
      <c r="D777">
        <v>0.25208000261019936</v>
      </c>
      <c r="E777">
        <v>123.07</v>
      </c>
      <c r="F777">
        <v>-43.65</v>
      </c>
      <c r="G777">
        <v>-128.11000000000001</v>
      </c>
      <c r="H777">
        <v>0.17299999999999999</v>
      </c>
      <c r="I777">
        <v>1.1270000000000001E-2</v>
      </c>
      <c r="J777">
        <v>0.20077327155861527</v>
      </c>
      <c r="K777">
        <v>-7.1209501125648472E-2</v>
      </c>
      <c r="L777">
        <v>-0.20899539952363863</v>
      </c>
      <c r="M777">
        <v>3.473377597964044E-2</v>
      </c>
      <c r="N777">
        <v>-1.2319243694737185E-2</v>
      </c>
      <c r="O777">
        <v>-3.6156204117589477E-2</v>
      </c>
      <c r="P777">
        <v>2.262714770465594E-3</v>
      </c>
      <c r="Q777">
        <v>-8.0253107768605831E-4</v>
      </c>
      <c r="R777">
        <v>-2.3553781526314075E-3</v>
      </c>
    </row>
    <row r="778" spans="1:18">
      <c r="A778" t="s">
        <v>172</v>
      </c>
      <c r="B778">
        <v>2018</v>
      </c>
      <c r="C778">
        <v>-2.7870117490857917</v>
      </c>
      <c r="D778">
        <v>0.32539098037516789</v>
      </c>
      <c r="E778">
        <v>-38.36</v>
      </c>
      <c r="F778">
        <v>-64.02</v>
      </c>
      <c r="G778">
        <v>5.26</v>
      </c>
      <c r="H778">
        <v>6.83E-2</v>
      </c>
      <c r="I778">
        <v>1.1599999999999999E-2</v>
      </c>
      <c r="J778">
        <v>-5.539430172276856E-2</v>
      </c>
      <c r="K778">
        <v>-9.2448988433045956E-2</v>
      </c>
      <c r="L778">
        <v>7.5957775563546036E-3</v>
      </c>
      <c r="M778">
        <v>-3.7834308076650927E-3</v>
      </c>
      <c r="N778">
        <v>-6.3142659099770385E-3</v>
      </c>
      <c r="O778">
        <v>5.1879160709901939E-4</v>
      </c>
      <c r="P778">
        <v>-6.4257389998411524E-4</v>
      </c>
      <c r="Q778">
        <v>-1.0724082658233329E-3</v>
      </c>
      <c r="R778">
        <v>8.8111019653713401E-5</v>
      </c>
    </row>
    <row r="779" spans="1:18">
      <c r="A779" t="s">
        <v>172</v>
      </c>
      <c r="B779">
        <v>2019</v>
      </c>
      <c r="C779">
        <v>-2.8836112240064229</v>
      </c>
      <c r="D779">
        <v>0.31189575451870533</v>
      </c>
      <c r="E779">
        <v>45.84</v>
      </c>
      <c r="F779">
        <v>-6.52</v>
      </c>
      <c r="G779">
        <v>-67.61</v>
      </c>
      <c r="H779">
        <v>8.9800000000000005E-2</v>
      </c>
      <c r="I779">
        <v>1.1560000000000001E-2</v>
      </c>
      <c r="J779">
        <v>6.4228667507356035E-2</v>
      </c>
      <c r="K779">
        <v>-9.1354911027042157E-3</v>
      </c>
      <c r="L779">
        <v>-9.4731679977581612E-2</v>
      </c>
      <c r="M779">
        <v>5.7677343421605725E-3</v>
      </c>
      <c r="N779">
        <v>-8.2036710102283866E-4</v>
      </c>
      <c r="O779">
        <v>-8.50690486198683E-3</v>
      </c>
      <c r="P779">
        <v>7.4248339638503585E-4</v>
      </c>
      <c r="Q779">
        <v>-1.0560627714726074E-4</v>
      </c>
      <c r="R779">
        <v>-1.0950982205408435E-3</v>
      </c>
    </row>
    <row r="780" spans="1:18">
      <c r="A780" t="s">
        <v>172</v>
      </c>
      <c r="B780">
        <v>2020</v>
      </c>
      <c r="C780">
        <v>-2.281242059334907</v>
      </c>
      <c r="D780">
        <v>0.4145161835830487</v>
      </c>
      <c r="E780">
        <v>-71.88</v>
      </c>
      <c r="F780">
        <v>-53.62</v>
      </c>
      <c r="G780">
        <v>115.11</v>
      </c>
      <c r="H780">
        <v>0.1154</v>
      </c>
      <c r="I780">
        <v>1.1039999999999999E-2</v>
      </c>
      <c r="J780">
        <v>-8.1036290458957619E-2</v>
      </c>
      <c r="K780">
        <v>-6.0450276772527928E-2</v>
      </c>
      <c r="L780">
        <v>0.12977305780092671</v>
      </c>
      <c r="M780">
        <v>-9.3515879189637087E-3</v>
      </c>
      <c r="N780">
        <v>-6.9759619395497229E-3</v>
      </c>
      <c r="O780">
        <v>1.4975810870226943E-2</v>
      </c>
      <c r="P780">
        <v>-8.9464064666689206E-4</v>
      </c>
      <c r="Q780">
        <v>-6.6737105556870832E-4</v>
      </c>
      <c r="R780">
        <v>1.4326945581222309E-3</v>
      </c>
    </row>
    <row r="781" spans="1:18">
      <c r="A781" t="s">
        <v>172</v>
      </c>
      <c r="B781">
        <v>2021</v>
      </c>
      <c r="C781">
        <v>-2.2035311047658737</v>
      </c>
      <c r="D781">
        <v>0.41237147340583136</v>
      </c>
      <c r="E781">
        <v>39.9</v>
      </c>
      <c r="F781">
        <v>-0.49</v>
      </c>
      <c r="G781">
        <v>-43.9</v>
      </c>
      <c r="H781">
        <v>0.1115</v>
      </c>
      <c r="I781">
        <v>2.1100000000000001E-2</v>
      </c>
      <c r="J781">
        <v>4.3784086295251788E-2</v>
      </c>
      <c r="K781">
        <v>-5.3769930538028507E-4</v>
      </c>
      <c r="L781">
        <v>-4.8173468379988808E-2</v>
      </c>
      <c r="M781">
        <v>4.8819256219205746E-3</v>
      </c>
      <c r="N781">
        <v>-5.9953472549901783E-5</v>
      </c>
      <c r="O781">
        <v>-5.3713417243687524E-3</v>
      </c>
      <c r="P781">
        <v>9.2384422082981271E-4</v>
      </c>
      <c r="Q781">
        <v>-1.1345455343524016E-5</v>
      </c>
      <c r="R781">
        <v>-1.0164601828177638E-3</v>
      </c>
    </row>
    <row r="782" spans="1:18">
      <c r="A782" t="s">
        <v>173</v>
      </c>
      <c r="B782">
        <v>2017</v>
      </c>
      <c r="C782">
        <v>0.28463596069684655</v>
      </c>
      <c r="D782">
        <v>0.82844997119644026</v>
      </c>
      <c r="E782">
        <v>-104.27</v>
      </c>
      <c r="F782">
        <v>-2.31</v>
      </c>
      <c r="G782">
        <v>92.4</v>
      </c>
      <c r="H782">
        <v>4.4699999999999997E-2</v>
      </c>
      <c r="I782">
        <v>0.17399999999999999</v>
      </c>
      <c r="J782">
        <v>-5.1781847798017519E-2</v>
      </c>
      <c r="K782">
        <v>-1.1471762579209788E-3</v>
      </c>
      <c r="L782">
        <v>4.5887050316839158E-2</v>
      </c>
      <c r="M782">
        <v>-2.3146485965713829E-3</v>
      </c>
      <c r="N782">
        <v>-5.1278778729067747E-5</v>
      </c>
      <c r="O782">
        <v>2.0511511491627102E-3</v>
      </c>
      <c r="P782">
        <v>-9.0100415168550482E-3</v>
      </c>
      <c r="Q782">
        <v>-1.996086688782503E-4</v>
      </c>
      <c r="R782">
        <v>7.9843467551300121E-3</v>
      </c>
    </row>
    <row r="783" spans="1:18">
      <c r="A783" t="s">
        <v>173</v>
      </c>
      <c r="B783">
        <v>2018</v>
      </c>
      <c r="C783">
        <v>0.26519565339807483</v>
      </c>
      <c r="D783">
        <v>0.81782703063694795</v>
      </c>
      <c r="E783">
        <v>38.659999999999997</v>
      </c>
      <c r="F783">
        <v>97.26</v>
      </c>
      <c r="G783">
        <v>-52.83</v>
      </c>
      <c r="H783">
        <v>4.6699999999999998E-2</v>
      </c>
      <c r="I783">
        <v>0.53300000000000003</v>
      </c>
      <c r="J783">
        <v>2.0170715418649302E-2</v>
      </c>
      <c r="K783">
        <v>5.0745053844227395E-2</v>
      </c>
      <c r="L783">
        <v>-2.7563861758076631E-2</v>
      </c>
      <c r="M783">
        <v>9.4197241005092238E-4</v>
      </c>
      <c r="N783">
        <v>2.3697940145254192E-3</v>
      </c>
      <c r="O783">
        <v>-1.2872323441021787E-3</v>
      </c>
      <c r="P783">
        <v>1.0750991318140078E-2</v>
      </c>
      <c r="Q783">
        <v>2.7047113698973203E-2</v>
      </c>
      <c r="R783">
        <v>-1.4691538317054845E-2</v>
      </c>
    </row>
    <row r="784" spans="1:18">
      <c r="A784" t="s">
        <v>173</v>
      </c>
      <c r="B784">
        <v>2019</v>
      </c>
      <c r="C784">
        <v>0.13007266164107215</v>
      </c>
      <c r="D784">
        <v>0.79356976854486816</v>
      </c>
      <c r="E784">
        <v>-32.020000000000003</v>
      </c>
      <c r="F784">
        <v>-14.07</v>
      </c>
      <c r="G784">
        <v>78.239999999999995</v>
      </c>
      <c r="H784">
        <v>4.48E-2</v>
      </c>
      <c r="I784">
        <v>0.52722999999999998</v>
      </c>
      <c r="J784">
        <v>-1.8983589451716944E-2</v>
      </c>
      <c r="K784">
        <v>-8.3416334661354577E-3</v>
      </c>
      <c r="L784">
        <v>4.6385885031303357E-2</v>
      </c>
      <c r="M784">
        <v>-8.5046480743691908E-4</v>
      </c>
      <c r="N784">
        <v>-3.737051792828685E-4</v>
      </c>
      <c r="O784">
        <v>2.0780876494023905E-3</v>
      </c>
      <c r="P784">
        <v>-1.0008717866628724E-2</v>
      </c>
      <c r="Q784">
        <v>-4.3979594123505971E-3</v>
      </c>
      <c r="R784">
        <v>2.4456030165054068E-2</v>
      </c>
    </row>
    <row r="785" spans="1:18">
      <c r="A785" t="s">
        <v>173</v>
      </c>
      <c r="B785">
        <v>2020</v>
      </c>
      <c r="C785">
        <v>0.40496025748915104</v>
      </c>
      <c r="D785">
        <v>0.8388630395724882</v>
      </c>
      <c r="E785">
        <v>45.68</v>
      </c>
      <c r="F785">
        <v>-9.11</v>
      </c>
      <c r="G785">
        <v>-39.33</v>
      </c>
      <c r="H785">
        <v>4.4400000000000002E-2</v>
      </c>
      <c r="I785">
        <v>0.52729999999999999</v>
      </c>
      <c r="J785">
        <v>2.1043902888469159E-2</v>
      </c>
      <c r="K785">
        <v>-4.1968028746487305E-3</v>
      </c>
      <c r="L785">
        <v>-1.8118579260146497E-2</v>
      </c>
      <c r="M785">
        <v>9.343492882480307E-4</v>
      </c>
      <c r="N785">
        <v>-1.8633804763440364E-4</v>
      </c>
      <c r="O785">
        <v>-8.0446491915050447E-4</v>
      </c>
      <c r="P785">
        <v>1.1096449993089787E-2</v>
      </c>
      <c r="Q785">
        <v>-2.2129741558022755E-3</v>
      </c>
      <c r="R785">
        <v>-9.5539268438752482E-3</v>
      </c>
    </row>
    <row r="786" spans="1:18">
      <c r="A786" t="s">
        <v>173</v>
      </c>
      <c r="B786">
        <v>2021</v>
      </c>
      <c r="C786">
        <v>0.5033376378258998</v>
      </c>
      <c r="D786">
        <v>0.85449982880859132</v>
      </c>
      <c r="E786">
        <v>132.72</v>
      </c>
      <c r="F786">
        <v>6.7</v>
      </c>
      <c r="G786">
        <v>-60.01</v>
      </c>
      <c r="H786">
        <v>4.2999999999999997E-2</v>
      </c>
      <c r="I786">
        <v>0.53580000000000005</v>
      </c>
      <c r="J786">
        <v>5.5415911615128308E-2</v>
      </c>
      <c r="K786">
        <v>2.7975181421139215E-3</v>
      </c>
      <c r="L786">
        <v>-2.5056576672874094E-2</v>
      </c>
      <c r="M786">
        <v>2.3828841994505169E-3</v>
      </c>
      <c r="N786">
        <v>1.2029328011089861E-4</v>
      </c>
      <c r="O786">
        <v>-1.0774327969335859E-3</v>
      </c>
      <c r="P786">
        <v>2.969184544338575E-2</v>
      </c>
      <c r="Q786">
        <v>1.4989102205446392E-3</v>
      </c>
      <c r="R786">
        <v>-1.3425313781325941E-2</v>
      </c>
    </row>
    <row r="787" spans="1:18">
      <c r="A787" t="s">
        <v>174</v>
      </c>
      <c r="B787">
        <v>2017</v>
      </c>
      <c r="C787">
        <v>-1.6484128377326657</v>
      </c>
      <c r="D787">
        <v>0.52427843254465112</v>
      </c>
      <c r="E787">
        <v>102.34</v>
      </c>
      <c r="F787">
        <v>-93.31</v>
      </c>
      <c r="G787">
        <v>-38.42</v>
      </c>
      <c r="H787">
        <v>6.4999999999999997E-3</v>
      </c>
      <c r="I787">
        <v>0.20558999999999999</v>
      </c>
      <c r="J787">
        <v>8.2670264069858557E-2</v>
      </c>
      <c r="K787">
        <v>-7.5375829004871039E-2</v>
      </c>
      <c r="L787">
        <v>-3.1035680531209357E-2</v>
      </c>
      <c r="M787">
        <v>5.3735671645408064E-4</v>
      </c>
      <c r="N787">
        <v>-4.8994288853166171E-4</v>
      </c>
      <c r="O787">
        <v>-2.0173192345286081E-4</v>
      </c>
      <c r="P787">
        <v>1.6996179590122219E-2</v>
      </c>
      <c r="Q787">
        <v>-1.5496516685111436E-2</v>
      </c>
      <c r="R787">
        <v>-6.3806255604113319E-3</v>
      </c>
    </row>
    <row r="788" spans="1:18">
      <c r="A788" t="s">
        <v>174</v>
      </c>
      <c r="B788">
        <v>2018</v>
      </c>
      <c r="C788">
        <v>-1.5072198717054175</v>
      </c>
      <c r="D788">
        <v>0.53411619183781656</v>
      </c>
      <c r="E788">
        <v>-115.85</v>
      </c>
      <c r="F788">
        <v>57.4</v>
      </c>
      <c r="G788">
        <v>49.66</v>
      </c>
      <c r="H788">
        <v>6.3E-3</v>
      </c>
      <c r="I788">
        <v>0.43664999999999998</v>
      </c>
      <c r="J788">
        <v>-9.3051461434044705E-2</v>
      </c>
      <c r="K788">
        <v>4.6104047357049337E-2</v>
      </c>
      <c r="L788">
        <v>3.9887229821447212E-2</v>
      </c>
      <c r="M788">
        <v>-5.8622420703448167E-4</v>
      </c>
      <c r="N788">
        <v>2.9045549834941085E-4</v>
      </c>
      <c r="O788">
        <v>2.5128954787511742E-4</v>
      </c>
      <c r="P788">
        <v>-4.0630920635175621E-2</v>
      </c>
      <c r="Q788">
        <v>2.0131332278455594E-2</v>
      </c>
      <c r="R788">
        <v>1.7416758901534924E-2</v>
      </c>
    </row>
    <row r="789" spans="1:18">
      <c r="A789" t="s">
        <v>174</v>
      </c>
      <c r="B789">
        <v>2019</v>
      </c>
      <c r="C789">
        <v>-1.5287581345146308</v>
      </c>
      <c r="D789">
        <v>0.48774877395728866</v>
      </c>
      <c r="E789">
        <v>238.21</v>
      </c>
      <c r="F789">
        <v>-32.630000000000003</v>
      </c>
      <c r="G789">
        <v>-202.34</v>
      </c>
      <c r="H789">
        <v>6.3E-3</v>
      </c>
      <c r="I789">
        <v>0.40205000000000002</v>
      </c>
      <c r="J789">
        <v>0.21917871240212364</v>
      </c>
      <c r="K789">
        <v>-3.0023094688221712E-2</v>
      </c>
      <c r="L789">
        <v>-0.18617447070839047</v>
      </c>
      <c r="M789">
        <v>1.3808258881333789E-3</v>
      </c>
      <c r="N789">
        <v>-1.8914549653579679E-4</v>
      </c>
      <c r="O789">
        <v>-1.17289916546286E-3</v>
      </c>
      <c r="P789">
        <v>8.8120801321273812E-2</v>
      </c>
      <c r="Q789">
        <v>-1.2070785219399541E-2</v>
      </c>
      <c r="R789">
        <v>-7.4851445948308393E-2</v>
      </c>
    </row>
    <row r="790" spans="1:18">
      <c r="A790" t="s">
        <v>174</v>
      </c>
      <c r="B790">
        <v>2020</v>
      </c>
      <c r="C790">
        <v>-1.6369912343244606</v>
      </c>
      <c r="D790">
        <v>0.4698897933269528</v>
      </c>
      <c r="E790">
        <v>48.61</v>
      </c>
      <c r="F790">
        <v>-48.57</v>
      </c>
      <c r="G790">
        <v>-17.66</v>
      </c>
      <c r="H790">
        <v>7.3000000000000001E-3</v>
      </c>
      <c r="I790">
        <v>1.6999999999999999E-3</v>
      </c>
      <c r="J790">
        <v>4.6063167470553119E-2</v>
      </c>
      <c r="K790">
        <v>-4.6025263197793972E-2</v>
      </c>
      <c r="L790">
        <v>-1.6734736423163303E-2</v>
      </c>
      <c r="M790">
        <v>3.3626112253503775E-4</v>
      </c>
      <c r="N790">
        <v>-3.3598442134389603E-4</v>
      </c>
      <c r="O790">
        <v>-1.2216357588909211E-4</v>
      </c>
      <c r="P790">
        <v>7.83073846999403E-5</v>
      </c>
      <c r="Q790">
        <v>-7.8242947436249748E-5</v>
      </c>
      <c r="R790">
        <v>-2.8449051919377612E-5</v>
      </c>
    </row>
    <row r="791" spans="1:18">
      <c r="A791" t="s">
        <v>174</v>
      </c>
      <c r="B791">
        <v>2021</v>
      </c>
      <c r="C791">
        <v>-1.0470602484763529</v>
      </c>
      <c r="D791">
        <v>0.59141757087854396</v>
      </c>
      <c r="E791">
        <v>6.29</v>
      </c>
      <c r="F791">
        <v>-265.66000000000003</v>
      </c>
      <c r="G791">
        <v>304.47000000000003</v>
      </c>
      <c r="H791">
        <v>7.3000000000000001E-3</v>
      </c>
      <c r="I791">
        <v>1.6999999999999999E-3</v>
      </c>
      <c r="J791">
        <v>4.40322016100805E-3</v>
      </c>
      <c r="K791">
        <v>-0.18597129856492825</v>
      </c>
      <c r="L791">
        <v>0.21313965698284917</v>
      </c>
      <c r="M791">
        <v>3.2143507175358765E-5</v>
      </c>
      <c r="N791">
        <v>-1.3575904795239762E-3</v>
      </c>
      <c r="O791">
        <v>1.555919495974799E-3</v>
      </c>
      <c r="P791">
        <v>7.4854742737136845E-6</v>
      </c>
      <c r="Q791">
        <v>-3.1615120756037799E-4</v>
      </c>
      <c r="R791">
        <v>3.6233741687084357E-4</v>
      </c>
    </row>
    <row r="792" spans="1:18">
      <c r="A792" t="s">
        <v>175</v>
      </c>
      <c r="B792">
        <v>2017</v>
      </c>
      <c r="C792">
        <v>-2.461341341970317</v>
      </c>
      <c r="D792">
        <v>0.37962589625370341</v>
      </c>
      <c r="E792">
        <v>-24.91</v>
      </c>
      <c r="F792">
        <v>-26.48</v>
      </c>
      <c r="G792">
        <v>-12.81</v>
      </c>
      <c r="H792">
        <v>0.35160000000000002</v>
      </c>
      <c r="I792">
        <v>0.2036</v>
      </c>
      <c r="J792">
        <v>-4.366881124765528E-2</v>
      </c>
      <c r="K792">
        <v>-4.642112090878811E-2</v>
      </c>
      <c r="L792">
        <v>-2.245674315866978E-2</v>
      </c>
      <c r="M792">
        <v>-1.5353954034675597E-2</v>
      </c>
      <c r="N792">
        <v>-1.6321666111529902E-2</v>
      </c>
      <c r="O792">
        <v>-7.8957908945882956E-3</v>
      </c>
      <c r="P792">
        <v>-8.8909699700226146E-3</v>
      </c>
      <c r="Q792">
        <v>-9.4513402170292599E-3</v>
      </c>
      <c r="R792">
        <v>-4.5721929071051671E-3</v>
      </c>
    </row>
    <row r="793" spans="1:18">
      <c r="A793" t="s">
        <v>175</v>
      </c>
      <c r="B793">
        <v>2018</v>
      </c>
      <c r="C793">
        <v>-2.2272679804059443</v>
      </c>
      <c r="D793">
        <v>0.42456844754216561</v>
      </c>
      <c r="E793">
        <v>89.21</v>
      </c>
      <c r="F793">
        <v>-104.35</v>
      </c>
      <c r="G793">
        <v>-11.78</v>
      </c>
      <c r="H793">
        <v>0.34439999999999998</v>
      </c>
      <c r="I793">
        <v>0.24129999999999999</v>
      </c>
      <c r="J793">
        <v>0.12612217776709597</v>
      </c>
      <c r="K793">
        <v>-0.14752661416877552</v>
      </c>
      <c r="L793">
        <v>-1.6654178389153576E-2</v>
      </c>
      <c r="M793">
        <v>4.3436478022987848E-2</v>
      </c>
      <c r="N793">
        <v>-5.0808165919726291E-2</v>
      </c>
      <c r="O793">
        <v>-5.7356990372244912E-3</v>
      </c>
      <c r="P793">
        <v>3.0433281495200255E-2</v>
      </c>
      <c r="Q793">
        <v>-3.559817199892553E-2</v>
      </c>
      <c r="R793">
        <v>-4.0186532453027578E-3</v>
      </c>
    </row>
    <row r="794" spans="1:18">
      <c r="A794" t="s">
        <v>175</v>
      </c>
      <c r="B794">
        <v>2019</v>
      </c>
      <c r="C794">
        <v>-3.6826361921176147</v>
      </c>
      <c r="D794">
        <v>0.17428656251159683</v>
      </c>
      <c r="E794">
        <v>48.42</v>
      </c>
      <c r="F794">
        <v>-66.87</v>
      </c>
      <c r="G794">
        <v>-0.3</v>
      </c>
      <c r="H794">
        <v>0.29959999999999998</v>
      </c>
      <c r="I794">
        <v>2.2200000000000001E-2</v>
      </c>
      <c r="J794">
        <v>8.9843025197610116E-2</v>
      </c>
      <c r="K794">
        <v>-0.12407689167625338</v>
      </c>
      <c r="L794">
        <v>-5.5664823542509367E-4</v>
      </c>
      <c r="M794">
        <v>2.6916970349203987E-2</v>
      </c>
      <c r="N794">
        <v>-3.7173436746205511E-2</v>
      </c>
      <c r="O794">
        <v>-1.6677181133335805E-4</v>
      </c>
      <c r="P794">
        <v>1.9945151593869447E-3</v>
      </c>
      <c r="Q794">
        <v>-2.7545069952128252E-3</v>
      </c>
      <c r="R794">
        <v>-1.235759082643708E-5</v>
      </c>
    </row>
    <row r="795" spans="1:18">
      <c r="A795" t="s">
        <v>175</v>
      </c>
      <c r="B795">
        <v>2020</v>
      </c>
      <c r="C795">
        <v>-3.0465307721185524</v>
      </c>
      <c r="D795">
        <v>0.31288815452110991</v>
      </c>
      <c r="E795">
        <v>155.16999999999999</v>
      </c>
      <c r="F795">
        <v>-56.09</v>
      </c>
      <c r="G795">
        <v>-43.55</v>
      </c>
      <c r="H795">
        <v>0.1023</v>
      </c>
      <c r="I795">
        <v>1.5900000000000001E-2</v>
      </c>
      <c r="J795">
        <v>0.22102729189219986</v>
      </c>
      <c r="K795">
        <v>-7.9895732436898195E-2</v>
      </c>
      <c r="L795">
        <v>-6.2033502364537633E-2</v>
      </c>
      <c r="M795">
        <v>2.2611091960572045E-2</v>
      </c>
      <c r="N795">
        <v>-8.1733334282946858E-3</v>
      </c>
      <c r="O795">
        <v>-6.3460272918922003E-3</v>
      </c>
      <c r="P795">
        <v>3.5143339410859779E-3</v>
      </c>
      <c r="Q795">
        <v>-1.2703421457466815E-3</v>
      </c>
      <c r="R795">
        <v>-9.8633268759614834E-4</v>
      </c>
    </row>
    <row r="796" spans="1:18">
      <c r="A796" t="s">
        <v>175</v>
      </c>
      <c r="B796">
        <v>2021</v>
      </c>
      <c r="C796">
        <v>-3.2312903607022672</v>
      </c>
      <c r="D796">
        <v>0.33582177475499386</v>
      </c>
      <c r="E796">
        <v>1.61</v>
      </c>
      <c r="F796">
        <v>128.16</v>
      </c>
      <c r="G796">
        <v>-34.71</v>
      </c>
      <c r="H796">
        <v>0.69</v>
      </c>
      <c r="I796">
        <v>1.6799999999999999E-2</v>
      </c>
      <c r="J796">
        <v>1.7244149306485301E-3</v>
      </c>
      <c r="K796">
        <v>0.13726771274032024</v>
      </c>
      <c r="L796">
        <v>-3.7176672200503399E-2</v>
      </c>
      <c r="M796">
        <v>1.1898463021474857E-3</v>
      </c>
      <c r="N796">
        <v>9.4714721790820952E-2</v>
      </c>
      <c r="O796">
        <v>-2.5651903818347345E-2</v>
      </c>
      <c r="P796">
        <v>2.8970170834895304E-5</v>
      </c>
      <c r="Q796">
        <v>2.3060975740373797E-3</v>
      </c>
      <c r="R796">
        <v>-6.2456809296845708E-4</v>
      </c>
    </row>
    <row r="797" spans="1:18">
      <c r="A797" t="s">
        <v>176</v>
      </c>
      <c r="B797">
        <v>2017</v>
      </c>
      <c r="C797">
        <v>-4.121823485087015</v>
      </c>
      <c r="D797">
        <v>0.29206835794811553</v>
      </c>
      <c r="E797">
        <v>303.48</v>
      </c>
      <c r="F797">
        <v>-198.42</v>
      </c>
      <c r="G797">
        <v>-62.91</v>
      </c>
      <c r="H797">
        <v>8.1799999999999998E-2</v>
      </c>
      <c r="I797">
        <v>1.0239E-2</v>
      </c>
      <c r="J797">
        <v>0.4347290463980289</v>
      </c>
      <c r="K797">
        <v>-0.28423269205976304</v>
      </c>
      <c r="L797">
        <v>-9.0117320116317373E-2</v>
      </c>
      <c r="M797">
        <v>3.556083599535876E-2</v>
      </c>
      <c r="N797">
        <v>-2.3250234210488614E-2</v>
      </c>
      <c r="O797">
        <v>-7.3715967855147611E-3</v>
      </c>
      <c r="P797">
        <v>4.451190706069418E-3</v>
      </c>
      <c r="Q797">
        <v>-2.9102585339999135E-3</v>
      </c>
      <c r="R797">
        <v>-9.227112406709736E-4</v>
      </c>
    </row>
    <row r="798" spans="1:18">
      <c r="A798" t="s">
        <v>176</v>
      </c>
      <c r="B798">
        <v>2018</v>
      </c>
      <c r="C798">
        <v>-4.0820209773081286</v>
      </c>
      <c r="D798">
        <v>0.27849493607836628</v>
      </c>
      <c r="E798">
        <v>375.03</v>
      </c>
      <c r="F798">
        <v>-53.02</v>
      </c>
      <c r="G798">
        <v>-67.25</v>
      </c>
      <c r="H798">
        <v>8.4900000000000003E-2</v>
      </c>
      <c r="I798">
        <v>1.09E-2</v>
      </c>
      <c r="J798">
        <v>0.38916445293043334</v>
      </c>
      <c r="K798">
        <v>-5.5018263323924961E-2</v>
      </c>
      <c r="L798">
        <v>-6.978457579279429E-2</v>
      </c>
      <c r="M798">
        <v>3.3040062053793791E-2</v>
      </c>
      <c r="N798">
        <v>-4.6710505562012295E-3</v>
      </c>
      <c r="O798">
        <v>-5.9247104848082358E-3</v>
      </c>
      <c r="P798">
        <v>4.2418925369417234E-3</v>
      </c>
      <c r="Q798">
        <v>-5.9969907023078211E-4</v>
      </c>
      <c r="R798">
        <v>-7.6065187614145777E-4</v>
      </c>
    </row>
    <row r="799" spans="1:18">
      <c r="A799" t="s">
        <v>176</v>
      </c>
      <c r="B799">
        <v>2019</v>
      </c>
      <c r="C799">
        <v>-4.3638795102705039</v>
      </c>
      <c r="D799">
        <v>0.2274496976272917</v>
      </c>
      <c r="E799">
        <v>349.62</v>
      </c>
      <c r="F799">
        <v>-443.7</v>
      </c>
      <c r="G799">
        <v>-78.930000000000007</v>
      </c>
      <c r="H799">
        <v>2.8799999999999999E-2</v>
      </c>
      <c r="I799">
        <v>1.11E-2</v>
      </c>
      <c r="J799">
        <v>0.27893283975044275</v>
      </c>
      <c r="K799">
        <v>-0.35399147931260072</v>
      </c>
      <c r="L799">
        <v>-6.2971709403073187E-2</v>
      </c>
      <c r="M799">
        <v>8.0332657848127507E-3</v>
      </c>
      <c r="N799">
        <v>-1.01949546042029E-2</v>
      </c>
      <c r="O799">
        <v>-1.8135852308085077E-3</v>
      </c>
      <c r="P799">
        <v>3.0961545212299145E-3</v>
      </c>
      <c r="Q799">
        <v>-3.9293054203698684E-3</v>
      </c>
      <c r="R799">
        <v>-6.9898597437411238E-4</v>
      </c>
    </row>
    <row r="800" spans="1:18">
      <c r="A800" t="s">
        <v>176</v>
      </c>
      <c r="B800">
        <v>2020</v>
      </c>
      <c r="C800">
        <v>-3.7968911277710595</v>
      </c>
      <c r="D800">
        <v>0.15346430484352283</v>
      </c>
      <c r="E800">
        <v>75.760000000000005</v>
      </c>
      <c r="F800">
        <v>45.19</v>
      </c>
      <c r="G800">
        <v>-148.28</v>
      </c>
      <c r="H800">
        <v>2.3900000000000001E-2</v>
      </c>
      <c r="I800">
        <v>1.2149999999999999E-2</v>
      </c>
      <c r="J800">
        <v>7.2461550233376693E-2</v>
      </c>
      <c r="K800">
        <v>4.3222511286249904E-2</v>
      </c>
      <c r="L800">
        <v>-0.14182416405233761</v>
      </c>
      <c r="M800">
        <v>1.7318310505777031E-3</v>
      </c>
      <c r="N800">
        <v>1.0330180197413727E-3</v>
      </c>
      <c r="O800">
        <v>-3.3895975208508692E-3</v>
      </c>
      <c r="P800">
        <v>8.8040783533552681E-4</v>
      </c>
      <c r="Q800">
        <v>5.251535121279363E-4</v>
      </c>
      <c r="R800">
        <v>-1.7231635932359018E-3</v>
      </c>
    </row>
    <row r="801" spans="1:18">
      <c r="A801" t="s">
        <v>176</v>
      </c>
      <c r="B801">
        <v>2021</v>
      </c>
      <c r="C801">
        <v>-3.7847387079328776</v>
      </c>
      <c r="D801">
        <v>0.12604012401581094</v>
      </c>
      <c r="E801">
        <v>188.12</v>
      </c>
      <c r="F801">
        <v>8.1300000000000008</v>
      </c>
      <c r="G801">
        <v>-83.83</v>
      </c>
      <c r="H801">
        <v>2.4500000000000001E-2</v>
      </c>
      <c r="I801">
        <v>1.235E-2</v>
      </c>
      <c r="J801">
        <v>0.20042830202750936</v>
      </c>
      <c r="K801">
        <v>8.6619290638084798E-3</v>
      </c>
      <c r="L801">
        <v>-8.9314823298777948E-2</v>
      </c>
      <c r="M801">
        <v>4.9104933996739798E-3</v>
      </c>
      <c r="N801">
        <v>2.1221726206330777E-4</v>
      </c>
      <c r="O801">
        <v>-2.18821317082006E-3</v>
      </c>
      <c r="P801">
        <v>2.4752895300397407E-3</v>
      </c>
      <c r="Q801">
        <v>1.0697482393803473E-4</v>
      </c>
      <c r="R801">
        <v>-1.1030380677399076E-3</v>
      </c>
    </row>
    <row r="802" spans="1:18">
      <c r="A802" t="s">
        <v>177</v>
      </c>
      <c r="B802">
        <v>2017</v>
      </c>
      <c r="C802">
        <v>-1.1329772277982693</v>
      </c>
      <c r="D802">
        <v>0.62718536827771365</v>
      </c>
      <c r="E802">
        <v>-185.69</v>
      </c>
      <c r="F802">
        <v>-132.55000000000001</v>
      </c>
      <c r="G802">
        <v>21.37</v>
      </c>
      <c r="H802">
        <v>1.2E-4</v>
      </c>
      <c r="I802">
        <v>0.34229999999999999</v>
      </c>
      <c r="J802">
        <v>-0.11983788423437086</v>
      </c>
      <c r="K802">
        <v>-8.5543171712347779E-2</v>
      </c>
      <c r="L802">
        <v>1.379145665403902E-2</v>
      </c>
      <c r="M802">
        <v>-1.4380546108124504E-5</v>
      </c>
      <c r="N802">
        <v>-1.0265180605481734E-5</v>
      </c>
      <c r="O802">
        <v>1.6549747984846823E-6</v>
      </c>
      <c r="P802">
        <v>-4.1020507773425148E-2</v>
      </c>
      <c r="Q802">
        <v>-2.9281427677136644E-2</v>
      </c>
      <c r="R802">
        <v>4.720815612677556E-3</v>
      </c>
    </row>
    <row r="803" spans="1:18">
      <c r="A803" t="s">
        <v>177</v>
      </c>
      <c r="B803">
        <v>2018</v>
      </c>
      <c r="C803">
        <v>-0.83836753646681406</v>
      </c>
      <c r="D803">
        <v>0.65951636280418036</v>
      </c>
      <c r="E803">
        <v>98.3</v>
      </c>
      <c r="F803">
        <v>364.12</v>
      </c>
      <c r="G803">
        <v>28.08</v>
      </c>
      <c r="H803">
        <v>3.4000000000000002E-4</v>
      </c>
      <c r="I803">
        <v>5.8799999999999998E-2</v>
      </c>
      <c r="J803">
        <v>4.9991100261906576E-2</v>
      </c>
      <c r="K803">
        <v>0.18517557911867166</v>
      </c>
      <c r="L803">
        <v>1.4280265466473416E-2</v>
      </c>
      <c r="M803">
        <v>1.6996974089048237E-5</v>
      </c>
      <c r="N803">
        <v>6.2959696900348374E-5</v>
      </c>
      <c r="O803">
        <v>4.8552902586009613E-6</v>
      </c>
      <c r="P803">
        <v>2.9394766954001068E-3</v>
      </c>
      <c r="Q803">
        <v>1.0888324052177894E-2</v>
      </c>
      <c r="R803">
        <v>8.3967960942863686E-4</v>
      </c>
    </row>
    <row r="804" spans="1:18">
      <c r="A804" t="s">
        <v>177</v>
      </c>
      <c r="B804">
        <v>2019</v>
      </c>
      <c r="C804">
        <v>-0.682693867744672</v>
      </c>
      <c r="D804">
        <v>0.66910156884089111</v>
      </c>
      <c r="E804">
        <v>-470.8</v>
      </c>
      <c r="F804">
        <v>-122.17</v>
      </c>
      <c r="G804">
        <v>52.53</v>
      </c>
      <c r="H804">
        <v>1.066E-4</v>
      </c>
      <c r="I804">
        <v>5.8799999999999998E-2</v>
      </c>
      <c r="J804">
        <v>-0.22477489090683397</v>
      </c>
      <c r="K804">
        <v>-5.8327842867646355E-2</v>
      </c>
      <c r="L804">
        <v>2.5079492394511446E-2</v>
      </c>
      <c r="M804">
        <v>-2.3961003370668504E-5</v>
      </c>
      <c r="N804">
        <v>-6.2177480496911017E-6</v>
      </c>
      <c r="O804">
        <v>2.6734738892549204E-6</v>
      </c>
      <c r="P804">
        <v>-1.3216763585321837E-2</v>
      </c>
      <c r="Q804">
        <v>-3.4296771606176055E-3</v>
      </c>
      <c r="R804">
        <v>1.4746741527972729E-3</v>
      </c>
    </row>
    <row r="805" spans="1:18">
      <c r="A805" t="s">
        <v>177</v>
      </c>
      <c r="B805">
        <v>2020</v>
      </c>
      <c r="C805">
        <v>-1.0086639719054464</v>
      </c>
      <c r="D805">
        <v>0.61891767591598956</v>
      </c>
      <c r="E805">
        <v>-386.92</v>
      </c>
      <c r="F805">
        <v>505.38</v>
      </c>
      <c r="G805">
        <v>-121.97</v>
      </c>
      <c r="H805">
        <v>3.6300000000000001E-5</v>
      </c>
      <c r="I805">
        <v>0.17910000000000001</v>
      </c>
      <c r="J805">
        <v>-0.19772088507333027</v>
      </c>
      <c r="K805">
        <v>0.25825540395523533</v>
      </c>
      <c r="L805">
        <v>-6.2328172108947824E-2</v>
      </c>
      <c r="M805">
        <v>-7.1772681281618895E-6</v>
      </c>
      <c r="N805">
        <v>9.3746711635750429E-6</v>
      </c>
      <c r="O805">
        <v>-2.2625126475548059E-6</v>
      </c>
      <c r="P805">
        <v>-3.5411810516633453E-2</v>
      </c>
      <c r="Q805">
        <v>4.6253542848382651E-2</v>
      </c>
      <c r="R805">
        <v>-1.1162975624712556E-2</v>
      </c>
    </row>
    <row r="806" spans="1:18">
      <c r="A806" t="s">
        <v>177</v>
      </c>
      <c r="B806">
        <v>2021</v>
      </c>
      <c r="C806">
        <v>-0.6972945141443343</v>
      </c>
      <c r="D806">
        <v>0.65095042955713334</v>
      </c>
      <c r="E806">
        <v>157.47</v>
      </c>
      <c r="F806">
        <v>-131.44</v>
      </c>
      <c r="G806">
        <v>2.4300000000000002</v>
      </c>
      <c r="H806">
        <v>5.2800000000000003E-5</v>
      </c>
      <c r="I806">
        <v>0.17910000000000001</v>
      </c>
      <c r="J806">
        <v>7.8791335805100643E-2</v>
      </c>
      <c r="K806">
        <v>-6.5767023421746548E-2</v>
      </c>
      <c r="L806">
        <v>1.2158693465828068E-3</v>
      </c>
      <c r="M806">
        <v>4.1601825305093145E-6</v>
      </c>
      <c r="N806">
        <v>-3.4724988366682177E-6</v>
      </c>
      <c r="O806">
        <v>6.4197901499572199E-8</v>
      </c>
      <c r="P806">
        <v>1.4111528242693527E-2</v>
      </c>
      <c r="Q806">
        <v>-1.1778873894834807E-2</v>
      </c>
      <c r="R806">
        <v>2.177621999729807E-4</v>
      </c>
    </row>
    <row r="807" spans="1:18">
      <c r="A807" t="s">
        <v>178</v>
      </c>
      <c r="B807">
        <v>2017</v>
      </c>
      <c r="C807">
        <v>-0.86864453950916964</v>
      </c>
      <c r="D807">
        <v>0.65190952330384144</v>
      </c>
      <c r="E807">
        <v>99.52</v>
      </c>
      <c r="F807">
        <v>69.7</v>
      </c>
      <c r="G807">
        <v>-177.77</v>
      </c>
      <c r="H807">
        <v>0.13150000000000001</v>
      </c>
      <c r="I807">
        <v>1.1999999999999999E-3</v>
      </c>
      <c r="J807">
        <v>5.5622935518307166E-2</v>
      </c>
      <c r="K807">
        <v>3.8956175699618262E-2</v>
      </c>
      <c r="L807">
        <v>-9.9357809958696391E-2</v>
      </c>
      <c r="M807">
        <v>7.3144160206573931E-3</v>
      </c>
      <c r="N807">
        <v>5.1227371044998016E-3</v>
      </c>
      <c r="O807">
        <v>-1.3065552009568576E-2</v>
      </c>
      <c r="P807">
        <v>6.67475226219686E-5</v>
      </c>
      <c r="Q807">
        <v>4.674741083954191E-5</v>
      </c>
      <c r="R807">
        <v>-1.1922937195043565E-4</v>
      </c>
    </row>
    <row r="808" spans="1:18">
      <c r="A808" t="s">
        <v>178</v>
      </c>
      <c r="B808">
        <v>2018</v>
      </c>
      <c r="C808">
        <v>-1.0828666767608368</v>
      </c>
      <c r="D808">
        <v>0.61329084648198584</v>
      </c>
      <c r="E808">
        <v>28.33</v>
      </c>
      <c r="F808">
        <v>-12.67</v>
      </c>
      <c r="G808">
        <v>-11.38</v>
      </c>
      <c r="H808">
        <v>0.13150000000000001</v>
      </c>
      <c r="I808">
        <v>1.1999999999999999E-3</v>
      </c>
      <c r="J808">
        <v>1.4560312483938942E-2</v>
      </c>
      <c r="K808">
        <v>-6.5117952407873769E-3</v>
      </c>
      <c r="L808">
        <v>-5.8487947782289154E-3</v>
      </c>
      <c r="M808">
        <v>1.914681091637971E-3</v>
      </c>
      <c r="N808">
        <v>-8.5630107416354007E-4</v>
      </c>
      <c r="O808">
        <v>-7.6911651333710245E-4</v>
      </c>
      <c r="P808">
        <v>1.7472374980726728E-5</v>
      </c>
      <c r="Q808">
        <v>-7.8141542889448524E-6</v>
      </c>
      <c r="R808">
        <v>-7.0185537338746977E-6</v>
      </c>
    </row>
    <row r="809" spans="1:18">
      <c r="A809" t="s">
        <v>178</v>
      </c>
      <c r="B809">
        <v>2019</v>
      </c>
      <c r="C809">
        <v>-0.71986989721388994</v>
      </c>
      <c r="D809">
        <v>0.63301176222879407</v>
      </c>
      <c r="E809">
        <v>31.41</v>
      </c>
      <c r="F809">
        <v>-215.32</v>
      </c>
      <c r="G809">
        <v>149.99</v>
      </c>
      <c r="H809">
        <v>0.1323</v>
      </c>
      <c r="I809">
        <v>1.1999999999999999E-3</v>
      </c>
      <c r="J809">
        <v>1.5030577966636999E-2</v>
      </c>
      <c r="K809">
        <v>-0.10303674141280734</v>
      </c>
      <c r="L809">
        <v>7.1774479121804638E-2</v>
      </c>
      <c r="M809">
        <v>1.9885454649860752E-3</v>
      </c>
      <c r="N809">
        <v>-1.3631760888914412E-2</v>
      </c>
      <c r="O809">
        <v>9.4957635878147543E-3</v>
      </c>
      <c r="P809">
        <v>1.8036693559964398E-5</v>
      </c>
      <c r="Q809">
        <v>-1.2364408969536879E-4</v>
      </c>
      <c r="R809">
        <v>8.6129374946165561E-5</v>
      </c>
    </row>
    <row r="810" spans="1:18">
      <c r="A810" t="s">
        <v>178</v>
      </c>
      <c r="B810">
        <v>2020</v>
      </c>
      <c r="C810">
        <v>-0.57681346710543124</v>
      </c>
      <c r="D810">
        <v>0.65840825338331532</v>
      </c>
      <c r="E810">
        <v>153.65</v>
      </c>
      <c r="F810">
        <v>-168.08</v>
      </c>
      <c r="G810">
        <v>113.8</v>
      </c>
      <c r="H810">
        <v>0.1356</v>
      </c>
      <c r="I810">
        <v>1.1999999999999999E-3</v>
      </c>
      <c r="J810">
        <v>6.1014835758307399E-2</v>
      </c>
      <c r="K810">
        <v>-6.6745028273714993E-2</v>
      </c>
      <c r="L810">
        <v>4.5190291632251099E-2</v>
      </c>
      <c r="M810">
        <v>8.2736117288264837E-3</v>
      </c>
      <c r="N810">
        <v>-9.0506258339157538E-3</v>
      </c>
      <c r="O810">
        <v>6.1278035453332493E-3</v>
      </c>
      <c r="P810">
        <v>7.3217802909968872E-5</v>
      </c>
      <c r="Q810">
        <v>-8.009403392845798E-5</v>
      </c>
      <c r="R810">
        <v>5.4228349958701317E-5</v>
      </c>
    </row>
    <row r="811" spans="1:18">
      <c r="A811" t="s">
        <v>178</v>
      </c>
      <c r="B811">
        <v>2021</v>
      </c>
      <c r="C811">
        <v>-2.2268608872274203E-2</v>
      </c>
      <c r="D811">
        <v>0.76395992528442858</v>
      </c>
      <c r="E811">
        <v>-89.36</v>
      </c>
      <c r="F811">
        <v>-1581.91</v>
      </c>
      <c r="G811">
        <v>1630.16</v>
      </c>
      <c r="H811">
        <v>1.1000000000000001E-3</v>
      </c>
      <c r="I811">
        <v>1.1999999999999999E-3</v>
      </c>
      <c r="J811">
        <v>-2.0232071092998245E-2</v>
      </c>
      <c r="K811">
        <v>-0.35816154412180906</v>
      </c>
      <c r="L811">
        <v>0.36908586630440937</v>
      </c>
      <c r="M811">
        <v>-2.2255278202298071E-5</v>
      </c>
      <c r="N811">
        <v>-3.9397769853398998E-4</v>
      </c>
      <c r="O811">
        <v>4.0599445293485034E-4</v>
      </c>
      <c r="P811">
        <v>-2.4278485311597892E-5</v>
      </c>
      <c r="Q811">
        <v>-4.2979385294617082E-4</v>
      </c>
      <c r="R811">
        <v>4.4290303956529123E-4</v>
      </c>
    </row>
    <row r="812" spans="1:18">
      <c r="A812" t="s">
        <v>179</v>
      </c>
      <c r="B812">
        <v>2017</v>
      </c>
      <c r="C812">
        <v>-1.7294345597210397</v>
      </c>
      <c r="D812">
        <v>0.49286020171591421</v>
      </c>
      <c r="E812">
        <v>-104.93</v>
      </c>
      <c r="F812">
        <v>-34.9</v>
      </c>
      <c r="G812">
        <v>151.44</v>
      </c>
      <c r="H812">
        <v>0.01</v>
      </c>
      <c r="I812">
        <v>0</v>
      </c>
      <c r="J812">
        <v>-0.15494912801429436</v>
      </c>
      <c r="K812">
        <v>-5.1536496404258766E-2</v>
      </c>
      <c r="L812">
        <v>0.2236300004430071</v>
      </c>
      <c r="M812">
        <v>-1.5494912801429436E-3</v>
      </c>
      <c r="N812">
        <v>-5.1536496404258766E-4</v>
      </c>
      <c r="O812">
        <v>2.236300004430071E-3</v>
      </c>
      <c r="P812">
        <v>0</v>
      </c>
      <c r="Q812">
        <v>0</v>
      </c>
      <c r="R812">
        <v>0</v>
      </c>
    </row>
    <row r="813" spans="1:18">
      <c r="A813" t="s">
        <v>179</v>
      </c>
      <c r="B813">
        <v>2018</v>
      </c>
      <c r="C813">
        <v>-1.5432552170354261</v>
      </c>
      <c r="D813">
        <v>0.52255756701984413</v>
      </c>
      <c r="E813">
        <v>-36.75</v>
      </c>
      <c r="F813">
        <v>-11.86</v>
      </c>
      <c r="G813">
        <v>40.17</v>
      </c>
      <c r="H813">
        <v>9.1999999999999998E-3</v>
      </c>
      <c r="I813">
        <v>0</v>
      </c>
      <c r="J813">
        <v>-4.9984358636073062E-2</v>
      </c>
      <c r="K813">
        <v>-1.6131006623777592E-2</v>
      </c>
      <c r="L813">
        <v>5.4635964256083129E-2</v>
      </c>
      <c r="M813">
        <v>-4.5985609945187216E-4</v>
      </c>
      <c r="N813">
        <v>-1.4840526093875384E-4</v>
      </c>
      <c r="O813">
        <v>5.0265087115596474E-4</v>
      </c>
      <c r="P813">
        <v>0</v>
      </c>
      <c r="Q813">
        <v>0</v>
      </c>
      <c r="R813">
        <v>0</v>
      </c>
    </row>
    <row r="814" spans="1:18">
      <c r="A814" t="s">
        <v>179</v>
      </c>
      <c r="B814">
        <v>2019</v>
      </c>
      <c r="C814">
        <v>-1.3687053376421485</v>
      </c>
      <c r="D814">
        <v>0.54491299770883639</v>
      </c>
      <c r="E814">
        <v>16.420000000000002</v>
      </c>
      <c r="F814">
        <v>-12.23</v>
      </c>
      <c r="G814">
        <v>28.24</v>
      </c>
      <c r="H814">
        <v>1.0200000000000001E-2</v>
      </c>
      <c r="I814">
        <v>8.5999999999999993E-2</v>
      </c>
      <c r="J814">
        <v>2.0335624496872873E-2</v>
      </c>
      <c r="K814">
        <v>-1.5146448696513716E-2</v>
      </c>
      <c r="L814">
        <v>3.4974301814353827E-2</v>
      </c>
      <c r="M814">
        <v>2.074233698681033E-4</v>
      </c>
      <c r="N814">
        <v>-1.5449377670443993E-4</v>
      </c>
      <c r="O814">
        <v>3.5673787850640904E-4</v>
      </c>
      <c r="P814">
        <v>1.7488637067310669E-3</v>
      </c>
      <c r="Q814">
        <v>-1.3025945879001795E-3</v>
      </c>
      <c r="R814">
        <v>3.007789956034429E-3</v>
      </c>
    </row>
    <row r="815" spans="1:18">
      <c r="A815" t="s">
        <v>179</v>
      </c>
      <c r="B815">
        <v>2020</v>
      </c>
      <c r="C815">
        <v>-1.1816699561808721</v>
      </c>
      <c r="D815">
        <v>0.56990599836030598</v>
      </c>
      <c r="E815">
        <v>69.69</v>
      </c>
      <c r="F815">
        <v>-26.8</v>
      </c>
      <c r="G815">
        <v>17.29</v>
      </c>
      <c r="H815">
        <v>7.6E-3</v>
      </c>
      <c r="I815">
        <v>0</v>
      </c>
      <c r="J815">
        <v>7.826731505710853E-2</v>
      </c>
      <c r="K815">
        <v>-3.0098493952224258E-2</v>
      </c>
      <c r="L815">
        <v>1.9418020911714826E-2</v>
      </c>
      <c r="M815">
        <v>5.9483159443402488E-4</v>
      </c>
      <c r="N815">
        <v>-2.2874855403690435E-4</v>
      </c>
      <c r="O815">
        <v>1.4757695892903268E-4</v>
      </c>
      <c r="P815">
        <v>0</v>
      </c>
      <c r="Q815">
        <v>0</v>
      </c>
      <c r="R815">
        <v>0</v>
      </c>
    </row>
    <row r="816" spans="1:18">
      <c r="A816" t="s">
        <v>179</v>
      </c>
      <c r="B816">
        <v>2021</v>
      </c>
      <c r="C816">
        <v>-1.1098237654328553</v>
      </c>
      <c r="D816">
        <v>0.57516742196703574</v>
      </c>
      <c r="E816">
        <v>-58.14</v>
      </c>
      <c r="F816">
        <v>-64.569999999999993</v>
      </c>
      <c r="G816">
        <v>45.47</v>
      </c>
      <c r="H816">
        <v>8.9999999999999993E-3</v>
      </c>
      <c r="I816">
        <v>0</v>
      </c>
      <c r="J816">
        <v>-6.1704679324581048E-2</v>
      </c>
      <c r="K816">
        <v>-6.8528915445273439E-2</v>
      </c>
      <c r="L816">
        <v>4.8257856362034744E-2</v>
      </c>
      <c r="M816">
        <v>-5.5534211392122934E-4</v>
      </c>
      <c r="N816">
        <v>-6.167602390074609E-4</v>
      </c>
      <c r="O816">
        <v>4.3432070725831265E-4</v>
      </c>
      <c r="P816">
        <v>0</v>
      </c>
      <c r="Q816">
        <v>0</v>
      </c>
      <c r="R816">
        <v>0</v>
      </c>
    </row>
    <row r="817" spans="1:18">
      <c r="A817" t="s">
        <v>180</v>
      </c>
      <c r="B817">
        <v>2017</v>
      </c>
      <c r="C817">
        <v>-0.51797148491895162</v>
      </c>
      <c r="D817">
        <v>0.69204649647514804</v>
      </c>
      <c r="E817">
        <v>-298.27</v>
      </c>
      <c r="F817">
        <v>-177.39</v>
      </c>
      <c r="G817">
        <v>524.91</v>
      </c>
      <c r="H817">
        <v>1.7999999999999999E-2</v>
      </c>
      <c r="I817">
        <v>4.0000000000000002E-4</v>
      </c>
      <c r="J817">
        <v>-0.10017699828375479</v>
      </c>
      <c r="K817">
        <v>-5.9578226860077313E-2</v>
      </c>
      <c r="L817">
        <v>0.17629633610194026</v>
      </c>
      <c r="M817">
        <v>-1.803185969107586E-3</v>
      </c>
      <c r="N817">
        <v>-1.0724080834813915E-3</v>
      </c>
      <c r="O817">
        <v>3.1733340498349243E-3</v>
      </c>
      <c r="P817">
        <v>-4.0070799313501917E-5</v>
      </c>
      <c r="Q817">
        <v>-2.3831290744030925E-5</v>
      </c>
      <c r="R817">
        <v>7.0518534440776104E-5</v>
      </c>
    </row>
    <row r="818" spans="1:18">
      <c r="A818" t="s">
        <v>180</v>
      </c>
      <c r="B818">
        <v>2018</v>
      </c>
      <c r="C818">
        <v>-0.54387213297122627</v>
      </c>
      <c r="D818">
        <v>0.68373319884856865</v>
      </c>
      <c r="E818">
        <v>99.32</v>
      </c>
      <c r="F818">
        <v>-233.1</v>
      </c>
      <c r="G818">
        <v>197.79</v>
      </c>
      <c r="H818">
        <v>7.0000000000000001E-3</v>
      </c>
      <c r="I818">
        <v>0</v>
      </c>
      <c r="J818">
        <v>2.8139803712686144E-2</v>
      </c>
      <c r="K818">
        <v>-6.6042974682109748E-2</v>
      </c>
      <c r="L818">
        <v>5.6038781477368023E-2</v>
      </c>
      <c r="M818">
        <v>1.9697862598880303E-4</v>
      </c>
      <c r="N818">
        <v>-4.6230082277476825E-4</v>
      </c>
      <c r="O818">
        <v>3.9227147034157615E-4</v>
      </c>
      <c r="P818">
        <v>0</v>
      </c>
      <c r="Q818">
        <v>0</v>
      </c>
      <c r="R818">
        <v>0</v>
      </c>
    </row>
    <row r="819" spans="1:18">
      <c r="A819" t="s">
        <v>180</v>
      </c>
      <c r="B819">
        <v>2019</v>
      </c>
      <c r="C819">
        <v>-0.50970790415191136</v>
      </c>
      <c r="D819">
        <v>0.68612049521820928</v>
      </c>
      <c r="E819">
        <v>-209.83</v>
      </c>
      <c r="F819">
        <v>-91.97</v>
      </c>
      <c r="G819">
        <v>263.61</v>
      </c>
      <c r="H819">
        <v>7.0000000000000001E-3</v>
      </c>
      <c r="I819">
        <v>2.9999999999999997E-4</v>
      </c>
      <c r="J819">
        <v>-5.1666486097842045E-2</v>
      </c>
      <c r="K819">
        <v>-2.2645792910539638E-2</v>
      </c>
      <c r="L819">
        <v>6.4908747082171953E-2</v>
      </c>
      <c r="M819">
        <v>-3.6166540268489433E-4</v>
      </c>
      <c r="N819">
        <v>-1.5852055037377747E-4</v>
      </c>
      <c r="O819">
        <v>4.5436122957520365E-4</v>
      </c>
      <c r="P819">
        <v>-1.5499945829352612E-5</v>
      </c>
      <c r="Q819">
        <v>-6.7937378731618912E-6</v>
      </c>
      <c r="R819">
        <v>1.9472624124651584E-5</v>
      </c>
    </row>
    <row r="820" spans="1:18">
      <c r="A820" t="s">
        <v>180</v>
      </c>
      <c r="B820">
        <v>2020</v>
      </c>
      <c r="C820">
        <v>-0.36656285976740577</v>
      </c>
      <c r="D820">
        <v>0.70637189829470037</v>
      </c>
      <c r="E820">
        <v>252.81</v>
      </c>
      <c r="F820">
        <v>-138.91999999999999</v>
      </c>
      <c r="G820">
        <v>-29.24</v>
      </c>
      <c r="H820">
        <v>2.0999999999999999E-3</v>
      </c>
      <c r="I820">
        <v>0</v>
      </c>
      <c r="J820">
        <v>5.612038767708967E-2</v>
      </c>
      <c r="K820">
        <v>-3.0838353926273869E-2</v>
      </c>
      <c r="L820">
        <v>-6.4908830175946439E-3</v>
      </c>
      <c r="M820">
        <v>1.1785281412188829E-4</v>
      </c>
      <c r="N820">
        <v>-6.4760543245175118E-5</v>
      </c>
      <c r="O820">
        <v>-1.3630854336948752E-5</v>
      </c>
      <c r="P820">
        <v>0</v>
      </c>
      <c r="Q820">
        <v>0</v>
      </c>
      <c r="R820">
        <v>0</v>
      </c>
    </row>
    <row r="821" spans="1:18">
      <c r="A821" t="s">
        <v>180</v>
      </c>
      <c r="B821">
        <v>2021</v>
      </c>
      <c r="C821">
        <v>-2.4101924997751944E-2</v>
      </c>
      <c r="D821">
        <v>0.76903583804069808</v>
      </c>
      <c r="E821">
        <v>-230.06</v>
      </c>
      <c r="F821">
        <v>-211.63</v>
      </c>
      <c r="G821">
        <v>388.93</v>
      </c>
      <c r="H821">
        <v>1.8E-3</v>
      </c>
      <c r="I821">
        <v>0</v>
      </c>
      <c r="J821">
        <v>-3.8944308927262541E-2</v>
      </c>
      <c r="K821">
        <v>-3.5824498384232684E-2</v>
      </c>
      <c r="L821">
        <v>6.5837651356516647E-2</v>
      </c>
      <c r="M821">
        <v>-7.0099756069072578E-5</v>
      </c>
      <c r="N821">
        <v>-6.4484097091618831E-5</v>
      </c>
      <c r="O821">
        <v>1.1850777244172996E-4</v>
      </c>
      <c r="P821">
        <v>0</v>
      </c>
      <c r="Q821">
        <v>0</v>
      </c>
      <c r="R821">
        <v>0</v>
      </c>
    </row>
    <row r="822" spans="1:18">
      <c r="A822" t="s">
        <v>181</v>
      </c>
      <c r="B822">
        <v>2017</v>
      </c>
      <c r="C822">
        <v>-1.7461591123060967</v>
      </c>
      <c r="D822">
        <v>0.50787482764337444</v>
      </c>
      <c r="E822">
        <v>376.4</v>
      </c>
      <c r="F822">
        <v>-4.43</v>
      </c>
      <c r="G822">
        <v>-289.58</v>
      </c>
      <c r="H822">
        <v>4.0399999999999998E-2</v>
      </c>
      <c r="I822">
        <v>3.8999999999999998E-3</v>
      </c>
      <c r="J822">
        <v>0.15219949293792734</v>
      </c>
      <c r="K822">
        <v>-1.7912958387752871E-3</v>
      </c>
      <c r="L822">
        <v>-0.11709332934369021</v>
      </c>
      <c r="M822">
        <v>6.1488595146922641E-3</v>
      </c>
      <c r="N822">
        <v>-7.2368351886521599E-5</v>
      </c>
      <c r="O822">
        <v>-4.7305705054850843E-3</v>
      </c>
      <c r="P822">
        <v>5.9357802245791659E-4</v>
      </c>
      <c r="Q822">
        <v>-6.9860537712236193E-6</v>
      </c>
      <c r="R822">
        <v>-4.5666398444039178E-4</v>
      </c>
    </row>
    <row r="823" spans="1:18">
      <c r="A823" t="s">
        <v>181</v>
      </c>
      <c r="B823">
        <v>2018</v>
      </c>
      <c r="C823">
        <v>-2.0121649139422422</v>
      </c>
      <c r="D823">
        <v>0.46621948898922272</v>
      </c>
      <c r="E823">
        <v>360.09</v>
      </c>
      <c r="F823">
        <v>-12.8</v>
      </c>
      <c r="G823">
        <v>-338.25</v>
      </c>
      <c r="H823">
        <v>4.9399999999999999E-2</v>
      </c>
      <c r="I823">
        <v>1.0809999999999999E-3</v>
      </c>
      <c r="J823">
        <v>0.15572940993305306</v>
      </c>
      <c r="K823">
        <v>-5.5356617710657875E-3</v>
      </c>
      <c r="L823">
        <v>-0.14628418703617208</v>
      </c>
      <c r="M823">
        <v>7.6930328506928216E-3</v>
      </c>
      <c r="N823">
        <v>-2.7346169149064991E-4</v>
      </c>
      <c r="O823">
        <v>-7.2264388395869008E-3</v>
      </c>
      <c r="P823">
        <v>1.6834349213763034E-4</v>
      </c>
      <c r="Q823">
        <v>-5.984050374522116E-6</v>
      </c>
      <c r="R823">
        <v>-1.5813320618610199E-4</v>
      </c>
    </row>
    <row r="824" spans="1:18">
      <c r="A824" t="s">
        <v>181</v>
      </c>
      <c r="B824">
        <v>2019</v>
      </c>
      <c r="C824">
        <v>-2.4981272746212198</v>
      </c>
      <c r="D824">
        <v>0.3989219104437528</v>
      </c>
      <c r="E824">
        <v>387.45</v>
      </c>
      <c r="F824">
        <v>1.21</v>
      </c>
      <c r="G824">
        <v>-435.7</v>
      </c>
      <c r="H824">
        <v>0.05</v>
      </c>
      <c r="I824">
        <v>8.0000000000000007E-5</v>
      </c>
      <c r="J824">
        <v>0.18581218797508114</v>
      </c>
      <c r="K824">
        <v>5.8028841773092839E-4</v>
      </c>
      <c r="L824">
        <v>-0.20895178810360784</v>
      </c>
      <c r="M824">
        <v>9.2906093987540576E-3</v>
      </c>
      <c r="N824">
        <v>2.901442088654642E-5</v>
      </c>
      <c r="O824">
        <v>-1.0447589405180393E-2</v>
      </c>
      <c r="P824">
        <v>1.4864975038006493E-5</v>
      </c>
      <c r="Q824">
        <v>4.6423073418474277E-8</v>
      </c>
      <c r="R824">
        <v>-1.6716143048288628E-5</v>
      </c>
    </row>
    <row r="825" spans="1:18">
      <c r="A825" t="s">
        <v>181</v>
      </c>
      <c r="B825">
        <v>2020</v>
      </c>
      <c r="C825">
        <v>-2.2669738243710658</v>
      </c>
      <c r="D825">
        <v>0.38586926743740069</v>
      </c>
      <c r="E825">
        <v>234.44</v>
      </c>
      <c r="F825">
        <v>1.78</v>
      </c>
      <c r="G825">
        <v>-314.70999999999998</v>
      </c>
      <c r="H825">
        <v>4.99E-2</v>
      </c>
      <c r="I825">
        <v>5.8E-4</v>
      </c>
      <c r="J825">
        <v>0.12845323543915402</v>
      </c>
      <c r="K825">
        <v>9.7528902525888998E-4</v>
      </c>
      <c r="L825">
        <v>-0.17243438715686812</v>
      </c>
      <c r="M825">
        <v>6.4098164484137857E-3</v>
      </c>
      <c r="N825">
        <v>4.8666922360418611E-5</v>
      </c>
      <c r="O825">
        <v>-8.6044759191277187E-3</v>
      </c>
      <c r="P825">
        <v>7.4502876554709337E-5</v>
      </c>
      <c r="Q825">
        <v>5.6566763465015618E-7</v>
      </c>
      <c r="R825">
        <v>-1.0001194455098352E-4</v>
      </c>
    </row>
    <row r="826" spans="1:18">
      <c r="A826" t="s">
        <v>181</v>
      </c>
      <c r="B826">
        <v>2021</v>
      </c>
      <c r="C826">
        <v>-3.4122455300980095</v>
      </c>
      <c r="D826">
        <v>0.27058515369629638</v>
      </c>
      <c r="E826">
        <v>421.28</v>
      </c>
      <c r="F826">
        <v>-0.96</v>
      </c>
      <c r="G826">
        <v>-281.82</v>
      </c>
      <c r="H826">
        <v>5.1900000000000002E-2</v>
      </c>
      <c r="I826">
        <v>8.0000000000000007E-5</v>
      </c>
      <c r="J826">
        <v>0.22989233346612023</v>
      </c>
      <c r="K826">
        <v>-5.2387162962275787E-4</v>
      </c>
      <c r="L826">
        <v>-0.15378906527113084</v>
      </c>
      <c r="M826">
        <v>1.193141210689164E-2</v>
      </c>
      <c r="N826">
        <v>-2.7188937577421135E-5</v>
      </c>
      <c r="O826">
        <v>-7.9816524875716902E-3</v>
      </c>
      <c r="P826">
        <v>1.8391386677289621E-5</v>
      </c>
      <c r="Q826">
        <v>-4.1909730369820636E-8</v>
      </c>
      <c r="R826">
        <v>-1.2303125221690468E-5</v>
      </c>
    </row>
    <row r="827" spans="1:18">
      <c r="A827" t="s">
        <v>182</v>
      </c>
      <c r="B827">
        <v>2017</v>
      </c>
      <c r="C827">
        <v>-1.3070868728171294</v>
      </c>
      <c r="D827">
        <v>0.53345591519060243</v>
      </c>
      <c r="E827">
        <v>76.989999999999995</v>
      </c>
      <c r="F827">
        <v>-410.16</v>
      </c>
      <c r="G827">
        <v>10.96</v>
      </c>
      <c r="H827">
        <v>0.4894</v>
      </c>
      <c r="I827">
        <v>6.9999999999999999E-4</v>
      </c>
      <c r="J827">
        <v>2.3712505505403766E-2</v>
      </c>
      <c r="K827">
        <v>-0.12632707180278491</v>
      </c>
      <c r="L827">
        <v>3.3756209941450226E-3</v>
      </c>
      <c r="M827">
        <v>1.1604900194344603E-2</v>
      </c>
      <c r="N827">
        <v>-6.1824468940282935E-2</v>
      </c>
      <c r="O827">
        <v>1.652028914534574E-3</v>
      </c>
      <c r="P827">
        <v>1.6598753853782637E-5</v>
      </c>
      <c r="Q827">
        <v>-8.8428950261949438E-5</v>
      </c>
      <c r="R827">
        <v>2.3629346959015158E-6</v>
      </c>
    </row>
    <row r="828" spans="1:18">
      <c r="A828" t="s">
        <v>182</v>
      </c>
      <c r="B828">
        <v>2018</v>
      </c>
      <c r="C828">
        <v>-1.5096274471795947</v>
      </c>
      <c r="D828">
        <v>0.49712366142129172</v>
      </c>
      <c r="E828">
        <v>-115.89</v>
      </c>
      <c r="F828">
        <v>196.77</v>
      </c>
      <c r="G828">
        <v>-10.63</v>
      </c>
      <c r="H828">
        <v>0.48959999999999998</v>
      </c>
      <c r="I828">
        <v>0</v>
      </c>
      <c r="J828">
        <v>-3.76867018526287E-2</v>
      </c>
      <c r="K828">
        <v>6.3988371072066189E-2</v>
      </c>
      <c r="L828">
        <v>-3.4568093941965928E-3</v>
      </c>
      <c r="M828">
        <v>-1.8451409227047012E-2</v>
      </c>
      <c r="N828">
        <v>3.1328706476883607E-2</v>
      </c>
      <c r="O828">
        <v>-1.6924538793986518E-3</v>
      </c>
      <c r="P828">
        <v>0</v>
      </c>
      <c r="Q828">
        <v>0</v>
      </c>
      <c r="R828">
        <v>0</v>
      </c>
    </row>
    <row r="829" spans="1:18">
      <c r="A829" t="s">
        <v>182</v>
      </c>
      <c r="B829">
        <v>2019</v>
      </c>
      <c r="C829">
        <v>-1.8092562872273186</v>
      </c>
      <c r="D829">
        <v>0.44682553609658515</v>
      </c>
      <c r="E829">
        <v>-63.82</v>
      </c>
      <c r="F829">
        <v>-19.11</v>
      </c>
      <c r="G829">
        <v>-55.1</v>
      </c>
      <c r="H829">
        <v>0.48959999999999998</v>
      </c>
      <c r="I829">
        <v>0</v>
      </c>
      <c r="J829">
        <v>-2.2398483838135683E-2</v>
      </c>
      <c r="K829">
        <v>-6.7069104692380581E-3</v>
      </c>
      <c r="L829">
        <v>-1.9338083037939144E-2</v>
      </c>
      <c r="M829">
        <v>-1.096629768715123E-2</v>
      </c>
      <c r="N829">
        <v>-3.2837033657389532E-3</v>
      </c>
      <c r="O829">
        <v>-9.4679254553750036E-3</v>
      </c>
      <c r="P829">
        <v>0</v>
      </c>
      <c r="Q829">
        <v>0</v>
      </c>
      <c r="R829">
        <v>0</v>
      </c>
    </row>
    <row r="830" spans="1:18">
      <c r="A830" t="s">
        <v>182</v>
      </c>
      <c r="B830">
        <v>2020</v>
      </c>
      <c r="C830">
        <v>-1.7905423035988195</v>
      </c>
      <c r="D830">
        <v>0.40673364215873847</v>
      </c>
      <c r="E830">
        <v>-52.3</v>
      </c>
      <c r="F830">
        <v>128.63999999999999</v>
      </c>
      <c r="G830">
        <v>-71.62</v>
      </c>
      <c r="H830">
        <v>0.48959999999999998</v>
      </c>
      <c r="I830">
        <v>0</v>
      </c>
      <c r="J830">
        <v>-2.1289413910169256E-2</v>
      </c>
      <c r="K830">
        <v>5.2364631078473674E-2</v>
      </c>
      <c r="L830">
        <v>-2.9153878092663909E-2</v>
      </c>
      <c r="M830">
        <v>-1.0423297050418867E-2</v>
      </c>
      <c r="N830">
        <v>2.5637723376020709E-2</v>
      </c>
      <c r="O830">
        <v>-1.427373871416825E-2</v>
      </c>
      <c r="P830">
        <v>0</v>
      </c>
      <c r="Q830">
        <v>0</v>
      </c>
      <c r="R830">
        <v>0</v>
      </c>
    </row>
    <row r="831" spans="1:18">
      <c r="A831" t="s">
        <v>182</v>
      </c>
      <c r="B831">
        <v>2021</v>
      </c>
      <c r="C831">
        <v>-1.790267111197861</v>
      </c>
      <c r="D831">
        <v>0.41698192339790974</v>
      </c>
      <c r="E831">
        <v>-36.35</v>
      </c>
      <c r="F831">
        <v>101.37</v>
      </c>
      <c r="G831">
        <v>-37.22</v>
      </c>
      <c r="H831">
        <v>0.48949999999999999</v>
      </c>
      <c r="I831">
        <v>0</v>
      </c>
      <c r="J831">
        <v>-1.5399214576511007E-2</v>
      </c>
      <c r="K831">
        <v>4.2944109535651191E-2</v>
      </c>
      <c r="L831">
        <v>-1.5767778996911681E-2</v>
      </c>
      <c r="M831">
        <v>-7.5379155352021379E-3</v>
      </c>
      <c r="N831">
        <v>2.1021141617701258E-2</v>
      </c>
      <c r="O831">
        <v>-7.7183278189882675E-3</v>
      </c>
      <c r="P831">
        <v>0</v>
      </c>
      <c r="Q831">
        <v>0</v>
      </c>
      <c r="R831">
        <v>0</v>
      </c>
    </row>
    <row r="832" spans="1:18">
      <c r="A832" t="s">
        <v>183</v>
      </c>
      <c r="B832">
        <v>2017</v>
      </c>
      <c r="C832">
        <v>-2.6804129843200828</v>
      </c>
      <c r="D832">
        <v>0.31378482306556554</v>
      </c>
      <c r="E832">
        <v>-103.36</v>
      </c>
      <c r="F832">
        <v>0.67</v>
      </c>
      <c r="G832">
        <v>85.7</v>
      </c>
      <c r="H832">
        <v>5.1999999999999995E-4</v>
      </c>
      <c r="I832">
        <v>0.1096</v>
      </c>
      <c r="J832">
        <v>-8.3851183619165048E-2</v>
      </c>
      <c r="K832">
        <v>5.4353998669543911E-4</v>
      </c>
      <c r="L832">
        <v>6.9524443074327064E-2</v>
      </c>
      <c r="M832">
        <v>-4.3602615481965822E-5</v>
      </c>
      <c r="N832">
        <v>2.8264079308162831E-7</v>
      </c>
      <c r="O832">
        <v>3.6152710398650071E-5</v>
      </c>
      <c r="P832">
        <v>-9.1900897246604898E-3</v>
      </c>
      <c r="Q832">
        <v>5.9571982541820131E-5</v>
      </c>
      <c r="R832">
        <v>7.6198789609462463E-3</v>
      </c>
    </row>
    <row r="833" spans="1:18">
      <c r="A833" t="s">
        <v>183</v>
      </c>
      <c r="B833">
        <v>2018</v>
      </c>
      <c r="C833">
        <v>-2.5877783293951726</v>
      </c>
      <c r="D833">
        <v>0.33039230040147027</v>
      </c>
      <c r="E833">
        <v>-45.5</v>
      </c>
      <c r="F833">
        <v>54.67</v>
      </c>
      <c r="G833">
        <v>-16.43</v>
      </c>
      <c r="H833">
        <v>2.9999999999999997E-4</v>
      </c>
      <c r="I833">
        <v>8.8800000000000004E-2</v>
      </c>
      <c r="J833">
        <v>-3.5061222288149306E-2</v>
      </c>
      <c r="K833">
        <v>4.2127407087760936E-2</v>
      </c>
      <c r="L833">
        <v>-1.2660568839435013E-2</v>
      </c>
      <c r="M833">
        <v>-1.051836668644479E-5</v>
      </c>
      <c r="N833">
        <v>1.263822212632828E-5</v>
      </c>
      <c r="O833">
        <v>-3.7981706518305038E-6</v>
      </c>
      <c r="P833">
        <v>-3.1134365391876583E-3</v>
      </c>
      <c r="Q833">
        <v>3.7409137493931714E-3</v>
      </c>
      <c r="R833">
        <v>-1.1242585129418291E-3</v>
      </c>
    </row>
    <row r="834" spans="1:18">
      <c r="A834" t="s">
        <v>183</v>
      </c>
      <c r="B834">
        <v>2019</v>
      </c>
      <c r="C834">
        <v>-2.6371375949616422</v>
      </c>
      <c r="D834">
        <v>0.29623733601103736</v>
      </c>
      <c r="E834">
        <v>37.28</v>
      </c>
      <c r="F834">
        <v>-23.1</v>
      </c>
      <c r="G834">
        <v>-11.69</v>
      </c>
      <c r="H834">
        <v>3.0999999999999999E-3</v>
      </c>
      <c r="I834">
        <v>0.1008</v>
      </c>
      <c r="J834">
        <v>3.0434392169348453E-2</v>
      </c>
      <c r="K834">
        <v>-1.885822046974113E-2</v>
      </c>
      <c r="L834">
        <v>-9.543402480141721E-3</v>
      </c>
      <c r="M834">
        <v>9.4346615724980206E-5</v>
      </c>
      <c r="N834">
        <v>-5.8460483456197499E-5</v>
      </c>
      <c r="O834">
        <v>-2.9584547688439333E-5</v>
      </c>
      <c r="P834">
        <v>3.067786730670324E-3</v>
      </c>
      <c r="Q834">
        <v>-1.900908623349906E-3</v>
      </c>
      <c r="R834">
        <v>-9.6197496999828546E-4</v>
      </c>
    </row>
    <row r="835" spans="1:18">
      <c r="A835" t="s">
        <v>183</v>
      </c>
      <c r="B835">
        <v>2020</v>
      </c>
      <c r="C835">
        <v>-2.5875484938386437</v>
      </c>
      <c r="D835">
        <v>0.281951454805423</v>
      </c>
      <c r="E835">
        <v>16.309999999999999</v>
      </c>
      <c r="F835">
        <v>-19.28</v>
      </c>
      <c r="G835">
        <v>-5.05</v>
      </c>
      <c r="H835">
        <v>2.8E-3</v>
      </c>
      <c r="I835">
        <v>5.1900000000000002E-2</v>
      </c>
      <c r="J835">
        <v>1.4048476287274543E-2</v>
      </c>
      <c r="K835">
        <v>-1.6606659890781927E-2</v>
      </c>
      <c r="L835">
        <v>-4.3497734672431907E-3</v>
      </c>
      <c r="M835">
        <v>3.9335733604368722E-5</v>
      </c>
      <c r="N835">
        <v>-4.6498647694189393E-5</v>
      </c>
      <c r="O835">
        <v>-1.2179365708280934E-5</v>
      </c>
      <c r="P835">
        <v>7.2911591930954886E-4</v>
      </c>
      <c r="Q835">
        <v>-8.6188564833158206E-4</v>
      </c>
      <c r="R835">
        <v>-2.2575324294992161E-4</v>
      </c>
    </row>
    <row r="836" spans="1:18">
      <c r="A836" t="s">
        <v>183</v>
      </c>
      <c r="B836">
        <v>2021</v>
      </c>
      <c r="C836">
        <v>-2.8292603554649083</v>
      </c>
      <c r="D836">
        <v>0.27170615584259333</v>
      </c>
      <c r="E836">
        <v>180.2</v>
      </c>
      <c r="F836">
        <v>-101.04</v>
      </c>
      <c r="G836">
        <v>-75.7</v>
      </c>
      <c r="H836">
        <v>2.07E-2</v>
      </c>
      <c r="I836">
        <v>4.4299999999999999E-2</v>
      </c>
      <c r="J836">
        <v>0.15486288361220685</v>
      </c>
      <c r="K836">
        <v>-8.6833217315079814E-2</v>
      </c>
      <c r="L836">
        <v>-6.5056161428657375E-2</v>
      </c>
      <c r="M836">
        <v>3.2056616907726815E-3</v>
      </c>
      <c r="N836">
        <v>-1.7974475984221521E-3</v>
      </c>
      <c r="O836">
        <v>-1.3466625415732077E-3</v>
      </c>
      <c r="P836">
        <v>6.8604257440207633E-3</v>
      </c>
      <c r="Q836">
        <v>-3.8467115270580357E-3</v>
      </c>
      <c r="R836">
        <v>-2.8819879512895215E-3</v>
      </c>
    </row>
    <row r="837" spans="1:18">
      <c r="A837" t="s">
        <v>184</v>
      </c>
      <c r="B837">
        <v>2017</v>
      </c>
      <c r="C837">
        <v>-0.77193413923899656</v>
      </c>
      <c r="D837">
        <v>0.63793789302171644</v>
      </c>
      <c r="E837">
        <v>24.44</v>
      </c>
      <c r="F837">
        <v>110.5</v>
      </c>
      <c r="G837">
        <v>-278.58</v>
      </c>
      <c r="H837">
        <v>0.1144</v>
      </c>
      <c r="I837">
        <v>0.15160399999999999</v>
      </c>
      <c r="J837">
        <v>3.8888464573945364E-3</v>
      </c>
      <c r="K837">
        <v>1.758255047226253E-2</v>
      </c>
      <c r="L837">
        <v>-4.4327121362560139E-2</v>
      </c>
      <c r="M837">
        <v>4.4488403472593496E-4</v>
      </c>
      <c r="N837">
        <v>2.0114437740268334E-3</v>
      </c>
      <c r="O837">
        <v>-5.0710226838768802E-3</v>
      </c>
      <c r="P837">
        <v>5.895646783268412E-4</v>
      </c>
      <c r="Q837">
        <v>2.6655849817968885E-3</v>
      </c>
      <c r="R837">
        <v>-6.7201689070495669E-3</v>
      </c>
    </row>
    <row r="838" spans="1:18">
      <c r="A838" t="s">
        <v>184</v>
      </c>
      <c r="B838">
        <v>2018</v>
      </c>
      <c r="C838">
        <v>-0.67382213341831798</v>
      </c>
      <c r="D838">
        <v>0.65096815091157922</v>
      </c>
      <c r="E838">
        <v>27.25</v>
      </c>
      <c r="F838">
        <v>14.58</v>
      </c>
      <c r="G838">
        <v>-79.89</v>
      </c>
      <c r="H838">
        <v>0.1021</v>
      </c>
      <c r="I838">
        <v>0.15659799999999999</v>
      </c>
      <c r="J838">
        <v>4.2235031362416872E-3</v>
      </c>
      <c r="K838">
        <v>2.259767916565277E-3</v>
      </c>
      <c r="L838">
        <v>-1.2382226258875169E-2</v>
      </c>
      <c r="M838">
        <v>4.3121967021027627E-4</v>
      </c>
      <c r="N838">
        <v>2.3072230428131476E-4</v>
      </c>
      <c r="O838">
        <v>-1.2642253010311548E-3</v>
      </c>
      <c r="P838">
        <v>6.6139214412917562E-4</v>
      </c>
      <c r="Q838">
        <v>3.5387513619828921E-4</v>
      </c>
      <c r="R838">
        <v>-1.9390318676873336E-3</v>
      </c>
    </row>
    <row r="839" spans="1:18">
      <c r="A839" t="s">
        <v>184</v>
      </c>
      <c r="B839">
        <v>2019</v>
      </c>
      <c r="C839">
        <v>-0.59203612027139108</v>
      </c>
      <c r="D839">
        <v>0.66401268619699683</v>
      </c>
      <c r="E839">
        <v>-3.89</v>
      </c>
      <c r="F839">
        <v>-0.22</v>
      </c>
      <c r="G839">
        <v>19.63</v>
      </c>
      <c r="H839">
        <v>0.10210000000000001</v>
      </c>
      <c r="I839">
        <v>0.15659799999999999</v>
      </c>
      <c r="J839">
        <v>-5.8470742082400158E-4</v>
      </c>
      <c r="K839">
        <v>-3.3068286010611918E-5</v>
      </c>
      <c r="L839">
        <v>2.9505929744923268E-3</v>
      </c>
      <c r="M839">
        <v>-5.9698627666130567E-5</v>
      </c>
      <c r="N839">
        <v>-3.3762720016834774E-6</v>
      </c>
      <c r="O839">
        <v>3.0125554269566662E-4</v>
      </c>
      <c r="P839">
        <v>-9.1564012686196989E-5</v>
      </c>
      <c r="Q839">
        <v>-5.1784274526898045E-6</v>
      </c>
      <c r="R839">
        <v>4.6205695861954938E-4</v>
      </c>
    </row>
    <row r="840" spans="1:18">
      <c r="A840" t="s">
        <v>184</v>
      </c>
      <c r="B840">
        <v>2020</v>
      </c>
      <c r="C840">
        <v>-0.3724850350369342</v>
      </c>
      <c r="D840">
        <v>0.69444941071636346</v>
      </c>
      <c r="E840">
        <v>61.58</v>
      </c>
      <c r="F840">
        <v>-0.32</v>
      </c>
      <c r="G840">
        <v>104.92</v>
      </c>
      <c r="H840">
        <v>1.34E-2</v>
      </c>
      <c r="I840">
        <v>0.15528900000000001</v>
      </c>
      <c r="J840">
        <v>8.7378007077646945E-3</v>
      </c>
      <c r="K840">
        <v>-4.540591468796204E-5</v>
      </c>
      <c r="L840">
        <v>1.4887464278315554E-2</v>
      </c>
      <c r="M840">
        <v>1.1708652948404691E-4</v>
      </c>
      <c r="N840">
        <v>-6.084392568186914E-7</v>
      </c>
      <c r="O840">
        <v>1.9949202132942844E-4</v>
      </c>
      <c r="P840">
        <v>1.3568843341080718E-3</v>
      </c>
      <c r="Q840">
        <v>-7.0510390859789381E-6</v>
      </c>
      <c r="R840">
        <v>2.3118594403153444E-3</v>
      </c>
    </row>
    <row r="841" spans="1:18">
      <c r="A841" t="s">
        <v>184</v>
      </c>
      <c r="B841">
        <v>2021</v>
      </c>
      <c r="C841">
        <v>-0.46377856823190167</v>
      </c>
      <c r="D841">
        <v>0.68344742695488803</v>
      </c>
      <c r="E841">
        <v>-398.07</v>
      </c>
      <c r="F841">
        <v>-5.68</v>
      </c>
      <c r="G841">
        <v>521.13</v>
      </c>
      <c r="H841">
        <v>1.34E-2</v>
      </c>
      <c r="I841">
        <v>0.15452370000000001</v>
      </c>
      <c r="J841">
        <v>-5.7308830198458116E-2</v>
      </c>
      <c r="K841">
        <v>-8.177309406065317E-4</v>
      </c>
      <c r="L841">
        <v>7.5025374133500328E-2</v>
      </c>
      <c r="M841">
        <v>-7.6793832465933882E-4</v>
      </c>
      <c r="N841">
        <v>-1.0957594604127525E-5</v>
      </c>
      <c r="O841">
        <v>1.0053400133889043E-3</v>
      </c>
      <c r="P841">
        <v>-8.8555724849374833E-3</v>
      </c>
      <c r="Q841">
        <v>-1.2635881054700153E-4</v>
      </c>
      <c r="R841">
        <v>1.1593198404992766E-2</v>
      </c>
    </row>
    <row r="842" spans="1:18">
      <c r="A842" t="s">
        <v>185</v>
      </c>
      <c r="B842">
        <v>2017</v>
      </c>
      <c r="C842">
        <v>-5.1624562574873973</v>
      </c>
      <c r="D842">
        <v>2.5396633159743245E-2</v>
      </c>
      <c r="E842">
        <v>135.37</v>
      </c>
      <c r="F842">
        <v>-96.88</v>
      </c>
      <c r="G842">
        <v>-34.270000000000003</v>
      </c>
      <c r="H842">
        <v>0.45669999999999999</v>
      </c>
      <c r="I842">
        <v>0.18260000000000001</v>
      </c>
      <c r="J842">
        <v>0.16394574300593437</v>
      </c>
      <c r="K842">
        <v>-0.11733074966694924</v>
      </c>
      <c r="L842">
        <v>-4.1504178272980502E-2</v>
      </c>
      <c r="M842">
        <v>7.4874020830810226E-2</v>
      </c>
      <c r="N842">
        <v>-5.3584953372895719E-2</v>
      </c>
      <c r="O842">
        <v>-1.8954958217270196E-2</v>
      </c>
      <c r="P842">
        <v>2.9936492672883619E-2</v>
      </c>
      <c r="Q842">
        <v>-2.1424594889184932E-2</v>
      </c>
      <c r="R842">
        <v>-7.5786629526462404E-3</v>
      </c>
    </row>
    <row r="843" spans="1:18">
      <c r="A843" t="s">
        <v>185</v>
      </c>
      <c r="B843">
        <v>2018</v>
      </c>
      <c r="C843">
        <v>-4.91442951923535</v>
      </c>
      <c r="D843">
        <v>2.1897400805447428E-2</v>
      </c>
      <c r="E843">
        <v>154.30000000000001</v>
      </c>
      <c r="F843">
        <v>-84.13</v>
      </c>
      <c r="G843">
        <v>-71.97</v>
      </c>
      <c r="H843">
        <v>0.43280000000000002</v>
      </c>
      <c r="I843">
        <v>0.16585</v>
      </c>
      <c r="J843">
        <v>0.17309267132584727</v>
      </c>
      <c r="K843">
        <v>-9.4376451319789556E-2</v>
      </c>
      <c r="L843">
        <v>-8.0735447539346888E-2</v>
      </c>
      <c r="M843">
        <v>7.4914508149826697E-2</v>
      </c>
      <c r="N843">
        <v>-4.0846128131204924E-2</v>
      </c>
      <c r="O843">
        <v>-3.4942301695029335E-2</v>
      </c>
      <c r="P843">
        <v>2.8707419539391769E-2</v>
      </c>
      <c r="Q843">
        <v>-1.5652334451387098E-2</v>
      </c>
      <c r="R843">
        <v>-1.3389973974400681E-2</v>
      </c>
    </row>
    <row r="844" spans="1:18">
      <c r="A844" t="s">
        <v>185</v>
      </c>
      <c r="B844">
        <v>2019</v>
      </c>
      <c r="C844">
        <v>-4.7448202804113837</v>
      </c>
      <c r="D844">
        <v>1.9242145569143731E-2</v>
      </c>
      <c r="E844">
        <v>132.66999999999999</v>
      </c>
      <c r="F844">
        <v>-79.260000000000005</v>
      </c>
      <c r="G844">
        <v>-57.57</v>
      </c>
      <c r="H844">
        <v>0.44159999999999999</v>
      </c>
      <c r="I844">
        <v>0.16582</v>
      </c>
      <c r="J844">
        <v>0.14269734223914468</v>
      </c>
      <c r="K844">
        <v>-8.5250556613210293E-2</v>
      </c>
      <c r="L844">
        <v>-6.1921202929882867E-2</v>
      </c>
      <c r="M844">
        <v>6.3015146332806291E-2</v>
      </c>
      <c r="N844">
        <v>-3.7646645800393667E-2</v>
      </c>
      <c r="O844">
        <v>-2.7344403213836275E-2</v>
      </c>
      <c r="P844">
        <v>2.3662073290094971E-2</v>
      </c>
      <c r="Q844">
        <v>-1.4136247297602531E-2</v>
      </c>
      <c r="R844">
        <v>-1.0267773869833177E-2</v>
      </c>
    </row>
    <row r="845" spans="1:18">
      <c r="A845" t="s">
        <v>185</v>
      </c>
      <c r="B845">
        <v>2020</v>
      </c>
      <c r="C845">
        <v>-4.4174299253463944</v>
      </c>
      <c r="D845">
        <v>1.5537425420357982E-2</v>
      </c>
      <c r="E845">
        <v>69.53</v>
      </c>
      <c r="F845">
        <v>1.48</v>
      </c>
      <c r="G845">
        <v>-63.33</v>
      </c>
      <c r="H845">
        <v>0.44159999999999999</v>
      </c>
      <c r="I845">
        <v>0.16585</v>
      </c>
      <c r="J845">
        <v>7.8568522871090216E-2</v>
      </c>
      <c r="K845">
        <v>1.6723919725185319E-3</v>
      </c>
      <c r="L845">
        <v>-7.1562556499728799E-2</v>
      </c>
      <c r="M845">
        <v>3.4695859699873439E-2</v>
      </c>
      <c r="N845">
        <v>7.3852829506418371E-4</v>
      </c>
      <c r="O845">
        <v>-3.1602024950280236E-2</v>
      </c>
      <c r="P845">
        <v>1.3030589518170313E-2</v>
      </c>
      <c r="Q845">
        <v>2.7736620864219849E-4</v>
      </c>
      <c r="R845">
        <v>-1.1868649995480022E-2</v>
      </c>
    </row>
    <row r="846" spans="1:18">
      <c r="A846" t="s">
        <v>185</v>
      </c>
      <c r="B846">
        <v>2021</v>
      </c>
      <c r="C846">
        <v>-4.1213161169347625</v>
      </c>
      <c r="D846">
        <v>1.2975490739713873E-2</v>
      </c>
      <c r="E846">
        <v>8.52</v>
      </c>
      <c r="F846">
        <v>16.75</v>
      </c>
      <c r="G846">
        <v>-31.66</v>
      </c>
      <c r="H846">
        <v>0.43980000000000002</v>
      </c>
      <c r="I846">
        <v>0.16585</v>
      </c>
      <c r="J846">
        <v>1.0498687664041995E-2</v>
      </c>
      <c r="K846">
        <v>2.0640025630598993E-2</v>
      </c>
      <c r="L846">
        <v>-3.9012729042672487E-2</v>
      </c>
      <c r="M846">
        <v>4.6173228346456695E-3</v>
      </c>
      <c r="N846">
        <v>9.0774832723374381E-3</v>
      </c>
      <c r="O846">
        <v>-1.7157798232967359E-2</v>
      </c>
      <c r="P846">
        <v>1.7412073490813648E-3</v>
      </c>
      <c r="Q846">
        <v>3.4231482508348429E-3</v>
      </c>
      <c r="R846">
        <v>-6.4702611117272322E-3</v>
      </c>
    </row>
    <row r="847" spans="1:18">
      <c r="A847" t="s">
        <v>186</v>
      </c>
      <c r="B847">
        <v>2017</v>
      </c>
      <c r="C847">
        <v>-0.21462792393853491</v>
      </c>
      <c r="D847">
        <v>0.76064549569511264</v>
      </c>
      <c r="E847">
        <v>628.51</v>
      </c>
      <c r="F847">
        <v>124.69</v>
      </c>
      <c r="G847">
        <v>-621.30999999999995</v>
      </c>
      <c r="H847">
        <v>0.33510000000000001</v>
      </c>
      <c r="I847">
        <v>1.6299999999999999E-2</v>
      </c>
      <c r="J847">
        <v>0.12434120979994935</v>
      </c>
      <c r="K847">
        <v>2.4668033046340843E-2</v>
      </c>
      <c r="L847">
        <v>-0.1229167985565966</v>
      </c>
      <c r="M847">
        <v>4.1666739403963031E-2</v>
      </c>
      <c r="N847">
        <v>8.2662578738288174E-3</v>
      </c>
      <c r="O847">
        <v>-4.1189419196315517E-2</v>
      </c>
      <c r="P847">
        <v>2.0267617197391743E-3</v>
      </c>
      <c r="Q847">
        <v>4.0208893865535569E-4</v>
      </c>
      <c r="R847">
        <v>-2.0035438164725241E-3</v>
      </c>
    </row>
    <row r="848" spans="1:18">
      <c r="A848" t="s">
        <v>186</v>
      </c>
      <c r="B848">
        <v>2018</v>
      </c>
      <c r="C848">
        <v>-0.20469462128509061</v>
      </c>
      <c r="D848">
        <v>0.74531740894989174</v>
      </c>
      <c r="E848">
        <v>-43</v>
      </c>
      <c r="F848">
        <v>-410.04</v>
      </c>
      <c r="G848">
        <v>243.73</v>
      </c>
      <c r="H848">
        <v>0.33779999999999999</v>
      </c>
      <c r="I848">
        <v>2.249E-2</v>
      </c>
      <c r="J848">
        <v>-8.4592549166960119E-3</v>
      </c>
      <c r="K848">
        <v>-8.066588107074496E-2</v>
      </c>
      <c r="L848">
        <v>4.7948237228984163E-2</v>
      </c>
      <c r="M848">
        <v>-2.8575363108599128E-3</v>
      </c>
      <c r="N848">
        <v>-2.7248934625697645E-2</v>
      </c>
      <c r="O848">
        <v>1.6196914535950849E-2</v>
      </c>
      <c r="P848">
        <v>-1.902486430764933E-4</v>
      </c>
      <c r="Q848">
        <v>-1.8141756652810541E-3</v>
      </c>
      <c r="R848">
        <v>1.0783558552798537E-3</v>
      </c>
    </row>
    <row r="849" spans="1:18">
      <c r="A849" t="s">
        <v>186</v>
      </c>
      <c r="B849">
        <v>2019</v>
      </c>
      <c r="C849">
        <v>-0.18931446661335699</v>
      </c>
      <c r="D849">
        <v>0.73742541334158074</v>
      </c>
      <c r="E849">
        <v>463.08</v>
      </c>
      <c r="F849">
        <v>-46.75</v>
      </c>
      <c r="G849">
        <v>-10.210000000000001</v>
      </c>
      <c r="H849">
        <v>0.33100000000000002</v>
      </c>
      <c r="I849">
        <v>0.02</v>
      </c>
      <c r="J849">
        <v>9.1223743230811352E-2</v>
      </c>
      <c r="K849">
        <v>-9.2094454436391776E-3</v>
      </c>
      <c r="L849">
        <v>-2.0113034861937115E-3</v>
      </c>
      <c r="M849">
        <v>3.0195059009398558E-2</v>
      </c>
      <c r="N849">
        <v>-3.048326441844568E-3</v>
      </c>
      <c r="O849">
        <v>-6.657414539301185E-4</v>
      </c>
      <c r="P849">
        <v>1.8244748646162271E-3</v>
      </c>
      <c r="Q849">
        <v>-1.8418890887278354E-4</v>
      </c>
      <c r="R849">
        <v>-4.0226069723874227E-5</v>
      </c>
    </row>
    <row r="850" spans="1:18">
      <c r="A850" t="s">
        <v>186</v>
      </c>
      <c r="B850">
        <v>2020</v>
      </c>
      <c r="C850">
        <v>-0.15954310545320957</v>
      </c>
      <c r="D850">
        <v>0.76428640505858281</v>
      </c>
      <c r="E850">
        <v>444.69</v>
      </c>
      <c r="F850">
        <v>-291.10000000000002</v>
      </c>
      <c r="G850">
        <v>432.91</v>
      </c>
      <c r="H850">
        <v>0.33700000000000002</v>
      </c>
      <c r="I850">
        <v>6.8900000000000003E-2</v>
      </c>
      <c r="J850">
        <v>6.6161800260368234E-2</v>
      </c>
      <c r="K850">
        <v>-4.3310396131671938E-2</v>
      </c>
      <c r="L850">
        <v>6.440915008368979E-2</v>
      </c>
      <c r="M850">
        <v>2.2296526687744095E-2</v>
      </c>
      <c r="N850">
        <v>-1.4595603496373444E-2</v>
      </c>
      <c r="O850">
        <v>2.170588357820346E-2</v>
      </c>
      <c r="P850">
        <v>4.5585480379393712E-3</v>
      </c>
      <c r="Q850">
        <v>-2.9840862934721966E-3</v>
      </c>
      <c r="R850">
        <v>4.437790440766227E-3</v>
      </c>
    </row>
    <row r="851" spans="1:18">
      <c r="A851" t="s">
        <v>186</v>
      </c>
      <c r="B851">
        <v>2021</v>
      </c>
      <c r="C851">
        <v>-0.58579859541743229</v>
      </c>
      <c r="D851">
        <v>0.73140805127373743</v>
      </c>
      <c r="E851">
        <v>-752.28</v>
      </c>
      <c r="F851">
        <v>-636.33000000000004</v>
      </c>
      <c r="G851">
        <v>830.06</v>
      </c>
      <c r="H851">
        <v>0.2089</v>
      </c>
      <c r="I851">
        <v>9.5999999999999992E-3</v>
      </c>
      <c r="J851">
        <v>-8.3533019904994343E-2</v>
      </c>
      <c r="K851">
        <v>-7.0657955224311494E-2</v>
      </c>
      <c r="L851">
        <v>9.2169695462247569E-2</v>
      </c>
      <c r="M851">
        <v>-1.7450047858153319E-2</v>
      </c>
      <c r="N851">
        <v>-1.4760446846358671E-2</v>
      </c>
      <c r="O851">
        <v>1.9254249382063517E-2</v>
      </c>
      <c r="P851">
        <v>-8.0191699108794561E-4</v>
      </c>
      <c r="Q851">
        <v>-6.7831637015339024E-4</v>
      </c>
      <c r="R851">
        <v>8.848290764375766E-4</v>
      </c>
    </row>
    <row r="852" spans="1:18">
      <c r="A852" t="s">
        <v>187</v>
      </c>
      <c r="B852">
        <v>2017</v>
      </c>
      <c r="C852">
        <v>-0.44178376077703152</v>
      </c>
      <c r="D852">
        <v>0.71696494166740143</v>
      </c>
      <c r="E852">
        <v>-171.31</v>
      </c>
      <c r="F852">
        <v>73.23</v>
      </c>
      <c r="G852">
        <v>130.79</v>
      </c>
      <c r="H852">
        <v>0.2656</v>
      </c>
      <c r="I852">
        <v>3.2500000000000001E-2</v>
      </c>
      <c r="J852">
        <v>-0.10068471010020864</v>
      </c>
      <c r="K852">
        <v>4.303976020453143E-2</v>
      </c>
      <c r="L852">
        <v>7.6869728760762868E-2</v>
      </c>
      <c r="M852">
        <v>-2.6741859002615415E-2</v>
      </c>
      <c r="N852">
        <v>1.1431360310323548E-2</v>
      </c>
      <c r="O852">
        <v>2.0416599958858618E-2</v>
      </c>
      <c r="P852">
        <v>-3.272253078256781E-3</v>
      </c>
      <c r="Q852">
        <v>1.3987922066472716E-3</v>
      </c>
      <c r="R852">
        <v>2.4982661847247935E-3</v>
      </c>
    </row>
    <row r="853" spans="1:18">
      <c r="A853" t="s">
        <v>187</v>
      </c>
      <c r="B853">
        <v>2018</v>
      </c>
      <c r="C853">
        <v>-0.60241128516520182</v>
      </c>
      <c r="D853">
        <v>0.68989050134348551</v>
      </c>
      <c r="E853">
        <v>-36.47</v>
      </c>
      <c r="F853">
        <v>40.78</v>
      </c>
      <c r="G853">
        <v>-89.67</v>
      </c>
      <c r="H853">
        <v>0.26840000000000003</v>
      </c>
      <c r="I853">
        <v>3.3702999999999997E-2</v>
      </c>
      <c r="J853">
        <v>-2.232205703233546E-2</v>
      </c>
      <c r="K853">
        <v>2.4960062675586515E-2</v>
      </c>
      <c r="L853">
        <v>-5.4883982837661667E-2</v>
      </c>
      <c r="M853">
        <v>-5.9912401074788384E-3</v>
      </c>
      <c r="N853">
        <v>6.699280822127421E-3</v>
      </c>
      <c r="O853">
        <v>-1.4730860993628393E-2</v>
      </c>
      <c r="P853">
        <v>-7.5232028816080198E-4</v>
      </c>
      <c r="Q853">
        <v>8.412289923552923E-4</v>
      </c>
      <c r="R853">
        <v>-1.8497548735777109E-3</v>
      </c>
    </row>
    <row r="854" spans="1:18">
      <c r="A854" t="s">
        <v>187</v>
      </c>
      <c r="B854">
        <v>2019</v>
      </c>
      <c r="C854">
        <v>-0.28260262345219939</v>
      </c>
      <c r="D854">
        <v>0.73556194396007768</v>
      </c>
      <c r="E854">
        <v>-20.82</v>
      </c>
      <c r="F854">
        <v>-95.94</v>
      </c>
      <c r="G854">
        <v>113.23</v>
      </c>
      <c r="H854">
        <v>0.46810000000000002</v>
      </c>
      <c r="I854">
        <v>7.3000000000000001E-3</v>
      </c>
      <c r="J854">
        <v>-1.0902178864853826E-2</v>
      </c>
      <c r="K854">
        <v>-5.023799425043593E-2</v>
      </c>
      <c r="L854">
        <v>5.9291724921584951E-2</v>
      </c>
      <c r="M854">
        <v>-5.1033099266380765E-3</v>
      </c>
      <c r="N854">
        <v>-2.3516405108629061E-2</v>
      </c>
      <c r="O854">
        <v>2.7754456435793915E-2</v>
      </c>
      <c r="P854">
        <v>-7.9585905713432928E-5</v>
      </c>
      <c r="Q854">
        <v>-3.6673735802818231E-4</v>
      </c>
      <c r="R854">
        <v>4.3282959192757014E-4</v>
      </c>
    </row>
    <row r="855" spans="1:18">
      <c r="A855" t="s">
        <v>187</v>
      </c>
      <c r="B855">
        <v>2020</v>
      </c>
      <c r="C855">
        <v>-0.26691637134294105</v>
      </c>
      <c r="D855">
        <v>0.72563843055470367</v>
      </c>
      <c r="E855">
        <v>6.38</v>
      </c>
      <c r="F855">
        <v>-45.87</v>
      </c>
      <c r="G855">
        <v>51.16</v>
      </c>
      <c r="H855">
        <v>0.46889999999999998</v>
      </c>
      <c r="I855">
        <v>7.3000000000000001E-3</v>
      </c>
      <c r="J855">
        <v>3.261158477989736E-3</v>
      </c>
      <c r="K855">
        <v>-2.3446604919339999E-2</v>
      </c>
      <c r="L855">
        <v>2.6150606227892618E-2</v>
      </c>
      <c r="M855">
        <v>1.5291572103293871E-3</v>
      </c>
      <c r="N855">
        <v>-1.0994113046678525E-2</v>
      </c>
      <c r="O855">
        <v>1.2262019260258848E-2</v>
      </c>
      <c r="P855">
        <v>2.3806456889325075E-5</v>
      </c>
      <c r="Q855">
        <v>-1.7116021591118201E-4</v>
      </c>
      <c r="R855">
        <v>1.9089942546361612E-4</v>
      </c>
    </row>
    <row r="856" spans="1:18">
      <c r="A856" t="s">
        <v>187</v>
      </c>
      <c r="B856">
        <v>2021</v>
      </c>
      <c r="C856">
        <v>-0.45238288185403258</v>
      </c>
      <c r="D856">
        <v>0.69044818320149359</v>
      </c>
      <c r="E856">
        <v>9.33</v>
      </c>
      <c r="F856">
        <v>71.55</v>
      </c>
      <c r="G856">
        <v>-83.51</v>
      </c>
      <c r="H856">
        <v>0.46850000000000003</v>
      </c>
      <c r="I856">
        <v>7.3000000000000001E-3</v>
      </c>
      <c r="J856">
        <v>5.0343718636348921E-3</v>
      </c>
      <c r="K856">
        <v>3.8607642748454074E-2</v>
      </c>
      <c r="L856">
        <v>-4.5061135512556257E-2</v>
      </c>
      <c r="M856">
        <v>2.3586032181129469E-3</v>
      </c>
      <c r="N856">
        <v>1.8087680627650735E-2</v>
      </c>
      <c r="O856">
        <v>-2.1111141987632608E-2</v>
      </c>
      <c r="P856">
        <v>3.6750914604534712E-5</v>
      </c>
      <c r="Q856">
        <v>2.8183579206371472E-4</v>
      </c>
      <c r="R856">
        <v>-3.2894628924166067E-4</v>
      </c>
    </row>
    <row r="857" spans="1:18">
      <c r="A857" t="s">
        <v>188</v>
      </c>
      <c r="B857">
        <v>2017</v>
      </c>
      <c r="C857">
        <v>-3.5576263319414538</v>
      </c>
      <c r="D857">
        <v>0.258339300264191</v>
      </c>
      <c r="E857">
        <v>104.88</v>
      </c>
      <c r="F857">
        <v>-2.63</v>
      </c>
      <c r="G857">
        <v>-71.209999999999994</v>
      </c>
      <c r="H857">
        <v>1.349E-2</v>
      </c>
      <c r="I857">
        <v>1E-4</v>
      </c>
      <c r="J857">
        <v>0.25895656897360558</v>
      </c>
      <c r="K857">
        <v>-6.4936668230414062E-3</v>
      </c>
      <c r="L857">
        <v>-0.17582281918964962</v>
      </c>
      <c r="M857">
        <v>3.4933241154539393E-3</v>
      </c>
      <c r="N857">
        <v>-8.7599565442828572E-5</v>
      </c>
      <c r="O857">
        <v>-2.3718498308683733E-3</v>
      </c>
      <c r="P857">
        <v>2.5895656897360558E-5</v>
      </c>
      <c r="Q857">
        <v>-6.4936668230414066E-7</v>
      </c>
      <c r="R857">
        <v>-1.7582281918964965E-5</v>
      </c>
    </row>
    <row r="858" spans="1:18">
      <c r="A858" t="s">
        <v>188</v>
      </c>
      <c r="B858">
        <v>2018</v>
      </c>
      <c r="C858">
        <v>-3.6301041717121412</v>
      </c>
      <c r="D858">
        <v>0.27266624711558629</v>
      </c>
      <c r="E858">
        <v>174.55</v>
      </c>
      <c r="F858">
        <v>-14.56</v>
      </c>
      <c r="G858">
        <v>-64.97</v>
      </c>
      <c r="H858">
        <v>1.09E-2</v>
      </c>
      <c r="I858">
        <v>0</v>
      </c>
      <c r="J858">
        <v>0.36616320537025387</v>
      </c>
      <c r="K858">
        <v>-3.0543318649045522E-2</v>
      </c>
      <c r="L858">
        <v>-0.13629116844975875</v>
      </c>
      <c r="M858">
        <v>3.9911789385357671E-3</v>
      </c>
      <c r="N858">
        <v>-3.329221732745962E-4</v>
      </c>
      <c r="O858">
        <v>-1.4855737361023703E-3</v>
      </c>
      <c r="P858">
        <v>0</v>
      </c>
      <c r="Q858">
        <v>0</v>
      </c>
      <c r="R858">
        <v>0</v>
      </c>
    </row>
    <row r="859" spans="1:18">
      <c r="A859" t="s">
        <v>188</v>
      </c>
      <c r="B859">
        <v>2019</v>
      </c>
      <c r="C859">
        <v>-3.2693277983084488</v>
      </c>
      <c r="D859">
        <v>0.30559365307112868</v>
      </c>
      <c r="E859">
        <v>44.54</v>
      </c>
      <c r="F859">
        <v>-3.23</v>
      </c>
      <c r="G859">
        <v>-71.89</v>
      </c>
      <c r="H859">
        <v>0.01</v>
      </c>
      <c r="I859">
        <v>0</v>
      </c>
      <c r="J859">
        <v>9.3980123646952074E-2</v>
      </c>
      <c r="K859">
        <v>-6.8153524782140823E-3</v>
      </c>
      <c r="L859">
        <v>-0.15168906800582366</v>
      </c>
      <c r="M859">
        <v>9.3980123646952081E-4</v>
      </c>
      <c r="N859">
        <v>-6.8153524782140821E-5</v>
      </c>
      <c r="O859">
        <v>-1.5168906800582366E-3</v>
      </c>
      <c r="P859">
        <v>0</v>
      </c>
      <c r="Q859">
        <v>0</v>
      </c>
      <c r="R859">
        <v>0</v>
      </c>
    </row>
    <row r="860" spans="1:18">
      <c r="A860" t="s">
        <v>188</v>
      </c>
      <c r="B860">
        <v>2020</v>
      </c>
      <c r="C860">
        <v>-3.0302325102083429</v>
      </c>
      <c r="D860">
        <v>0.28983644617648885</v>
      </c>
      <c r="E860">
        <v>48.43</v>
      </c>
      <c r="F860">
        <v>-62.01</v>
      </c>
      <c r="G860">
        <v>-26.53</v>
      </c>
      <c r="H860">
        <v>1.0999999999999999E-2</v>
      </c>
      <c r="I860">
        <v>0</v>
      </c>
      <c r="J860">
        <v>0.10039178292323957</v>
      </c>
      <c r="K860">
        <v>-0.12854211148193445</v>
      </c>
      <c r="L860">
        <v>-5.4994714039924543E-2</v>
      </c>
      <c r="M860">
        <v>1.1043096121556351E-3</v>
      </c>
      <c r="N860">
        <v>-1.4139632263012788E-3</v>
      </c>
      <c r="O860">
        <v>-6.0494185443916992E-4</v>
      </c>
      <c r="P860">
        <v>0</v>
      </c>
      <c r="Q860">
        <v>0</v>
      </c>
      <c r="R860">
        <v>0</v>
      </c>
    </row>
    <row r="861" spans="1:18">
      <c r="A861" t="s">
        <v>188</v>
      </c>
      <c r="B861">
        <v>2021</v>
      </c>
      <c r="C861">
        <v>-3.2254315259232196</v>
      </c>
      <c r="D861">
        <v>0.27370098944462806</v>
      </c>
      <c r="E861">
        <v>68.290000000000006</v>
      </c>
      <c r="F861">
        <v>-36.18</v>
      </c>
      <c r="G861">
        <v>-19.86</v>
      </c>
      <c r="H861">
        <v>1.2E-2</v>
      </c>
      <c r="I861">
        <v>0</v>
      </c>
      <c r="J861">
        <v>0.13274886767879016</v>
      </c>
      <c r="K861">
        <v>-7.0330268452461958E-2</v>
      </c>
      <c r="L861">
        <v>-3.8605835585016429E-2</v>
      </c>
      <c r="M861">
        <v>1.5929864121454818E-3</v>
      </c>
      <c r="N861">
        <v>-8.4396322142954352E-4</v>
      </c>
      <c r="O861">
        <v>-4.6327002702019717E-4</v>
      </c>
      <c r="P861">
        <v>0</v>
      </c>
      <c r="Q861">
        <v>0</v>
      </c>
      <c r="R861">
        <v>0</v>
      </c>
    </row>
    <row r="862" spans="1:18">
      <c r="A862" t="s">
        <v>189</v>
      </c>
      <c r="B862">
        <v>2017</v>
      </c>
      <c r="C862">
        <v>-3.0052751554984116</v>
      </c>
      <c r="D862">
        <v>0.27713660226572295</v>
      </c>
      <c r="E862">
        <v>33.82</v>
      </c>
      <c r="F862">
        <v>-20.97</v>
      </c>
      <c r="G862">
        <v>2.99</v>
      </c>
      <c r="H862">
        <v>0.4914</v>
      </c>
      <c r="I862">
        <v>0.53049999999999997</v>
      </c>
      <c r="J862">
        <v>7.1882505473017486E-2</v>
      </c>
      <c r="K862">
        <v>-4.4570554103169034E-2</v>
      </c>
      <c r="L862">
        <v>6.3550766222448939E-3</v>
      </c>
      <c r="M862">
        <v>3.5323063189440791E-2</v>
      </c>
      <c r="N862">
        <v>-2.1901970286297263E-2</v>
      </c>
      <c r="O862">
        <v>3.1228846521711407E-3</v>
      </c>
      <c r="P862">
        <v>3.8133669153435773E-2</v>
      </c>
      <c r="Q862">
        <v>-2.3644678951731172E-2</v>
      </c>
      <c r="R862">
        <v>3.3713681481009161E-3</v>
      </c>
    </row>
    <row r="863" spans="1:18">
      <c r="A863" t="s">
        <v>189</v>
      </c>
      <c r="B863">
        <v>2018</v>
      </c>
      <c r="C863">
        <v>-3.2618263610819103</v>
      </c>
      <c r="D863">
        <v>0.26161748101574089</v>
      </c>
      <c r="E863">
        <v>16.440000000000001</v>
      </c>
      <c r="F863">
        <v>9.5399999999999991</v>
      </c>
      <c r="G863">
        <v>-56.34</v>
      </c>
      <c r="H863">
        <v>0.4914</v>
      </c>
      <c r="I863">
        <v>0.49049999999999999</v>
      </c>
      <c r="J863">
        <v>3.6396643715822803E-2</v>
      </c>
      <c r="K863">
        <v>2.1120680112466515E-2</v>
      </c>
      <c r="L863">
        <v>-0.12473156368305698</v>
      </c>
      <c r="M863">
        <v>1.7885310721955327E-2</v>
      </c>
      <c r="N863">
        <v>1.0378702207266045E-2</v>
      </c>
      <c r="O863">
        <v>-6.1293090393854201E-2</v>
      </c>
      <c r="P863">
        <v>1.7852553742611084E-2</v>
      </c>
      <c r="Q863">
        <v>1.0359693595164825E-2</v>
      </c>
      <c r="R863">
        <v>-6.1180831986539445E-2</v>
      </c>
    </row>
    <row r="864" spans="1:18">
      <c r="A864" t="s">
        <v>189</v>
      </c>
      <c r="B864">
        <v>2019</v>
      </c>
      <c r="C864">
        <v>-2.9875092362893447</v>
      </c>
      <c r="D864">
        <v>0.27356820767836826</v>
      </c>
      <c r="E864">
        <v>-0.39</v>
      </c>
      <c r="F864">
        <v>0.75</v>
      </c>
      <c r="G864">
        <v>5.41</v>
      </c>
      <c r="H864">
        <v>0.4914</v>
      </c>
      <c r="I864">
        <v>0.49049999999999999</v>
      </c>
      <c r="J864">
        <v>-8.2177925744869151E-4</v>
      </c>
      <c r="K864">
        <v>1.5803447258628683E-3</v>
      </c>
      <c r="L864">
        <v>1.1399553289224157E-2</v>
      </c>
      <c r="M864">
        <v>-4.0382232711028702E-4</v>
      </c>
      <c r="N864">
        <v>7.7658139828901346E-4</v>
      </c>
      <c r="O864">
        <v>5.6017404863247505E-3</v>
      </c>
      <c r="P864">
        <v>-4.030827257785832E-4</v>
      </c>
      <c r="Q864">
        <v>7.7515908803573689E-4</v>
      </c>
      <c r="R864">
        <v>5.5914808883644491E-3</v>
      </c>
    </row>
    <row r="865" spans="1:18">
      <c r="A865" t="s">
        <v>189</v>
      </c>
      <c r="B865">
        <v>2020</v>
      </c>
      <c r="C865">
        <v>-2.2393879411638675</v>
      </c>
      <c r="D865">
        <v>0.38694892649848789</v>
      </c>
      <c r="E865">
        <v>58.95</v>
      </c>
      <c r="F865">
        <v>-0.53</v>
      </c>
      <c r="G865">
        <v>-8.7200000000000006</v>
      </c>
      <c r="H865">
        <v>0.4914</v>
      </c>
      <c r="I865">
        <v>0.25280000000000002</v>
      </c>
      <c r="J865">
        <v>0.11073125833536826</v>
      </c>
      <c r="K865">
        <v>-9.9554820895242043E-4</v>
      </c>
      <c r="L865">
        <v>-1.6379585626537935E-2</v>
      </c>
      <c r="M865">
        <v>5.4413340345999962E-2</v>
      </c>
      <c r="N865">
        <v>-4.8921238987921945E-4</v>
      </c>
      <c r="O865">
        <v>-8.0489283768807405E-3</v>
      </c>
      <c r="P865">
        <v>2.7992862107181098E-2</v>
      </c>
      <c r="Q865">
        <v>-2.5167458722317191E-4</v>
      </c>
      <c r="R865">
        <v>-4.1407592463887904E-3</v>
      </c>
    </row>
    <row r="866" spans="1:18">
      <c r="A866" t="s">
        <v>189</v>
      </c>
      <c r="B866">
        <v>2021</v>
      </c>
      <c r="C866">
        <v>-2.6880308699981512</v>
      </c>
      <c r="D866">
        <v>0.30886488086428887</v>
      </c>
      <c r="E866">
        <v>-37.1</v>
      </c>
      <c r="F866">
        <v>-23.57</v>
      </c>
      <c r="G866">
        <v>-0.85</v>
      </c>
      <c r="H866">
        <v>0.4914</v>
      </c>
      <c r="I866">
        <v>3.0999999999999999E-3</v>
      </c>
      <c r="J866">
        <v>-7.8437176261654584E-2</v>
      </c>
      <c r="K866">
        <v>-4.9831920336582167E-2</v>
      </c>
      <c r="L866">
        <v>-1.7970781623290132E-3</v>
      </c>
      <c r="M866">
        <v>-3.8544028414977061E-2</v>
      </c>
      <c r="N866">
        <v>-2.4487405653396476E-2</v>
      </c>
      <c r="O866">
        <v>-8.8308420896847709E-4</v>
      </c>
      <c r="P866">
        <v>-2.4315524641112921E-4</v>
      </c>
      <c r="Q866">
        <v>-1.5447895304340471E-4</v>
      </c>
      <c r="R866">
        <v>-5.5709423032199407E-6</v>
      </c>
    </row>
    <row r="867" spans="1:18">
      <c r="A867" t="s">
        <v>190</v>
      </c>
      <c r="B867">
        <v>2017</v>
      </c>
      <c r="C867">
        <v>-3.0548172078191391</v>
      </c>
      <c r="D867">
        <v>0.38653362550638382</v>
      </c>
      <c r="E867">
        <v>95.42</v>
      </c>
      <c r="F867">
        <v>319.56</v>
      </c>
      <c r="G867">
        <v>-329.5</v>
      </c>
      <c r="H867">
        <v>5.3E-3</v>
      </c>
      <c r="I867">
        <v>8.3000000000000001E-4</v>
      </c>
      <c r="J867">
        <v>3.857816302932781E-2</v>
      </c>
      <c r="K867">
        <v>0.12919762919358621</v>
      </c>
      <c r="L867">
        <v>-0.13321635630018355</v>
      </c>
      <c r="M867">
        <v>2.0446426405543739E-4</v>
      </c>
      <c r="N867">
        <v>6.8474743472600691E-4</v>
      </c>
      <c r="O867">
        <v>-7.060466883909728E-4</v>
      </c>
      <c r="P867">
        <v>3.2019875314342085E-5</v>
      </c>
      <c r="Q867">
        <v>1.0723403223067655E-4</v>
      </c>
      <c r="R867">
        <v>-1.1056957572915235E-4</v>
      </c>
    </row>
    <row r="868" spans="1:18">
      <c r="A868" t="s">
        <v>190</v>
      </c>
      <c r="B868">
        <v>2018</v>
      </c>
      <c r="C868">
        <v>-2.8517250340410336</v>
      </c>
      <c r="D868">
        <v>0.30846277724286603</v>
      </c>
      <c r="E868">
        <v>81.56</v>
      </c>
      <c r="F868">
        <v>71.25</v>
      </c>
      <c r="G868">
        <v>-210.3</v>
      </c>
      <c r="H868">
        <v>1.2999999999999999E-3</v>
      </c>
      <c r="I868">
        <v>8.699999999999999E-4</v>
      </c>
      <c r="J868">
        <v>3.4747488518332328E-2</v>
      </c>
      <c r="K868">
        <v>3.0355058324315575E-2</v>
      </c>
      <c r="L868">
        <v>-8.9595351096190393E-2</v>
      </c>
      <c r="M868">
        <v>4.5171735073832022E-5</v>
      </c>
      <c r="N868">
        <v>3.9461575821610243E-5</v>
      </c>
      <c r="O868">
        <v>-1.164739564250475E-4</v>
      </c>
      <c r="P868">
        <v>3.0230315010949123E-5</v>
      </c>
      <c r="Q868">
        <v>2.6408900742154548E-5</v>
      </c>
      <c r="R868">
        <v>-7.7947955453685629E-5</v>
      </c>
    </row>
    <row r="869" spans="1:18">
      <c r="A869" t="s">
        <v>190</v>
      </c>
      <c r="B869">
        <v>2019</v>
      </c>
      <c r="C869">
        <v>-3.1127014331225804</v>
      </c>
      <c r="D869">
        <v>0.2525291589392914</v>
      </c>
      <c r="E869">
        <v>148.41999999999999</v>
      </c>
      <c r="F869">
        <v>99.76</v>
      </c>
      <c r="G869">
        <v>-208.6</v>
      </c>
      <c r="H869">
        <v>8.9999999999999998E-4</v>
      </c>
      <c r="I869">
        <v>8.699999999999999E-4</v>
      </c>
      <c r="J869">
        <v>6.5226371810535005E-2</v>
      </c>
      <c r="K869">
        <v>4.3841684758246686E-2</v>
      </c>
      <c r="L869">
        <v>-9.1673771457199862E-2</v>
      </c>
      <c r="M869">
        <v>5.8703734629481505E-5</v>
      </c>
      <c r="N869">
        <v>3.9457516282422018E-5</v>
      </c>
      <c r="O869">
        <v>-8.250639431147987E-5</v>
      </c>
      <c r="P869">
        <v>5.6746943475165447E-5</v>
      </c>
      <c r="Q869">
        <v>3.8142265739674611E-5</v>
      </c>
      <c r="R869">
        <v>-7.9756181167763869E-5</v>
      </c>
    </row>
    <row r="870" spans="1:18">
      <c r="A870" t="s">
        <v>190</v>
      </c>
      <c r="B870">
        <v>2020</v>
      </c>
      <c r="C870">
        <v>-2.8401499114962658</v>
      </c>
      <c r="D870">
        <v>0.29709903301100371</v>
      </c>
      <c r="E870">
        <v>207.84</v>
      </c>
      <c r="F870">
        <v>-277.61</v>
      </c>
      <c r="G870">
        <v>73.13</v>
      </c>
      <c r="H870">
        <v>6.9999999999999999E-4</v>
      </c>
      <c r="I870">
        <v>1.14E-3</v>
      </c>
      <c r="J870">
        <v>8.8850129530356287E-2</v>
      </c>
      <c r="K870">
        <v>-0.11867631090705451</v>
      </c>
      <c r="L870">
        <v>3.1262557604671642E-2</v>
      </c>
      <c r="M870">
        <v>6.2195090671249395E-5</v>
      </c>
      <c r="N870">
        <v>-8.3073417634938157E-5</v>
      </c>
      <c r="O870">
        <v>2.1883790323270149E-5</v>
      </c>
      <c r="P870">
        <v>1.0128914766460617E-4</v>
      </c>
      <c r="Q870">
        <v>-1.3529099443404212E-4</v>
      </c>
      <c r="R870">
        <v>3.5639315669325669E-5</v>
      </c>
    </row>
    <row r="871" spans="1:18">
      <c r="A871" t="s">
        <v>190</v>
      </c>
      <c r="B871">
        <v>2021</v>
      </c>
      <c r="C871">
        <v>-3.0234376263291276</v>
      </c>
      <c r="D871">
        <v>0.29772855125754882</v>
      </c>
      <c r="E871">
        <v>259.56</v>
      </c>
      <c r="F871">
        <v>-194.87</v>
      </c>
      <c r="G871">
        <v>-39.35</v>
      </c>
      <c r="H871">
        <v>1.1000000000000001E-3</v>
      </c>
      <c r="I871">
        <v>8.699999999999999E-4</v>
      </c>
      <c r="J871">
        <v>9.6699562996658203E-2</v>
      </c>
      <c r="K871">
        <v>-7.2599182621200437E-2</v>
      </c>
      <c r="L871">
        <v>-1.4659916026808833E-2</v>
      </c>
      <c r="M871">
        <v>1.0636951929632402E-4</v>
      </c>
      <c r="N871">
        <v>-7.9859100883320492E-5</v>
      </c>
      <c r="O871">
        <v>-1.6125907629489716E-5</v>
      </c>
      <c r="P871">
        <v>8.4128619807092631E-5</v>
      </c>
      <c r="Q871">
        <v>-6.3161288880444374E-5</v>
      </c>
      <c r="R871">
        <v>-1.2754126943323683E-5</v>
      </c>
    </row>
    <row r="872" spans="1:18">
      <c r="A872" t="s">
        <v>191</v>
      </c>
      <c r="B872">
        <v>2017</v>
      </c>
      <c r="C872">
        <v>-1.0731473366798525</v>
      </c>
      <c r="D872">
        <v>0.60645223245423396</v>
      </c>
      <c r="E872">
        <v>305.74</v>
      </c>
      <c r="F872">
        <v>-27.13</v>
      </c>
      <c r="G872">
        <v>-248.63</v>
      </c>
      <c r="H872">
        <v>8.5999999999999993E-2</v>
      </c>
      <c r="I872">
        <v>0.13900000000000001</v>
      </c>
      <c r="J872">
        <v>0.15452808636671486</v>
      </c>
      <c r="K872">
        <v>-1.3712131167426487E-2</v>
      </c>
      <c r="L872">
        <v>-0.12566336793797447</v>
      </c>
      <c r="M872">
        <v>1.3289415427537477E-2</v>
      </c>
      <c r="N872">
        <v>-1.1792432803986778E-3</v>
      </c>
      <c r="O872">
        <v>-1.0807049642665803E-2</v>
      </c>
      <c r="P872">
        <v>2.1479404004973366E-2</v>
      </c>
      <c r="Q872">
        <v>-1.9059862322722818E-3</v>
      </c>
      <c r="R872">
        <v>-1.7467208143378453E-2</v>
      </c>
    </row>
    <row r="873" spans="1:18">
      <c r="A873" t="s">
        <v>191</v>
      </c>
      <c r="B873">
        <v>2018</v>
      </c>
      <c r="C873">
        <v>-1.4272078574905203</v>
      </c>
      <c r="D873">
        <v>0.5710875093775214</v>
      </c>
      <c r="E873">
        <v>248.07</v>
      </c>
      <c r="F873">
        <v>-113.02</v>
      </c>
      <c r="G873">
        <v>-98.66</v>
      </c>
      <c r="H873">
        <v>6.8199999999999997E-2</v>
      </c>
      <c r="I873">
        <v>0.13930000000000001</v>
      </c>
      <c r="J873">
        <v>0.11704562075652417</v>
      </c>
      <c r="K873">
        <v>-5.3325658313791921E-2</v>
      </c>
      <c r="L873">
        <v>-4.6550251718622461E-2</v>
      </c>
      <c r="M873">
        <v>7.9825113355949471E-3</v>
      </c>
      <c r="N873">
        <v>-3.6368098970006087E-3</v>
      </c>
      <c r="O873">
        <v>-3.1747271672100518E-3</v>
      </c>
      <c r="P873">
        <v>1.6304454971383817E-2</v>
      </c>
      <c r="Q873">
        <v>-7.4282642031112149E-3</v>
      </c>
      <c r="R873">
        <v>-6.4844500644041089E-3</v>
      </c>
    </row>
    <row r="874" spans="1:18">
      <c r="A874" t="s">
        <v>191</v>
      </c>
      <c r="B874">
        <v>2019</v>
      </c>
      <c r="C874">
        <v>-2.0507922044342224</v>
      </c>
      <c r="D874">
        <v>0.47707445190631836</v>
      </c>
      <c r="E874">
        <v>170.86</v>
      </c>
      <c r="F874">
        <v>-35.200000000000003</v>
      </c>
      <c r="G874">
        <v>-138.71</v>
      </c>
      <c r="H874">
        <v>0.06</v>
      </c>
      <c r="I874">
        <v>0.13930000000000001</v>
      </c>
      <c r="J874">
        <v>8.2490452717414925E-2</v>
      </c>
      <c r="K874">
        <v>-1.6994404399233321E-2</v>
      </c>
      <c r="L874">
        <v>-6.6968574835728809E-2</v>
      </c>
      <c r="M874">
        <v>4.9494271630448955E-3</v>
      </c>
      <c r="N874">
        <v>-1.0196642639539993E-3</v>
      </c>
      <c r="O874">
        <v>-4.0181144901437283E-3</v>
      </c>
      <c r="P874">
        <v>1.14909200635359E-2</v>
      </c>
      <c r="Q874">
        <v>-2.3673205328132016E-3</v>
      </c>
      <c r="R874">
        <v>-9.3287224746170239E-3</v>
      </c>
    </row>
    <row r="875" spans="1:18">
      <c r="A875" t="s">
        <v>191</v>
      </c>
      <c r="B875">
        <v>2020</v>
      </c>
      <c r="C875">
        <v>-2.6091305977285835</v>
      </c>
      <c r="D875">
        <v>0.36433230205648737</v>
      </c>
      <c r="E875">
        <v>446.19</v>
      </c>
      <c r="F875">
        <v>41.14</v>
      </c>
      <c r="G875">
        <v>-542.51</v>
      </c>
      <c r="H875">
        <v>0.06</v>
      </c>
      <c r="I875">
        <v>0.13930000000000001</v>
      </c>
      <c r="J875">
        <v>0.26194236199578486</v>
      </c>
      <c r="K875">
        <v>2.4151838392851899E-2</v>
      </c>
      <c r="L875">
        <v>-0.3184884260210521</v>
      </c>
      <c r="M875">
        <v>1.5716541719747092E-2</v>
      </c>
      <c r="N875">
        <v>1.449110303571114E-3</v>
      </c>
      <c r="O875">
        <v>-1.9109305561263126E-2</v>
      </c>
      <c r="P875">
        <v>3.6488571026012835E-2</v>
      </c>
      <c r="Q875">
        <v>3.3643510881242698E-3</v>
      </c>
      <c r="R875">
        <v>-4.4365437744732561E-2</v>
      </c>
    </row>
    <row r="876" spans="1:18">
      <c r="A876" t="s">
        <v>191</v>
      </c>
      <c r="B876">
        <v>2021</v>
      </c>
      <c r="C876">
        <v>-2.8819517275019111</v>
      </c>
      <c r="D876">
        <v>0.36128839148918895</v>
      </c>
      <c r="E876">
        <v>290.14</v>
      </c>
      <c r="F876">
        <v>30.45</v>
      </c>
      <c r="G876">
        <v>-50.04</v>
      </c>
      <c r="H876">
        <v>0.1323</v>
      </c>
      <c r="I876">
        <v>0.137984</v>
      </c>
      <c r="J876">
        <v>0.14719400955792078</v>
      </c>
      <c r="K876">
        <v>1.5447913390220886E-2</v>
      </c>
      <c r="L876">
        <v>-2.5386324664914719E-2</v>
      </c>
      <c r="M876">
        <v>1.9473767464512921E-2</v>
      </c>
      <c r="N876">
        <v>2.043758941526223E-3</v>
      </c>
      <c r="O876">
        <v>-3.3586107531682172E-3</v>
      </c>
      <c r="P876">
        <v>2.0310418214840139E-2</v>
      </c>
      <c r="Q876">
        <v>2.1315648812362388E-3</v>
      </c>
      <c r="R876">
        <v>-3.5029066225635923E-3</v>
      </c>
    </row>
    <row r="877" spans="1:18">
      <c r="A877" t="s">
        <v>192</v>
      </c>
      <c r="B877">
        <v>2017</v>
      </c>
      <c r="C877">
        <v>-1.074465820704358</v>
      </c>
      <c r="D877">
        <v>0.62261996243169393</v>
      </c>
      <c r="E877">
        <v>67.3</v>
      </c>
      <c r="F877">
        <v>-57.23</v>
      </c>
      <c r="G877">
        <v>6.07</v>
      </c>
      <c r="H877">
        <v>7.9799999999999996E-2</v>
      </c>
      <c r="I877">
        <v>1.0970000000000001E-2</v>
      </c>
      <c r="J877">
        <v>7.1828039617486336E-2</v>
      </c>
      <c r="K877">
        <v>-6.1080515710382505E-2</v>
      </c>
      <c r="L877">
        <v>6.4783982240437157E-3</v>
      </c>
      <c r="M877">
        <v>5.7318775614754094E-3</v>
      </c>
      <c r="N877">
        <v>-4.874225153688524E-3</v>
      </c>
      <c r="O877">
        <v>5.1697617827868852E-4</v>
      </c>
      <c r="P877">
        <v>7.8795359460382514E-4</v>
      </c>
      <c r="Q877">
        <v>-6.7005325734289611E-4</v>
      </c>
      <c r="R877">
        <v>7.106802851775957E-5</v>
      </c>
    </row>
    <row r="878" spans="1:18">
      <c r="A878" t="s">
        <v>192</v>
      </c>
      <c r="B878">
        <v>2018</v>
      </c>
      <c r="C878">
        <v>-1.0012248059636712</v>
      </c>
      <c r="D878">
        <v>0.63192224762441362</v>
      </c>
      <c r="E878">
        <v>57.8</v>
      </c>
      <c r="F878">
        <v>-6.62</v>
      </c>
      <c r="G878">
        <v>-68.510000000000005</v>
      </c>
      <c r="H878">
        <v>0.1236</v>
      </c>
      <c r="I878">
        <v>1.0970000000000001E-2</v>
      </c>
      <c r="J878">
        <v>6.2626634739362683E-2</v>
      </c>
      <c r="K878">
        <v>-7.1728083386605711E-3</v>
      </c>
      <c r="L878">
        <v>-7.4230981764597539E-2</v>
      </c>
      <c r="M878">
        <v>7.7406520537852278E-3</v>
      </c>
      <c r="N878">
        <v>-8.8655911065844658E-4</v>
      </c>
      <c r="O878">
        <v>-9.1749493461042563E-3</v>
      </c>
      <c r="P878">
        <v>6.8701418309080869E-4</v>
      </c>
      <c r="Q878">
        <v>-7.8685707475106462E-5</v>
      </c>
      <c r="R878">
        <v>-8.14313869957635E-4</v>
      </c>
    </row>
    <row r="879" spans="1:18">
      <c r="A879" t="s">
        <v>192</v>
      </c>
      <c r="B879">
        <v>2019</v>
      </c>
      <c r="C879">
        <v>-2.233014926971054</v>
      </c>
      <c r="D879">
        <v>0.48699834162520733</v>
      </c>
      <c r="E879">
        <v>238.64</v>
      </c>
      <c r="F879">
        <v>-89.22</v>
      </c>
      <c r="G879">
        <v>-106.56</v>
      </c>
      <c r="H879">
        <v>5.6099999999999997E-2</v>
      </c>
      <c r="I879">
        <v>9.0193000000000001E-4</v>
      </c>
      <c r="J879">
        <v>0.26383637368711993</v>
      </c>
      <c r="K879">
        <v>-9.8640132669983421E-2</v>
      </c>
      <c r="L879">
        <v>-0.11781094527363184</v>
      </c>
      <c r="M879">
        <v>1.4801220563847427E-2</v>
      </c>
      <c r="N879">
        <v>-5.5337114427860693E-3</v>
      </c>
      <c r="O879">
        <v>-6.6091940298507457E-3</v>
      </c>
      <c r="P879">
        <v>2.3796194051962409E-4</v>
      </c>
      <c r="Q879">
        <v>-8.8966494859038148E-5</v>
      </c>
      <c r="R879">
        <v>-1.0625722587064677E-4</v>
      </c>
    </row>
    <row r="880" spans="1:18">
      <c r="A880" t="s">
        <v>192</v>
      </c>
      <c r="B880">
        <v>2020</v>
      </c>
      <c r="C880">
        <v>-2.1786009394953596</v>
      </c>
      <c r="D880">
        <v>0.479289288829714</v>
      </c>
      <c r="E880">
        <v>117.26</v>
      </c>
      <c r="F880">
        <v>-188.79</v>
      </c>
      <c r="G880">
        <v>20.5</v>
      </c>
      <c r="H880">
        <v>0.94740000000000002</v>
      </c>
      <c r="I880">
        <v>0</v>
      </c>
      <c r="J880">
        <v>0.10767182406684726</v>
      </c>
      <c r="K880">
        <v>-0.17335292227170471</v>
      </c>
      <c r="L880">
        <v>1.8823745466232038E-2</v>
      </c>
      <c r="M880">
        <v>0.1020082861209311</v>
      </c>
      <c r="N880">
        <v>-0.16423455856021305</v>
      </c>
      <c r="O880">
        <v>1.7833616454708233E-2</v>
      </c>
      <c r="P880">
        <v>0</v>
      </c>
      <c r="Q880">
        <v>0</v>
      </c>
      <c r="R880">
        <v>0</v>
      </c>
    </row>
    <row r="881" spans="1:18">
      <c r="A881" t="s">
        <v>192</v>
      </c>
      <c r="B881">
        <v>2021</v>
      </c>
      <c r="C881">
        <v>-2.0785325347603032</v>
      </c>
      <c r="D881">
        <v>0.45358389724580833</v>
      </c>
      <c r="E881">
        <v>120.61</v>
      </c>
      <c r="F881">
        <v>17.21</v>
      </c>
      <c r="G881">
        <v>-105.66</v>
      </c>
      <c r="H881">
        <v>0.94779999999999998</v>
      </c>
      <c r="I881">
        <v>0</v>
      </c>
      <c r="J881">
        <v>0.10396965648032412</v>
      </c>
      <c r="K881">
        <v>1.4835567432438258E-2</v>
      </c>
      <c r="L881">
        <v>-9.1082280936166549E-2</v>
      </c>
      <c r="M881">
        <v>9.8542440412051194E-2</v>
      </c>
      <c r="N881">
        <v>1.406115081246498E-2</v>
      </c>
      <c r="O881">
        <v>-8.6327785871298648E-2</v>
      </c>
      <c r="P881">
        <v>0</v>
      </c>
      <c r="Q881">
        <v>0</v>
      </c>
      <c r="R881">
        <v>0</v>
      </c>
    </row>
    <row r="882" spans="1:18">
      <c r="A882" t="s">
        <v>193</v>
      </c>
      <c r="B882">
        <v>2017</v>
      </c>
      <c r="C882">
        <v>-4.4900891403767149</v>
      </c>
      <c r="D882">
        <v>7.5187969924812035E-3</v>
      </c>
      <c r="E882">
        <v>-1.02</v>
      </c>
      <c r="F882">
        <v>1.0900000000000001</v>
      </c>
      <c r="G882">
        <v>0</v>
      </c>
      <c r="H882">
        <v>1E-4</v>
      </c>
      <c r="I882">
        <v>4.65E-2</v>
      </c>
      <c r="J882">
        <v>-7.9063638477637407E-3</v>
      </c>
      <c r="K882">
        <v>8.4489574451592914E-3</v>
      </c>
      <c r="L882">
        <v>0</v>
      </c>
      <c r="M882">
        <v>-7.9063638477637415E-7</v>
      </c>
      <c r="N882">
        <v>8.4489574451592922E-7</v>
      </c>
      <c r="O882">
        <v>0</v>
      </c>
      <c r="P882">
        <v>-3.6764591892101393E-4</v>
      </c>
      <c r="Q882">
        <v>3.9287652119990703E-4</v>
      </c>
      <c r="R882">
        <v>0</v>
      </c>
    </row>
    <row r="883" spans="1:18">
      <c r="A883" t="s">
        <v>193</v>
      </c>
      <c r="B883">
        <v>2018</v>
      </c>
      <c r="C883">
        <v>-4.5042776523702033</v>
      </c>
      <c r="D883">
        <v>5.7185854025583139E-3</v>
      </c>
      <c r="E883">
        <v>7.94</v>
      </c>
      <c r="F883">
        <v>-7.89</v>
      </c>
      <c r="G883">
        <v>0</v>
      </c>
      <c r="H883">
        <v>1E-4</v>
      </c>
      <c r="I883">
        <v>4.65E-2</v>
      </c>
      <c r="J883">
        <v>5.9744168547780287E-2</v>
      </c>
      <c r="K883">
        <v>-5.9367945823927758E-2</v>
      </c>
      <c r="L883">
        <v>0</v>
      </c>
      <c r="M883">
        <v>5.9744168547780288E-6</v>
      </c>
      <c r="N883">
        <v>-5.9367945823927756E-6</v>
      </c>
      <c r="O883">
        <v>0</v>
      </c>
      <c r="P883">
        <v>2.7781038374717834E-3</v>
      </c>
      <c r="Q883">
        <v>-2.7606094808126408E-3</v>
      </c>
      <c r="R883">
        <v>0</v>
      </c>
    </row>
    <row r="884" spans="1:18">
      <c r="A884" t="s">
        <v>193</v>
      </c>
      <c r="B884">
        <v>2019</v>
      </c>
      <c r="C884">
        <v>-4.7863944235150147</v>
      </c>
      <c r="D884">
        <v>2.6614371760750807E-3</v>
      </c>
      <c r="E884">
        <v>5.46</v>
      </c>
      <c r="F884">
        <v>-5.53</v>
      </c>
      <c r="G884">
        <v>0</v>
      </c>
      <c r="H884">
        <v>0</v>
      </c>
      <c r="I884">
        <v>4.65E-2</v>
      </c>
      <c r="J884">
        <v>3.8240649950973524E-2</v>
      </c>
      <c r="K884">
        <v>-3.8730914693934727E-2</v>
      </c>
      <c r="L884">
        <v>0</v>
      </c>
      <c r="M884">
        <v>0</v>
      </c>
      <c r="N884">
        <v>0</v>
      </c>
      <c r="O884">
        <v>0</v>
      </c>
      <c r="P884">
        <v>1.7781902227202689E-3</v>
      </c>
      <c r="Q884">
        <v>-1.8009875332679647E-3</v>
      </c>
      <c r="R884">
        <v>0</v>
      </c>
    </row>
    <row r="885" spans="1:18">
      <c r="A885" t="s">
        <v>193</v>
      </c>
      <c r="B885">
        <v>2020</v>
      </c>
      <c r="C885">
        <v>-5.2359826215008187</v>
      </c>
      <c r="D885">
        <v>6.9103369503141065E-3</v>
      </c>
      <c r="E885">
        <v>8.0399999999999991</v>
      </c>
      <c r="F885">
        <v>2.4900000000000002</v>
      </c>
      <c r="G885">
        <v>0</v>
      </c>
      <c r="H885">
        <v>0</v>
      </c>
      <c r="I885">
        <v>4.2900000000000001E-2</v>
      </c>
      <c r="J885">
        <v>4.591661907481439E-2</v>
      </c>
      <c r="K885">
        <v>1.4220445459737295E-2</v>
      </c>
      <c r="L885">
        <v>0</v>
      </c>
      <c r="M885">
        <v>0</v>
      </c>
      <c r="N885">
        <v>0</v>
      </c>
      <c r="O885">
        <v>0</v>
      </c>
      <c r="P885">
        <v>1.9698229583095372E-3</v>
      </c>
      <c r="Q885">
        <v>6.1005711022272993E-4</v>
      </c>
      <c r="R885">
        <v>0</v>
      </c>
    </row>
    <row r="886" spans="1:18">
      <c r="A886" t="s">
        <v>193</v>
      </c>
      <c r="B886">
        <v>2021</v>
      </c>
      <c r="C886">
        <v>-5.2437572928222194</v>
      </c>
      <c r="D886">
        <v>6.7946505608283006E-3</v>
      </c>
      <c r="E886">
        <v>16.59</v>
      </c>
      <c r="F886">
        <v>-4.3099999999999996</v>
      </c>
      <c r="G886">
        <v>-23.16</v>
      </c>
      <c r="H886">
        <v>7.2100000000000004E-5</v>
      </c>
      <c r="I886">
        <v>4.2900000000000001E-2</v>
      </c>
      <c r="J886">
        <v>8.9462899050905959E-2</v>
      </c>
      <c r="K886">
        <v>-2.324201898188093E-2</v>
      </c>
      <c r="L886">
        <v>-0.12489214840379638</v>
      </c>
      <c r="M886">
        <v>6.4502750215703198E-6</v>
      </c>
      <c r="N886">
        <v>-1.6757495685936152E-6</v>
      </c>
      <c r="O886">
        <v>-9.0047238999137189E-6</v>
      </c>
      <c r="P886">
        <v>3.8379583692838655E-3</v>
      </c>
      <c r="Q886">
        <v>-9.9708261432269194E-4</v>
      </c>
      <c r="R886">
        <v>-5.3578731665228649E-3</v>
      </c>
    </row>
    <row r="887" spans="1:18">
      <c r="A887" t="s">
        <v>194</v>
      </c>
      <c r="B887">
        <v>2017</v>
      </c>
      <c r="C887">
        <v>-0.87870159484534405</v>
      </c>
      <c r="D887">
        <v>0.65155863433943595</v>
      </c>
      <c r="E887">
        <v>60.73</v>
      </c>
      <c r="F887">
        <v>-97.51</v>
      </c>
      <c r="G887">
        <v>-66.849999999999994</v>
      </c>
      <c r="H887">
        <v>0.1613</v>
      </c>
      <c r="I887">
        <v>1.1999999999999999E-3</v>
      </c>
      <c r="J887">
        <v>4.0065973940293584E-2</v>
      </c>
      <c r="K887">
        <v>-6.4331189180273793E-2</v>
      </c>
      <c r="L887">
        <v>-4.4103579086260926E-2</v>
      </c>
      <c r="M887">
        <v>6.4626415965693554E-3</v>
      </c>
      <c r="N887">
        <v>-1.0376620814778163E-2</v>
      </c>
      <c r="O887">
        <v>-7.1139073066138871E-3</v>
      </c>
      <c r="P887">
        <v>4.8079168728352299E-5</v>
      </c>
      <c r="Q887">
        <v>-7.7197427016328547E-5</v>
      </c>
      <c r="R887">
        <v>-5.2924294903513105E-5</v>
      </c>
    </row>
    <row r="888" spans="1:18">
      <c r="A888" t="s">
        <v>194</v>
      </c>
      <c r="B888">
        <v>2018</v>
      </c>
      <c r="C888">
        <v>-0.99319540269111628</v>
      </c>
      <c r="D888">
        <v>0.63798429253895594</v>
      </c>
      <c r="E888">
        <v>166.28</v>
      </c>
      <c r="F888">
        <v>-63.72</v>
      </c>
      <c r="G888">
        <v>-47.06</v>
      </c>
      <c r="H888">
        <v>0.16689999999999999</v>
      </c>
      <c r="I888">
        <v>1.1999999999999999E-3</v>
      </c>
      <c r="J888">
        <v>0.10397438783422125</v>
      </c>
      <c r="K888">
        <v>-3.9843925864785773E-2</v>
      </c>
      <c r="L888">
        <v>-2.9426477576849006E-2</v>
      </c>
      <c r="M888">
        <v>1.7353325329531526E-2</v>
      </c>
      <c r="N888">
        <v>-6.6499512268327456E-3</v>
      </c>
      <c r="O888">
        <v>-4.9112791075760992E-3</v>
      </c>
      <c r="P888">
        <v>1.2476926540106549E-4</v>
      </c>
      <c r="Q888">
        <v>-4.7812711037742921E-5</v>
      </c>
      <c r="R888">
        <v>-3.5311773092218804E-5</v>
      </c>
    </row>
    <row r="889" spans="1:18">
      <c r="A889" t="s">
        <v>194</v>
      </c>
      <c r="B889">
        <v>2019</v>
      </c>
      <c r="C889">
        <v>-1.3647604424963604</v>
      </c>
      <c r="D889">
        <v>0.56820847383081663</v>
      </c>
      <c r="E889">
        <v>100.22</v>
      </c>
      <c r="F889">
        <v>128.87</v>
      </c>
      <c r="G889">
        <v>-27.31</v>
      </c>
      <c r="H889">
        <v>0.20499999999999999</v>
      </c>
      <c r="I889">
        <v>1.1999999999999999E-3</v>
      </c>
      <c r="J889">
        <v>6.122025118506573E-2</v>
      </c>
      <c r="K889">
        <v>7.872135073058692E-2</v>
      </c>
      <c r="L889">
        <v>-1.6682548990861554E-2</v>
      </c>
      <c r="M889">
        <v>1.2550151492938474E-2</v>
      </c>
      <c r="N889">
        <v>1.6137876899770316E-2</v>
      </c>
      <c r="O889">
        <v>-3.4199225431266185E-3</v>
      </c>
      <c r="P889">
        <v>7.3464301422078866E-5</v>
      </c>
      <c r="Q889">
        <v>9.4465620876704295E-5</v>
      </c>
      <c r="R889">
        <v>-2.0019058789033865E-5</v>
      </c>
    </row>
    <row r="890" spans="1:18">
      <c r="A890" t="s">
        <v>194</v>
      </c>
      <c r="B890">
        <v>2020</v>
      </c>
      <c r="C890">
        <v>-0.80479737922134198</v>
      </c>
      <c r="D890">
        <v>0.66543056773842291</v>
      </c>
      <c r="E890">
        <v>154.93</v>
      </c>
      <c r="F890">
        <v>-97.78</v>
      </c>
      <c r="G890">
        <v>-44.43</v>
      </c>
      <c r="H890">
        <v>0.1361</v>
      </c>
      <c r="I890">
        <v>1.1000000000000001E-3</v>
      </c>
      <c r="J890">
        <v>9.3723722815401839E-2</v>
      </c>
      <c r="K890">
        <v>-5.9151265841928556E-2</v>
      </c>
      <c r="L890">
        <v>-2.6877589909561114E-2</v>
      </c>
      <c r="M890">
        <v>1.275579867517619E-2</v>
      </c>
      <c r="N890">
        <v>-8.0504872810864773E-3</v>
      </c>
      <c r="O890">
        <v>-3.6580399866912678E-3</v>
      </c>
      <c r="P890">
        <v>1.0309609509694203E-4</v>
      </c>
      <c r="Q890">
        <v>-6.5066392426121414E-5</v>
      </c>
      <c r="R890">
        <v>-2.9565348900517228E-5</v>
      </c>
    </row>
    <row r="891" spans="1:18">
      <c r="A891" t="s">
        <v>194</v>
      </c>
      <c r="B891">
        <v>2021</v>
      </c>
      <c r="C891">
        <v>-0.87892149554882415</v>
      </c>
      <c r="D891">
        <v>0.64942066206668014</v>
      </c>
      <c r="E891">
        <v>102.07</v>
      </c>
      <c r="F891">
        <v>-242.17</v>
      </c>
      <c r="G891">
        <v>-45.94</v>
      </c>
      <c r="H891">
        <v>0.23050000000000001</v>
      </c>
      <c r="I891">
        <v>1.1000000000000001E-3</v>
      </c>
      <c r="J891">
        <v>6.0401453374835788E-2</v>
      </c>
      <c r="K891">
        <v>-0.14330772963440758</v>
      </c>
      <c r="L891">
        <v>-2.7185684021161515E-2</v>
      </c>
      <c r="M891">
        <v>1.3922535002899649E-2</v>
      </c>
      <c r="N891">
        <v>-3.3032431680730945E-2</v>
      </c>
      <c r="O891">
        <v>-6.2663001668777293E-3</v>
      </c>
      <c r="P891">
        <v>6.6441598712319369E-5</v>
      </c>
      <c r="Q891">
        <v>-1.5763850259784833E-4</v>
      </c>
      <c r="R891">
        <v>-2.9904252423277668E-5</v>
      </c>
    </row>
    <row r="892" spans="1:18">
      <c r="A892" t="s">
        <v>195</v>
      </c>
      <c r="B892">
        <v>2017</v>
      </c>
      <c r="C892">
        <v>-5.0378294585426238</v>
      </c>
      <c r="D892">
        <v>2.9783352851094493E-2</v>
      </c>
      <c r="E892">
        <v>142.28</v>
      </c>
      <c r="F892">
        <v>7</v>
      </c>
      <c r="G892">
        <v>-158.35</v>
      </c>
      <c r="H892">
        <v>5.0000000000000001E-3</v>
      </c>
      <c r="I892">
        <v>0</v>
      </c>
      <c r="J892">
        <v>0.1602107918205567</v>
      </c>
      <c r="K892">
        <v>7.8821727772272771E-3</v>
      </c>
      <c r="L892">
        <v>-0.17830600846770558</v>
      </c>
      <c r="M892">
        <v>8.0105395910278355E-4</v>
      </c>
      <c r="N892">
        <v>3.9410863886136384E-5</v>
      </c>
      <c r="O892">
        <v>-8.9153004233852794E-4</v>
      </c>
      <c r="P892">
        <v>0</v>
      </c>
      <c r="Q892">
        <v>0</v>
      </c>
      <c r="R892">
        <v>0</v>
      </c>
    </row>
    <row r="893" spans="1:18">
      <c r="A893" t="s">
        <v>195</v>
      </c>
      <c r="B893">
        <v>2018</v>
      </c>
      <c r="C893">
        <v>-4.5566138637288232</v>
      </c>
      <c r="D893">
        <v>0.11968071887953401</v>
      </c>
      <c r="E893">
        <v>204.91</v>
      </c>
      <c r="F893">
        <v>-58.42</v>
      </c>
      <c r="G893">
        <v>-82.31</v>
      </c>
      <c r="H893">
        <v>5.0000000000000001E-3</v>
      </c>
      <c r="I893">
        <v>0</v>
      </c>
      <c r="J893">
        <v>0.20368584805320025</v>
      </c>
      <c r="K893">
        <v>-5.8070993330086182E-2</v>
      </c>
      <c r="L893">
        <v>-8.1818272184173119E-2</v>
      </c>
      <c r="M893">
        <v>1.0184292402660013E-3</v>
      </c>
      <c r="N893">
        <v>-2.9035496665043092E-4</v>
      </c>
      <c r="O893">
        <v>-4.0909136092086561E-4</v>
      </c>
      <c r="P893">
        <v>0</v>
      </c>
      <c r="Q893">
        <v>0</v>
      </c>
      <c r="R893">
        <v>0</v>
      </c>
    </row>
    <row r="894" spans="1:18">
      <c r="A894" t="s">
        <v>195</v>
      </c>
      <c r="B894">
        <v>2019</v>
      </c>
      <c r="C894">
        <v>-2.938616616137804</v>
      </c>
      <c r="D894">
        <v>0.3019099042000829</v>
      </c>
      <c r="E894">
        <v>255.02</v>
      </c>
      <c r="F894">
        <v>-530.09</v>
      </c>
      <c r="G894">
        <v>231.42</v>
      </c>
      <c r="H894">
        <v>5.1799999999999997E-3</v>
      </c>
      <c r="I894">
        <v>3.0000000000000001E-5</v>
      </c>
      <c r="J894">
        <v>0.15541281720010724</v>
      </c>
      <c r="K894">
        <v>-0.32304438973258903</v>
      </c>
      <c r="L894">
        <v>0.14103064134753673</v>
      </c>
      <c r="M894">
        <v>8.0503839309655552E-4</v>
      </c>
      <c r="N894">
        <v>-1.6733699388148111E-3</v>
      </c>
      <c r="O894">
        <v>7.3053872218024028E-4</v>
      </c>
      <c r="P894">
        <v>4.6623845160032176E-6</v>
      </c>
      <c r="Q894">
        <v>-9.6913316919776706E-6</v>
      </c>
      <c r="R894">
        <v>4.2309192404261024E-6</v>
      </c>
    </row>
    <row r="895" spans="1:18">
      <c r="A895" t="s">
        <v>195</v>
      </c>
      <c r="B895">
        <v>2020</v>
      </c>
      <c r="C895">
        <v>-3.6236536634399408</v>
      </c>
      <c r="D895">
        <v>0.22897511915037339</v>
      </c>
      <c r="E895">
        <v>338.76</v>
      </c>
      <c r="F895">
        <v>-43.74</v>
      </c>
      <c r="G895">
        <v>-220.36</v>
      </c>
      <c r="H895">
        <v>7.1999999999999998E-3</v>
      </c>
      <c r="I895">
        <v>3.0000000000000001E-5</v>
      </c>
      <c r="J895">
        <v>0.21188126243104291</v>
      </c>
      <c r="K895">
        <v>-2.735767628626112E-2</v>
      </c>
      <c r="L895">
        <v>-0.13782664715227483</v>
      </c>
      <c r="M895">
        <v>1.5255450895035089E-3</v>
      </c>
      <c r="N895">
        <v>-1.9697526926108007E-4</v>
      </c>
      <c r="O895">
        <v>-9.9235185949637884E-4</v>
      </c>
      <c r="P895">
        <v>6.3564378729312873E-6</v>
      </c>
      <c r="Q895">
        <v>-8.2073028858783367E-7</v>
      </c>
      <c r="R895">
        <v>-4.1347994145682452E-6</v>
      </c>
    </row>
    <row r="896" spans="1:18">
      <c r="A896" t="s">
        <v>195</v>
      </c>
      <c r="B896">
        <v>2021</v>
      </c>
      <c r="C896">
        <v>-3.6097367119839707</v>
      </c>
      <c r="D896">
        <v>0.22766640190627482</v>
      </c>
      <c r="E896">
        <v>315.24</v>
      </c>
      <c r="F896">
        <v>-104.08</v>
      </c>
      <c r="G896">
        <v>-226.9</v>
      </c>
      <c r="H896">
        <v>9.2999999999999992E-3</v>
      </c>
      <c r="I896">
        <v>3.0000000000000001E-5</v>
      </c>
      <c r="J896">
        <v>0.20031135822081017</v>
      </c>
      <c r="K896">
        <v>-6.6135027799841137E-2</v>
      </c>
      <c r="L896">
        <v>-0.14417791898332011</v>
      </c>
      <c r="M896">
        <v>1.8628956314535345E-3</v>
      </c>
      <c r="N896">
        <v>-6.1505575853852256E-4</v>
      </c>
      <c r="O896">
        <v>-1.3408546465448769E-3</v>
      </c>
      <c r="P896">
        <v>6.0093407466243052E-6</v>
      </c>
      <c r="Q896">
        <v>-1.9840508339952341E-6</v>
      </c>
      <c r="R896">
        <v>-4.325337569499603E-6</v>
      </c>
    </row>
    <row r="897" spans="1:18">
      <c r="A897" t="s">
        <v>196</v>
      </c>
      <c r="B897">
        <v>2017</v>
      </c>
      <c r="C897">
        <v>-1.0399306368546819</v>
      </c>
      <c r="D897">
        <v>0.6241243584408378</v>
      </c>
      <c r="E897">
        <v>-1268.83</v>
      </c>
      <c r="F897">
        <v>1293.72</v>
      </c>
      <c r="G897">
        <v>18.68</v>
      </c>
      <c r="H897">
        <v>0.1116</v>
      </c>
      <c r="I897">
        <v>1.5E-3</v>
      </c>
      <c r="J897">
        <v>-1.1000398807046745</v>
      </c>
      <c r="K897">
        <v>1.1216188098210569</v>
      </c>
      <c r="L897">
        <v>1.6195033985296158E-2</v>
      </c>
      <c r="M897">
        <v>-0.12276445068664169</v>
      </c>
      <c r="N897">
        <v>0.12517265917602996</v>
      </c>
      <c r="O897">
        <v>1.8073657927590513E-3</v>
      </c>
      <c r="P897">
        <v>-1.6500598210570118E-3</v>
      </c>
      <c r="Q897">
        <v>1.6824282147315853E-3</v>
      </c>
      <c r="R897">
        <v>2.4292550977944239E-5</v>
      </c>
    </row>
    <row r="898" spans="1:18">
      <c r="A898" t="s">
        <v>196</v>
      </c>
      <c r="B898">
        <v>2018</v>
      </c>
      <c r="C898">
        <v>-0.46296225299760879</v>
      </c>
      <c r="D898">
        <v>0.71168338016247168</v>
      </c>
      <c r="E898">
        <v>-71.83</v>
      </c>
      <c r="F898">
        <v>11.29</v>
      </c>
      <c r="G898">
        <v>2.17</v>
      </c>
      <c r="H898">
        <v>0.14949999999999999</v>
      </c>
      <c r="I898">
        <v>6.88E-2</v>
      </c>
      <c r="J898">
        <v>-4.2222640222898858E-2</v>
      </c>
      <c r="K898">
        <v>6.6364138676949479E-3</v>
      </c>
      <c r="L898">
        <v>1.2755551898049635E-3</v>
      </c>
      <c r="M898">
        <v>-6.3122847133233791E-3</v>
      </c>
      <c r="N898">
        <v>9.9214387322039467E-4</v>
      </c>
      <c r="O898">
        <v>1.9069550087584203E-4</v>
      </c>
      <c r="P898">
        <v>-2.9049176473354412E-3</v>
      </c>
      <c r="Q898">
        <v>4.5658527409741243E-4</v>
      </c>
      <c r="R898">
        <v>8.7758197058581484E-5</v>
      </c>
    </row>
    <row r="899" spans="1:18">
      <c r="A899" t="s">
        <v>196</v>
      </c>
      <c r="B899">
        <v>2019</v>
      </c>
      <c r="C899">
        <v>-0.45120777923925859</v>
      </c>
      <c r="D899">
        <v>0.71441194251964835</v>
      </c>
      <c r="E899">
        <v>281.95999999999998</v>
      </c>
      <c r="F899">
        <v>-383.36</v>
      </c>
      <c r="G899">
        <v>102.63</v>
      </c>
      <c r="H899">
        <v>0.1484</v>
      </c>
      <c r="I899">
        <v>4.7800000000000002E-2</v>
      </c>
      <c r="J899">
        <v>0.14569543267864432</v>
      </c>
      <c r="K899">
        <v>-0.19809122241341001</v>
      </c>
      <c r="L899">
        <v>5.3031359965276158E-2</v>
      </c>
      <c r="M899">
        <v>2.1621202209510818E-2</v>
      </c>
      <c r="N899">
        <v>-2.9396737406150047E-2</v>
      </c>
      <c r="O899">
        <v>7.8698538188469828E-3</v>
      </c>
      <c r="P899">
        <v>6.9642416820391989E-3</v>
      </c>
      <c r="Q899">
        <v>-9.4687604313609987E-3</v>
      </c>
      <c r="R899">
        <v>2.5348990063402002E-3</v>
      </c>
    </row>
    <row r="900" spans="1:18">
      <c r="A900" t="s">
        <v>196</v>
      </c>
      <c r="B900">
        <v>2020</v>
      </c>
      <c r="C900">
        <v>0.68583348463111693</v>
      </c>
      <c r="D900">
        <v>0.89399065622771245</v>
      </c>
      <c r="E900">
        <v>-208.15</v>
      </c>
      <c r="F900">
        <v>-368.16</v>
      </c>
      <c r="G900">
        <v>712.12</v>
      </c>
      <c r="H900">
        <v>0.1479</v>
      </c>
      <c r="I900">
        <v>2.7000000000000001E-3</v>
      </c>
      <c r="J900">
        <v>-3.336031220700543E-2</v>
      </c>
      <c r="K900">
        <v>-5.9005200778914815E-2</v>
      </c>
      <c r="L900">
        <v>0.11413185457051503</v>
      </c>
      <c r="M900">
        <v>-4.9339901754161036E-3</v>
      </c>
      <c r="N900">
        <v>-8.7268691952015007E-3</v>
      </c>
      <c r="O900">
        <v>1.6880101290979173E-2</v>
      </c>
      <c r="P900">
        <v>-9.0072842958914667E-5</v>
      </c>
      <c r="Q900">
        <v>-1.5931404210307E-4</v>
      </c>
      <c r="R900">
        <v>3.0815600734039058E-4</v>
      </c>
    </row>
    <row r="901" spans="1:18">
      <c r="A901" t="s">
        <v>196</v>
      </c>
      <c r="B901">
        <v>2021</v>
      </c>
      <c r="C901">
        <v>-0.12037633069658754</v>
      </c>
      <c r="D901">
        <v>0.77997795394593183</v>
      </c>
      <c r="E901">
        <v>124.21</v>
      </c>
      <c r="F901">
        <v>-108.01</v>
      </c>
      <c r="G901">
        <v>108.5</v>
      </c>
      <c r="H901">
        <v>0.1479</v>
      </c>
      <c r="I901">
        <v>4.0000000000000001E-3</v>
      </c>
      <c r="J901">
        <v>2.1527833143261222E-2</v>
      </c>
      <c r="K901">
        <v>-1.8720080974186013E-2</v>
      </c>
      <c r="L901">
        <v>1.8805006811398781E-2</v>
      </c>
      <c r="M901">
        <v>3.1839665218883349E-3</v>
      </c>
      <c r="N901">
        <v>-2.7686999760821113E-3</v>
      </c>
      <c r="O901">
        <v>2.7812605074058797E-3</v>
      </c>
      <c r="P901">
        <v>8.6111332573044885E-5</v>
      </c>
      <c r="Q901">
        <v>-7.4880323896744049E-5</v>
      </c>
      <c r="R901">
        <v>7.5220027245595118E-5</v>
      </c>
    </row>
    <row r="902" spans="1:18">
      <c r="A902" t="s">
        <v>197</v>
      </c>
      <c r="B902">
        <v>2017</v>
      </c>
      <c r="C902">
        <v>-4.027100906967374</v>
      </c>
      <c r="D902">
        <v>0.12738390980317216</v>
      </c>
      <c r="E902">
        <v>154.38</v>
      </c>
      <c r="F902">
        <v>189.52</v>
      </c>
      <c r="G902">
        <v>-310.92</v>
      </c>
      <c r="H902">
        <v>4.1599999999999998E-2</v>
      </c>
      <c r="I902">
        <v>0.47860000000000003</v>
      </c>
      <c r="J902">
        <v>3.1053939070876117E-2</v>
      </c>
      <c r="K902">
        <v>3.8122441590312493E-2</v>
      </c>
      <c r="L902">
        <v>-6.2542367767306664E-2</v>
      </c>
      <c r="M902">
        <v>1.2918438653484463E-3</v>
      </c>
      <c r="N902">
        <v>1.5858935701569996E-3</v>
      </c>
      <c r="O902">
        <v>-2.6017624991199573E-3</v>
      </c>
      <c r="P902">
        <v>1.486241523932131E-2</v>
      </c>
      <c r="Q902">
        <v>1.8245400545123559E-2</v>
      </c>
      <c r="R902">
        <v>-2.993277721343297E-2</v>
      </c>
    </row>
    <row r="903" spans="1:18">
      <c r="A903" t="s">
        <v>197</v>
      </c>
      <c r="B903">
        <v>2018</v>
      </c>
      <c r="C903">
        <v>-3.5754193337511522</v>
      </c>
      <c r="D903">
        <v>0.17060785219931002</v>
      </c>
      <c r="E903">
        <v>597.96</v>
      </c>
      <c r="F903">
        <v>-584.08000000000004</v>
      </c>
      <c r="G903">
        <v>-350.87</v>
      </c>
      <c r="H903">
        <v>4.3999999999999997E-2</v>
      </c>
      <c r="I903">
        <v>0.4919</v>
      </c>
      <c r="J903">
        <v>0.11467056853942496</v>
      </c>
      <c r="K903">
        <v>-0.1120088060614545</v>
      </c>
      <c r="L903">
        <v>-6.7286210421145284E-2</v>
      </c>
      <c r="M903">
        <v>5.0455050157346979E-3</v>
      </c>
      <c r="N903">
        <v>-4.9283874667039977E-3</v>
      </c>
      <c r="O903">
        <v>-2.9605932585303925E-3</v>
      </c>
      <c r="P903">
        <v>5.6406452664543139E-2</v>
      </c>
      <c r="Q903">
        <v>-5.509713170162947E-2</v>
      </c>
      <c r="R903">
        <v>-3.3098086906161367E-2</v>
      </c>
    </row>
    <row r="904" spans="1:18">
      <c r="A904" t="s">
        <v>197</v>
      </c>
      <c r="B904">
        <v>2019</v>
      </c>
      <c r="C904">
        <v>-2.0118815811152944</v>
      </c>
      <c r="D904">
        <v>0.45475260496083109</v>
      </c>
      <c r="E904">
        <v>1487.58</v>
      </c>
      <c r="F904">
        <v>-1948.95</v>
      </c>
      <c r="G904">
        <v>458.62</v>
      </c>
      <c r="H904">
        <v>0.13300000000000001</v>
      </c>
      <c r="I904">
        <v>6.3E-2</v>
      </c>
      <c r="J904">
        <v>0.18146043704301876</v>
      </c>
      <c r="K904">
        <v>-0.23774003332593299</v>
      </c>
      <c r="L904">
        <v>5.5944141247307212E-2</v>
      </c>
      <c r="M904">
        <v>2.4134238126721497E-2</v>
      </c>
      <c r="N904">
        <v>-3.1619424432349087E-2</v>
      </c>
      <c r="O904">
        <v>7.4405707858918599E-3</v>
      </c>
      <c r="P904">
        <v>1.1432007533710181E-2</v>
      </c>
      <c r="Q904">
        <v>-1.4977622099533778E-2</v>
      </c>
      <c r="R904">
        <v>3.5244808985803542E-3</v>
      </c>
    </row>
    <row r="905" spans="1:18">
      <c r="A905" t="s">
        <v>197</v>
      </c>
      <c r="B905">
        <v>2020</v>
      </c>
      <c r="C905">
        <v>-3.3370549614793026</v>
      </c>
      <c r="D905">
        <v>0.24448047693920336</v>
      </c>
      <c r="E905">
        <v>-1197.1500000000001</v>
      </c>
      <c r="F905">
        <v>-1840.32</v>
      </c>
      <c r="G905">
        <v>3552.47</v>
      </c>
      <c r="H905">
        <v>0.13300000000000001</v>
      </c>
      <c r="I905">
        <v>6.3E-2</v>
      </c>
      <c r="J905">
        <v>-0.1089300532844165</v>
      </c>
      <c r="K905">
        <v>-0.16745283018867924</v>
      </c>
      <c r="L905">
        <v>0.32324332488935476</v>
      </c>
      <c r="M905">
        <v>-1.4487697086827395E-2</v>
      </c>
      <c r="N905">
        <v>-2.2271226415094339E-2</v>
      </c>
      <c r="O905">
        <v>4.2991362210284184E-2</v>
      </c>
      <c r="P905">
        <v>-6.8625933569182399E-3</v>
      </c>
      <c r="Q905">
        <v>-1.0549528301886792E-2</v>
      </c>
      <c r="R905">
        <v>2.0364329468029348E-2</v>
      </c>
    </row>
    <row r="906" spans="1:18">
      <c r="A906" t="s">
        <v>197</v>
      </c>
      <c r="B906">
        <v>2021</v>
      </c>
      <c r="C906">
        <v>-3.6704459003351735</v>
      </c>
      <c r="D906">
        <v>0.15117179036861533</v>
      </c>
      <c r="E906">
        <v>61.79</v>
      </c>
      <c r="F906">
        <v>-1519.4</v>
      </c>
      <c r="G906">
        <v>2137.08</v>
      </c>
      <c r="H906">
        <v>4.24E-2</v>
      </c>
      <c r="I906">
        <v>3.4500000000000003E-2</v>
      </c>
      <c r="J906">
        <v>4.3045644824316782E-3</v>
      </c>
      <c r="K906">
        <v>-0.10584811902584063</v>
      </c>
      <c r="L906">
        <v>0.14887843767786196</v>
      </c>
      <c r="M906">
        <v>1.8251353405510315E-4</v>
      </c>
      <c r="N906">
        <v>-4.4879602466956423E-3</v>
      </c>
      <c r="O906">
        <v>6.3124457575413472E-3</v>
      </c>
      <c r="P906">
        <v>1.4850747464389291E-4</v>
      </c>
      <c r="Q906">
        <v>-3.6517601063915019E-3</v>
      </c>
      <c r="R906">
        <v>5.1363060998862384E-3</v>
      </c>
    </row>
    <row r="907" spans="1:18">
      <c r="A907" t="s">
        <v>198</v>
      </c>
      <c r="B907">
        <v>2017</v>
      </c>
      <c r="C907">
        <v>-3.4148973215002942</v>
      </c>
      <c r="D907">
        <v>0.24669261615532062</v>
      </c>
      <c r="E907">
        <v>243.23</v>
      </c>
      <c r="F907">
        <v>-67.319999999999993</v>
      </c>
      <c r="G907">
        <v>-76.75</v>
      </c>
      <c r="H907">
        <v>0.14610000000000001</v>
      </c>
      <c r="I907">
        <v>2.0999999999999999E-3</v>
      </c>
      <c r="J907">
        <v>0.28602843468137396</v>
      </c>
      <c r="K907">
        <v>-7.9165539706245514E-2</v>
      </c>
      <c r="L907">
        <v>-9.0254830250361601E-2</v>
      </c>
      <c r="M907">
        <v>4.1788754306948735E-2</v>
      </c>
      <c r="N907">
        <v>-1.1566085351082471E-2</v>
      </c>
      <c r="O907">
        <v>-1.318623069957783E-2</v>
      </c>
      <c r="P907">
        <v>6.0065971283088527E-4</v>
      </c>
      <c r="Q907">
        <v>-1.6624763338311558E-4</v>
      </c>
      <c r="R907">
        <v>-1.8953514352575935E-4</v>
      </c>
    </row>
    <row r="908" spans="1:18">
      <c r="A908" t="s">
        <v>198</v>
      </c>
      <c r="B908">
        <v>2018</v>
      </c>
      <c r="C908">
        <v>-3.0720168946824935</v>
      </c>
      <c r="D908">
        <v>0.29747530186608129</v>
      </c>
      <c r="E908">
        <v>94.9</v>
      </c>
      <c r="F908">
        <v>-99.8</v>
      </c>
      <c r="G908">
        <v>-15.35</v>
      </c>
      <c r="H908">
        <v>0.13700000000000001</v>
      </c>
      <c r="I908">
        <v>2.0999999999999999E-3</v>
      </c>
      <c r="J908">
        <v>9.7356299434738461E-2</v>
      </c>
      <c r="K908">
        <v>-0.10238312627594201</v>
      </c>
      <c r="L908">
        <v>-1.5747304492341782E-2</v>
      </c>
      <c r="M908">
        <v>1.333781302255917E-2</v>
      </c>
      <c r="N908">
        <v>-1.4026488299804057E-2</v>
      </c>
      <c r="O908">
        <v>-2.1573807154508244E-3</v>
      </c>
      <c r="P908">
        <v>2.0444822881295074E-4</v>
      </c>
      <c r="Q908">
        <v>-2.150045651794782E-4</v>
      </c>
      <c r="R908">
        <v>-3.3069339433917739E-5</v>
      </c>
    </row>
    <row r="909" spans="1:18">
      <c r="A909" t="s">
        <v>198</v>
      </c>
      <c r="B909">
        <v>2019</v>
      </c>
      <c r="C909">
        <v>-3.1856255974093872</v>
      </c>
      <c r="D909">
        <v>0.27120681397729302</v>
      </c>
      <c r="E909">
        <v>167.09</v>
      </c>
      <c r="F909">
        <v>-101.63</v>
      </c>
      <c r="G909">
        <v>-50.9</v>
      </c>
      <c r="H909">
        <v>0.14000000000000001</v>
      </c>
      <c r="I909">
        <v>1.8E-3</v>
      </c>
      <c r="J909">
        <v>0.15691117225576834</v>
      </c>
      <c r="K909">
        <v>-9.5438879863269696E-2</v>
      </c>
      <c r="L909">
        <v>-4.7799261881732044E-2</v>
      </c>
      <c r="M909">
        <v>2.196756411580757E-2</v>
      </c>
      <c r="N909">
        <v>-1.3361443180857758E-2</v>
      </c>
      <c r="O909">
        <v>-6.6918966634424868E-3</v>
      </c>
      <c r="P909">
        <v>2.8244011006038302E-4</v>
      </c>
      <c r="Q909">
        <v>-1.7178998375388545E-4</v>
      </c>
      <c r="R909">
        <v>-8.6038671387117673E-5</v>
      </c>
    </row>
    <row r="910" spans="1:18">
      <c r="A910" t="s">
        <v>198</v>
      </c>
      <c r="B910">
        <v>2020</v>
      </c>
      <c r="C910">
        <v>-2.9111485091066762</v>
      </c>
      <c r="D910">
        <v>0.32838777660695467</v>
      </c>
      <c r="E910">
        <v>102.09</v>
      </c>
      <c r="F910">
        <v>-81.36</v>
      </c>
      <c r="G910">
        <v>-108.89</v>
      </c>
      <c r="H910">
        <v>9.1399999999999995E-2</v>
      </c>
      <c r="I910">
        <v>0</v>
      </c>
      <c r="J910">
        <v>0.1075763962065332</v>
      </c>
      <c r="K910">
        <v>-8.5732349841938879E-2</v>
      </c>
      <c r="L910">
        <v>-0.11474183350895679</v>
      </c>
      <c r="M910">
        <v>9.832482613277134E-3</v>
      </c>
      <c r="N910">
        <v>-7.8359367755532136E-3</v>
      </c>
      <c r="O910">
        <v>-1.048740358271865E-2</v>
      </c>
      <c r="P910">
        <v>0</v>
      </c>
      <c r="Q910">
        <v>0</v>
      </c>
      <c r="R910">
        <v>0</v>
      </c>
    </row>
    <row r="911" spans="1:18">
      <c r="A911" t="s">
        <v>198</v>
      </c>
      <c r="B911">
        <v>2021</v>
      </c>
      <c r="C911">
        <v>-2.9014254177050729</v>
      </c>
      <c r="D911">
        <v>0.34743307974077203</v>
      </c>
      <c r="E911">
        <v>-19.309999999999999</v>
      </c>
      <c r="F911">
        <v>74.739999999999995</v>
      </c>
      <c r="G911">
        <v>-81.84</v>
      </c>
      <c r="H911">
        <v>3.8800000000000001E-2</v>
      </c>
      <c r="I911">
        <v>0</v>
      </c>
      <c r="J911">
        <v>-2.1763877148492532E-2</v>
      </c>
      <c r="K911">
        <v>8.4237813468582695E-2</v>
      </c>
      <c r="L911">
        <v>-9.2240067624683009E-2</v>
      </c>
      <c r="M911">
        <v>-8.4443843336151029E-4</v>
      </c>
      <c r="N911">
        <v>3.2684271625810085E-3</v>
      </c>
      <c r="O911">
        <v>-3.578914623837701E-3</v>
      </c>
      <c r="P911">
        <v>0</v>
      </c>
      <c r="Q911">
        <v>0</v>
      </c>
      <c r="R911">
        <v>0</v>
      </c>
    </row>
    <row r="912" spans="1:18">
      <c r="A912" t="s">
        <v>199</v>
      </c>
      <c r="B912">
        <v>2017</v>
      </c>
      <c r="C912">
        <v>-0.90185896621279582</v>
      </c>
      <c r="D912">
        <v>0.6469568884291258</v>
      </c>
      <c r="E912">
        <v>285.93</v>
      </c>
      <c r="F912">
        <v>-120.81</v>
      </c>
      <c r="G912">
        <v>-130.99</v>
      </c>
      <c r="H912">
        <v>0.49</v>
      </c>
      <c r="I912">
        <v>0</v>
      </c>
      <c r="J912">
        <v>9.4199078863272473E-2</v>
      </c>
      <c r="K912">
        <v>-3.9800618044528197E-2</v>
      </c>
      <c r="L912">
        <v>-4.3154399119714831E-2</v>
      </c>
      <c r="M912">
        <v>4.6157548643003511E-2</v>
      </c>
      <c r="N912">
        <v>-1.9502302841818815E-2</v>
      </c>
      <c r="O912">
        <v>-2.1145655568660267E-2</v>
      </c>
      <c r="P912">
        <v>0</v>
      </c>
      <c r="Q912">
        <v>0</v>
      </c>
      <c r="R912">
        <v>0</v>
      </c>
    </row>
    <row r="913" spans="1:18">
      <c r="A913" t="s">
        <v>199</v>
      </c>
      <c r="B913">
        <v>2018</v>
      </c>
      <c r="C913">
        <v>-1.2058071915122193</v>
      </c>
      <c r="D913">
        <v>0.60693862342293514</v>
      </c>
      <c r="E913">
        <v>86.12</v>
      </c>
      <c r="F913">
        <v>79.56</v>
      </c>
      <c r="G913">
        <v>-79.78</v>
      </c>
      <c r="H913">
        <v>0.4884</v>
      </c>
      <c r="I913">
        <v>0</v>
      </c>
      <c r="J913">
        <v>2.6520248942977772E-2</v>
      </c>
      <c r="K913">
        <v>2.4500127797298089E-2</v>
      </c>
      <c r="L913">
        <v>-2.456787576254954E-2</v>
      </c>
      <c r="M913">
        <v>1.2952489583750344E-2</v>
      </c>
      <c r="N913">
        <v>1.1965862416200387E-2</v>
      </c>
      <c r="O913">
        <v>-1.1998950522429195E-2</v>
      </c>
      <c r="P913">
        <v>0</v>
      </c>
      <c r="Q913">
        <v>0</v>
      </c>
      <c r="R913">
        <v>0</v>
      </c>
    </row>
    <row r="914" spans="1:18">
      <c r="A914" t="s">
        <v>199</v>
      </c>
      <c r="B914">
        <v>2019</v>
      </c>
      <c r="C914">
        <v>-1.7182674241495866</v>
      </c>
      <c r="D914">
        <v>0.51236485561790057</v>
      </c>
      <c r="E914">
        <v>526.9</v>
      </c>
      <c r="F914">
        <v>-80.33</v>
      </c>
      <c r="G914">
        <v>-437.68</v>
      </c>
      <c r="H914">
        <v>0.48580000000000001</v>
      </c>
      <c r="I914">
        <v>0</v>
      </c>
      <c r="J914">
        <v>0.1802723415902559</v>
      </c>
      <c r="K914">
        <v>-2.7483919529218557E-2</v>
      </c>
      <c r="L914">
        <v>-0.14974681811961132</v>
      </c>
      <c r="M914">
        <v>8.7576303544546319E-2</v>
      </c>
      <c r="N914">
        <v>-1.3351688107294375E-2</v>
      </c>
      <c r="O914">
        <v>-7.2747004242507185E-2</v>
      </c>
      <c r="P914">
        <v>0</v>
      </c>
      <c r="Q914">
        <v>0</v>
      </c>
      <c r="R914">
        <v>0</v>
      </c>
    </row>
    <row r="915" spans="1:18">
      <c r="A915" t="s">
        <v>199</v>
      </c>
      <c r="B915">
        <v>2020</v>
      </c>
      <c r="C915">
        <v>-2.1615582331148109</v>
      </c>
      <c r="D915">
        <v>0.44942918002163673</v>
      </c>
      <c r="E915">
        <v>386.66</v>
      </c>
      <c r="F915">
        <v>-33.78</v>
      </c>
      <c r="G915">
        <v>-290.08</v>
      </c>
      <c r="H915">
        <v>0.44529999999999997</v>
      </c>
      <c r="I915">
        <v>0</v>
      </c>
      <c r="J915">
        <v>0.12990774151497436</v>
      </c>
      <c r="K915">
        <v>-1.1349204749329732E-2</v>
      </c>
      <c r="L915">
        <v>-9.7459363933853418E-2</v>
      </c>
      <c r="M915">
        <v>5.7847917296618083E-2</v>
      </c>
      <c r="N915">
        <v>-5.0538008748765295E-3</v>
      </c>
      <c r="O915">
        <v>-4.3398654759744922E-2</v>
      </c>
      <c r="P915">
        <v>0</v>
      </c>
      <c r="Q915">
        <v>0</v>
      </c>
      <c r="R915">
        <v>0</v>
      </c>
    </row>
    <row r="916" spans="1:18">
      <c r="A916" t="s">
        <v>199</v>
      </c>
      <c r="B916">
        <v>2021</v>
      </c>
      <c r="C916">
        <v>-1.4849877635534596</v>
      </c>
      <c r="D916">
        <v>0.52624924093068137</v>
      </c>
      <c r="E916">
        <v>-89.27</v>
      </c>
      <c r="F916">
        <v>-116.76</v>
      </c>
      <c r="G916">
        <v>188.61</v>
      </c>
      <c r="H916">
        <v>0.46179999999999999</v>
      </c>
      <c r="I916">
        <v>7.0000000000000001E-3</v>
      </c>
      <c r="J916">
        <v>-2.4753285141096776E-2</v>
      </c>
      <c r="K916">
        <v>-3.2375866170880022E-2</v>
      </c>
      <c r="L916">
        <v>5.2298836232354241E-2</v>
      </c>
      <c r="M916">
        <v>-1.1431067078158491E-2</v>
      </c>
      <c r="N916">
        <v>-1.4951174997712393E-2</v>
      </c>
      <c r="O916">
        <v>2.4151602572101187E-2</v>
      </c>
      <c r="P916">
        <v>-1.7327299598767743E-4</v>
      </c>
      <c r="Q916">
        <v>-2.2663106319616014E-4</v>
      </c>
      <c r="R916">
        <v>3.660918536264797E-4</v>
      </c>
    </row>
    <row r="917" spans="1:18">
      <c r="A917" t="s">
        <v>200</v>
      </c>
      <c r="B917">
        <v>2017</v>
      </c>
      <c r="C917">
        <v>-4.1710794855894848</v>
      </c>
      <c r="D917">
        <v>8.8213778561900255E-2</v>
      </c>
      <c r="E917">
        <v>35.85</v>
      </c>
      <c r="F917">
        <v>-3.16</v>
      </c>
      <c r="G917">
        <v>-25.85</v>
      </c>
      <c r="H917">
        <v>2.69E-2</v>
      </c>
      <c r="I917">
        <v>5.3499999999999999E-2</v>
      </c>
      <c r="J917">
        <v>0.15426653470459142</v>
      </c>
      <c r="K917">
        <v>-1.3597831231980724E-2</v>
      </c>
      <c r="L917">
        <v>-0.11123542321098155</v>
      </c>
      <c r="M917">
        <v>4.1497697835535096E-3</v>
      </c>
      <c r="N917">
        <v>-3.657816601402815E-4</v>
      </c>
      <c r="O917">
        <v>-2.9922328843754037E-3</v>
      </c>
      <c r="P917">
        <v>8.2532596066956405E-3</v>
      </c>
      <c r="Q917">
        <v>-7.2748397091096872E-4</v>
      </c>
      <c r="R917">
        <v>-5.9510951417875132E-3</v>
      </c>
    </row>
    <row r="918" spans="1:18">
      <c r="A918" t="s">
        <v>200</v>
      </c>
      <c r="B918">
        <v>2018</v>
      </c>
      <c r="C918">
        <v>-4.1778834805796938</v>
      </c>
      <c r="D918">
        <v>7.9270446917505732E-2</v>
      </c>
      <c r="E918">
        <v>24.07</v>
      </c>
      <c r="F918">
        <v>-1.69</v>
      </c>
      <c r="G918">
        <v>-17.53</v>
      </c>
      <c r="H918">
        <v>3.3599999999999998E-2</v>
      </c>
      <c r="I918">
        <v>8.9999999999999998E-4</v>
      </c>
      <c r="J918">
        <v>0.10629747394453277</v>
      </c>
      <c r="K918">
        <v>-7.4633456986398158E-3</v>
      </c>
      <c r="L918">
        <v>-7.7415650945062711E-2</v>
      </c>
      <c r="M918">
        <v>3.5715951245363009E-3</v>
      </c>
      <c r="N918">
        <v>-2.5076841547429782E-4</v>
      </c>
      <c r="O918">
        <v>-2.6011658717541067E-3</v>
      </c>
      <c r="P918">
        <v>9.5667726550079489E-5</v>
      </c>
      <c r="Q918">
        <v>-6.7170111287758338E-6</v>
      </c>
      <c r="R918">
        <v>-6.9674085850556438E-5</v>
      </c>
    </row>
    <row r="919" spans="1:18">
      <c r="A919" t="s">
        <v>200</v>
      </c>
      <c r="B919">
        <v>2019</v>
      </c>
      <c r="C919">
        <v>-4.1819282035102106</v>
      </c>
      <c r="D919">
        <v>8.594407556345271E-2</v>
      </c>
      <c r="E919">
        <v>27.53</v>
      </c>
      <c r="F919">
        <v>-54.88</v>
      </c>
      <c r="G919">
        <v>-28.12</v>
      </c>
      <c r="H919">
        <v>2.9499999999999998E-2</v>
      </c>
      <c r="I919">
        <v>8.9999999999999998E-4</v>
      </c>
      <c r="J919">
        <v>0.1287290750958571</v>
      </c>
      <c r="K919">
        <v>-0.25661647806976529</v>
      </c>
      <c r="L919">
        <v>-0.13148788927335639</v>
      </c>
      <c r="M919">
        <v>3.7975077153277843E-3</v>
      </c>
      <c r="N919">
        <v>-7.5701861030580755E-3</v>
      </c>
      <c r="O919">
        <v>-3.8788927335640135E-3</v>
      </c>
      <c r="P919">
        <v>1.1585616758627138E-4</v>
      </c>
      <c r="Q919">
        <v>-2.3095483026278876E-4</v>
      </c>
      <c r="R919">
        <v>-1.1833910034602075E-4</v>
      </c>
    </row>
    <row r="920" spans="1:18">
      <c r="A920" t="s">
        <v>200</v>
      </c>
      <c r="B920">
        <v>2020</v>
      </c>
      <c r="C920">
        <v>-4.1701443241895424</v>
      </c>
      <c r="D920">
        <v>9.1527884920814997E-2</v>
      </c>
      <c r="E920">
        <v>10.7</v>
      </c>
      <c r="F920">
        <v>47.31</v>
      </c>
      <c r="G920">
        <v>-15</v>
      </c>
      <c r="H920">
        <v>3.1800000000000002E-2</v>
      </c>
      <c r="I920">
        <v>8.9999999999999998E-4</v>
      </c>
      <c r="J920">
        <v>4.855470345328311E-2</v>
      </c>
      <c r="K920">
        <v>0.21468439442755366</v>
      </c>
      <c r="L920">
        <v>-6.8067341289649225E-2</v>
      </c>
      <c r="M920">
        <v>1.544039569814403E-3</v>
      </c>
      <c r="N920">
        <v>6.8269637427962066E-3</v>
      </c>
      <c r="O920">
        <v>-2.1645414530108453E-3</v>
      </c>
      <c r="P920">
        <v>4.3699233107954797E-5</v>
      </c>
      <c r="Q920">
        <v>1.932159549847983E-4</v>
      </c>
      <c r="R920">
        <v>-6.1260607160684298E-5</v>
      </c>
    </row>
    <row r="921" spans="1:18">
      <c r="A921" t="s">
        <v>200</v>
      </c>
      <c r="B921">
        <v>2021</v>
      </c>
      <c r="C921">
        <v>-3.85745858820481</v>
      </c>
      <c r="D921">
        <v>0.17945118398050536</v>
      </c>
      <c r="E921">
        <v>-95.16</v>
      </c>
      <c r="F921">
        <v>-4.97</v>
      </c>
      <c r="G921">
        <v>44.86</v>
      </c>
      <c r="H921">
        <v>2.3199999999999998E-2</v>
      </c>
      <c r="I921">
        <v>2.9999999999999997E-4</v>
      </c>
      <c r="J921">
        <v>-0.2520527626211792</v>
      </c>
      <c r="K921">
        <v>-1.316416803517508E-2</v>
      </c>
      <c r="L921">
        <v>0.11882184669174127</v>
      </c>
      <c r="M921">
        <v>-5.8476240928113567E-3</v>
      </c>
      <c r="N921">
        <v>-3.0540869841606181E-4</v>
      </c>
      <c r="O921">
        <v>2.7566668432483974E-3</v>
      </c>
      <c r="P921">
        <v>-7.5615828786353755E-5</v>
      </c>
      <c r="Q921">
        <v>-3.9492504105525238E-6</v>
      </c>
      <c r="R921">
        <v>3.5646554007522377E-5</v>
      </c>
    </row>
    <row r="922" spans="1:18">
      <c r="A922" t="s">
        <v>201</v>
      </c>
      <c r="B922">
        <v>2017</v>
      </c>
      <c r="C922">
        <v>-5.4444420020583149</v>
      </c>
      <c r="D922">
        <v>3.963486920098E-2</v>
      </c>
      <c r="E922">
        <v>105.52</v>
      </c>
      <c r="F922">
        <v>-2.98</v>
      </c>
      <c r="G922">
        <v>-70.33</v>
      </c>
      <c r="H922">
        <v>0.1686</v>
      </c>
      <c r="I922">
        <v>0</v>
      </c>
      <c r="J922">
        <v>0.41697621117521533</v>
      </c>
      <c r="K922">
        <v>-1.177586343159725E-2</v>
      </c>
      <c r="L922">
        <v>-0.27791828024974313</v>
      </c>
      <c r="M922">
        <v>7.0302189204141302E-2</v>
      </c>
      <c r="N922">
        <v>-1.9854105745672965E-3</v>
      </c>
      <c r="O922">
        <v>-4.6857022050106695E-2</v>
      </c>
      <c r="P922">
        <v>0</v>
      </c>
      <c r="Q922">
        <v>0</v>
      </c>
      <c r="R922">
        <v>0</v>
      </c>
    </row>
    <row r="923" spans="1:18">
      <c r="A923" t="s">
        <v>201</v>
      </c>
      <c r="B923">
        <v>2018</v>
      </c>
      <c r="C923">
        <v>-5.2084342396326617</v>
      </c>
      <c r="D923">
        <v>2.9519472661847596E-2</v>
      </c>
      <c r="E923">
        <v>110.58</v>
      </c>
      <c r="F923">
        <v>-68.510000000000005</v>
      </c>
      <c r="G923">
        <v>-3.84</v>
      </c>
      <c r="H923">
        <v>0.17960000000000001</v>
      </c>
      <c r="I923">
        <v>0</v>
      </c>
      <c r="J923">
        <v>0.35213196191446677</v>
      </c>
      <c r="K923">
        <v>-0.21816386969397833</v>
      </c>
      <c r="L923">
        <v>-1.222813107027991E-2</v>
      </c>
      <c r="M923">
        <v>6.3242900359838233E-2</v>
      </c>
      <c r="N923">
        <v>-3.9182230997038513E-2</v>
      </c>
      <c r="O923">
        <v>-2.1961723402222719E-3</v>
      </c>
      <c r="P923">
        <v>0</v>
      </c>
      <c r="Q923">
        <v>0</v>
      </c>
      <c r="R923">
        <v>0</v>
      </c>
    </row>
    <row r="924" spans="1:18">
      <c r="A924" t="s">
        <v>201</v>
      </c>
      <c r="B924">
        <v>2019</v>
      </c>
      <c r="C924">
        <v>-4.8291899574760606</v>
      </c>
      <c r="D924">
        <v>6.0061936325111372E-2</v>
      </c>
      <c r="E924">
        <v>88.32</v>
      </c>
      <c r="F924">
        <v>-107.78</v>
      </c>
      <c r="G924">
        <v>-25.58</v>
      </c>
      <c r="H924">
        <v>0.1968</v>
      </c>
      <c r="I924">
        <v>0</v>
      </c>
      <c r="J924">
        <v>0.23992176464196455</v>
      </c>
      <c r="K924">
        <v>-0.2927849614256221</v>
      </c>
      <c r="L924">
        <v>-6.9488210366184938E-2</v>
      </c>
      <c r="M924">
        <v>4.7216603281538622E-2</v>
      </c>
      <c r="N924">
        <v>-5.7620080408562431E-2</v>
      </c>
      <c r="O924">
        <v>-1.3675279800065197E-2</v>
      </c>
      <c r="P924">
        <v>0</v>
      </c>
      <c r="Q924">
        <v>0</v>
      </c>
      <c r="R924">
        <v>0</v>
      </c>
    </row>
    <row r="925" spans="1:18">
      <c r="A925" t="s">
        <v>201</v>
      </c>
      <c r="B925">
        <v>2020</v>
      </c>
      <c r="C925">
        <v>-3.9357408226696302</v>
      </c>
      <c r="D925">
        <v>7.35190029235267E-2</v>
      </c>
      <c r="E925">
        <v>7.84</v>
      </c>
      <c r="F925">
        <v>-1.17</v>
      </c>
      <c r="G925">
        <v>-19.18</v>
      </c>
      <c r="H925">
        <v>0.12379999999999999</v>
      </c>
      <c r="I925">
        <v>0</v>
      </c>
      <c r="J925">
        <v>2.4126788736728726E-2</v>
      </c>
      <c r="K925">
        <v>-3.6005539313740576E-3</v>
      </c>
      <c r="L925">
        <v>-5.9024465302354209E-2</v>
      </c>
      <c r="M925">
        <v>2.9868964456070163E-3</v>
      </c>
      <c r="N925">
        <v>-4.4574857670410828E-4</v>
      </c>
      <c r="O925">
        <v>-7.307228804431451E-3</v>
      </c>
      <c r="P925">
        <v>0</v>
      </c>
      <c r="Q925">
        <v>0</v>
      </c>
      <c r="R925">
        <v>0</v>
      </c>
    </row>
    <row r="926" spans="1:18">
      <c r="A926" t="s">
        <v>201</v>
      </c>
      <c r="B926">
        <v>2021</v>
      </c>
      <c r="C926">
        <v>-4.2117974202755457</v>
      </c>
      <c r="D926">
        <v>3.7359778897740205E-2</v>
      </c>
      <c r="E926">
        <v>4.4400000000000004</v>
      </c>
      <c r="F926">
        <v>24.27</v>
      </c>
      <c r="G926">
        <v>-6.39</v>
      </c>
      <c r="H926">
        <v>0.16239999999999999</v>
      </c>
      <c r="I926">
        <v>0</v>
      </c>
      <c r="J926">
        <v>1.4436676963095432E-2</v>
      </c>
      <c r="K926">
        <v>7.8913997723947318E-2</v>
      </c>
      <c r="L926">
        <v>-2.077710941310356E-2</v>
      </c>
      <c r="M926">
        <v>2.344516338806698E-3</v>
      </c>
      <c r="N926">
        <v>1.2815633230369043E-2</v>
      </c>
      <c r="O926">
        <v>-3.3742025686880179E-3</v>
      </c>
      <c r="P926">
        <v>0</v>
      </c>
      <c r="Q926">
        <v>0</v>
      </c>
      <c r="R926">
        <v>0</v>
      </c>
    </row>
    <row r="927" spans="1:18">
      <c r="A927" t="s">
        <v>202</v>
      </c>
      <c r="B927">
        <v>2017</v>
      </c>
      <c r="C927">
        <v>-2.8753255450285642</v>
      </c>
      <c r="D927">
        <v>0.33526630715815908</v>
      </c>
      <c r="E927">
        <v>-6.66</v>
      </c>
      <c r="F927">
        <v>-0.33</v>
      </c>
      <c r="G927">
        <v>7.64</v>
      </c>
      <c r="H927">
        <v>1.54E-2</v>
      </c>
      <c r="I927">
        <v>3.8E-3</v>
      </c>
      <c r="J927">
        <v>-2.4599246509566373E-2</v>
      </c>
      <c r="K927">
        <v>-1.2188815838073427E-3</v>
      </c>
      <c r="L927">
        <v>2.8218955455418481E-2</v>
      </c>
      <c r="M927">
        <v>-3.7882839624732217E-4</v>
      </c>
      <c r="N927">
        <v>-1.877077639063308E-5</v>
      </c>
      <c r="O927">
        <v>4.345719140134446E-4</v>
      </c>
      <c r="P927">
        <v>-9.3477136736352221E-5</v>
      </c>
      <c r="Q927">
        <v>-4.6317500184679027E-6</v>
      </c>
      <c r="R927">
        <v>1.0723203073059022E-4</v>
      </c>
    </row>
    <row r="928" spans="1:18">
      <c r="A928" t="s">
        <v>202</v>
      </c>
      <c r="B928">
        <v>2018</v>
      </c>
      <c r="C928">
        <v>-2.0429596369639875</v>
      </c>
      <c r="D928">
        <v>0.4301210824122666</v>
      </c>
      <c r="E928">
        <v>-8.27</v>
      </c>
      <c r="F928">
        <v>0.12</v>
      </c>
      <c r="G928">
        <v>6.7</v>
      </c>
      <c r="H928">
        <v>1.95E-2</v>
      </c>
      <c r="I928">
        <v>0</v>
      </c>
      <c r="J928">
        <v>-2.4245800228678647E-2</v>
      </c>
      <c r="K928">
        <v>3.5181330440646165E-4</v>
      </c>
      <c r="L928">
        <v>1.9642909496027445E-2</v>
      </c>
      <c r="M928">
        <v>-4.7279310445923363E-4</v>
      </c>
      <c r="N928">
        <v>6.8603594359260026E-6</v>
      </c>
      <c r="O928">
        <v>3.8303673517253516E-4</v>
      </c>
      <c r="P928">
        <v>0</v>
      </c>
      <c r="Q928">
        <v>0</v>
      </c>
      <c r="R928">
        <v>0</v>
      </c>
    </row>
    <row r="929" spans="1:18">
      <c r="A929" t="s">
        <v>202</v>
      </c>
      <c r="B929">
        <v>2019</v>
      </c>
      <c r="C929">
        <v>-1.1916349405995861</v>
      </c>
      <c r="D929">
        <v>0.552648819609172</v>
      </c>
      <c r="E929">
        <v>-56.28</v>
      </c>
      <c r="F929">
        <v>-33.61</v>
      </c>
      <c r="G929">
        <v>85.22</v>
      </c>
      <c r="H929">
        <v>2.76E-2</v>
      </c>
      <c r="I929">
        <v>0.113</v>
      </c>
      <c r="J929">
        <v>-0.12714334124025756</v>
      </c>
      <c r="K929">
        <v>-7.5929063594261839E-2</v>
      </c>
      <c r="L929">
        <v>0.1925223088218683</v>
      </c>
      <c r="M929">
        <v>-3.5091562182311084E-3</v>
      </c>
      <c r="N929">
        <v>-2.0956421552016267E-3</v>
      </c>
      <c r="O929">
        <v>5.3136157234835646E-3</v>
      </c>
      <c r="P929">
        <v>-1.4367197560149104E-2</v>
      </c>
      <c r="Q929">
        <v>-8.5799841861515878E-3</v>
      </c>
      <c r="R929">
        <v>2.1755020896871119E-2</v>
      </c>
    </row>
    <row r="930" spans="1:18">
      <c r="A930" t="s">
        <v>202</v>
      </c>
      <c r="B930">
        <v>2020</v>
      </c>
      <c r="C930">
        <v>-1.1591114008658776</v>
      </c>
      <c r="D930">
        <v>0.55275544445195146</v>
      </c>
      <c r="E930">
        <v>-19.260000000000002</v>
      </c>
      <c r="F930">
        <v>-8.0500000000000007</v>
      </c>
      <c r="G930">
        <v>23.46</v>
      </c>
      <c r="H930">
        <v>1.7399999999999999E-2</v>
      </c>
      <c r="I930">
        <v>0.1011</v>
      </c>
      <c r="J930">
        <v>-4.3375447604891565E-2</v>
      </c>
      <c r="K930">
        <v>-1.8129405670788013E-2</v>
      </c>
      <c r="L930">
        <v>5.2834267954867918E-2</v>
      </c>
      <c r="M930">
        <v>-7.5473278832511312E-4</v>
      </c>
      <c r="N930">
        <v>-3.1545165867171142E-4</v>
      </c>
      <c r="O930">
        <v>9.1931626241470172E-4</v>
      </c>
      <c r="P930">
        <v>-4.3852577528545374E-3</v>
      </c>
      <c r="Q930">
        <v>-1.832882913316668E-3</v>
      </c>
      <c r="R930">
        <v>5.3415444902371462E-3</v>
      </c>
    </row>
    <row r="931" spans="1:18">
      <c r="A931" t="s">
        <v>202</v>
      </c>
      <c r="B931">
        <v>2021</v>
      </c>
      <c r="C931">
        <v>-0.8680368038954458</v>
      </c>
      <c r="D931">
        <v>0.62453792112685935</v>
      </c>
      <c r="E931">
        <v>-12.09</v>
      </c>
      <c r="F931">
        <v>0.01</v>
      </c>
      <c r="G931">
        <v>17.72</v>
      </c>
      <c r="H931">
        <v>2.41E-2</v>
      </c>
      <c r="I931">
        <v>0.10009999999999999</v>
      </c>
      <c r="J931">
        <v>-2.1181169957427425E-2</v>
      </c>
      <c r="K931">
        <v>1.7519578128558667E-5</v>
      </c>
      <c r="L931">
        <v>3.1044692443805953E-2</v>
      </c>
      <c r="M931">
        <v>-5.1046619597400092E-4</v>
      </c>
      <c r="N931">
        <v>4.2222183289826389E-7</v>
      </c>
      <c r="O931">
        <v>7.481770878957234E-4</v>
      </c>
      <c r="P931">
        <v>-2.120235112738485E-3</v>
      </c>
      <c r="Q931">
        <v>1.7537097706687225E-6</v>
      </c>
      <c r="R931">
        <v>3.1075737136249757E-3</v>
      </c>
    </row>
    <row r="932" spans="1:18">
      <c r="A932" t="s">
        <v>203</v>
      </c>
      <c r="B932">
        <v>2017</v>
      </c>
      <c r="C932">
        <v>-0.81524289560880658</v>
      </c>
      <c r="D932">
        <v>0.64063887709001033</v>
      </c>
      <c r="E932">
        <v>142.94999999999999</v>
      </c>
      <c r="F932">
        <v>-315.83</v>
      </c>
      <c r="G932">
        <v>482.23</v>
      </c>
      <c r="H932">
        <v>0.46650000000000003</v>
      </c>
      <c r="I932">
        <v>1.44E-2</v>
      </c>
      <c r="J932">
        <v>6.8999304938795983E-2</v>
      </c>
      <c r="K932">
        <v>-0.15244526393018493</v>
      </c>
      <c r="L932">
        <v>0.23276344750357184</v>
      </c>
      <c r="M932">
        <v>3.2188175753948327E-2</v>
      </c>
      <c r="N932">
        <v>-7.1115715623431275E-2</v>
      </c>
      <c r="O932">
        <v>0.10858414826041626</v>
      </c>
      <c r="P932">
        <v>9.935899911186622E-4</v>
      </c>
      <c r="Q932">
        <v>-2.1952118005946629E-3</v>
      </c>
      <c r="R932">
        <v>3.3517936440514342E-3</v>
      </c>
    </row>
    <row r="933" spans="1:18">
      <c r="A933" t="s">
        <v>203</v>
      </c>
      <c r="B933">
        <v>2018</v>
      </c>
      <c r="C933">
        <v>-2.6154173567928294</v>
      </c>
      <c r="D933">
        <v>0.37981422555768679</v>
      </c>
      <c r="E933">
        <v>160.76</v>
      </c>
      <c r="F933">
        <v>-14.03</v>
      </c>
      <c r="G933">
        <v>-417.29</v>
      </c>
      <c r="H933">
        <v>0.3478</v>
      </c>
      <c r="I933">
        <v>1.5599999999999999E-2</v>
      </c>
      <c r="J933">
        <v>8.9900961307243635E-2</v>
      </c>
      <c r="K933">
        <v>-7.8459224131663848E-3</v>
      </c>
      <c r="L933">
        <v>-0.23335887126088392</v>
      </c>
      <c r="M933">
        <v>3.1267554342659334E-2</v>
      </c>
      <c r="N933">
        <v>-2.7288118152992685E-3</v>
      </c>
      <c r="O933">
        <v>-8.116221542453543E-2</v>
      </c>
      <c r="P933">
        <v>1.4024549963930007E-3</v>
      </c>
      <c r="Q933">
        <v>-1.223963896453956E-4</v>
      </c>
      <c r="R933">
        <v>-3.640398391669789E-3</v>
      </c>
    </row>
    <row r="934" spans="1:18">
      <c r="A934" t="s">
        <v>203</v>
      </c>
      <c r="B934">
        <v>2019</v>
      </c>
      <c r="C934">
        <v>-2.8205841754260779</v>
      </c>
      <c r="D934">
        <v>0.3293048788272091</v>
      </c>
      <c r="E934">
        <v>172.84</v>
      </c>
      <c r="F934">
        <v>-283.82</v>
      </c>
      <c r="G934">
        <v>388.62</v>
      </c>
      <c r="H934">
        <v>0.30759999999999998</v>
      </c>
      <c r="I934">
        <v>1.865E-2</v>
      </c>
      <c r="J934">
        <v>7.3550501074490959E-2</v>
      </c>
      <c r="K934">
        <v>-0.1207770378093151</v>
      </c>
      <c r="L934">
        <v>0.16537373135598632</v>
      </c>
      <c r="M934">
        <v>2.2624134130513417E-2</v>
      </c>
      <c r="N934">
        <v>-3.7151016830145323E-2</v>
      </c>
      <c r="O934">
        <v>5.086895976510139E-2</v>
      </c>
      <c r="P934">
        <v>1.3717168450392565E-3</v>
      </c>
      <c r="Q934">
        <v>-2.2524917551437268E-3</v>
      </c>
      <c r="R934">
        <v>3.0842200897891448E-3</v>
      </c>
    </row>
    <row r="935" spans="1:18">
      <c r="A935" t="s">
        <v>203</v>
      </c>
      <c r="B935">
        <v>2020</v>
      </c>
      <c r="C935">
        <v>-2.8937244094351984</v>
      </c>
      <c r="D935">
        <v>0.30442455565359888</v>
      </c>
      <c r="E935">
        <v>252.53</v>
      </c>
      <c r="F935">
        <v>-374.96</v>
      </c>
      <c r="G935">
        <v>-147.33000000000001</v>
      </c>
      <c r="H935">
        <v>5.7000000000000002E-2</v>
      </c>
      <c r="I935">
        <v>3.2210000000000003E-2</v>
      </c>
      <c r="J935">
        <v>0.10610950039917644</v>
      </c>
      <c r="K935">
        <v>-0.15755283835455269</v>
      </c>
      <c r="L935">
        <v>-6.190596243539645E-2</v>
      </c>
      <c r="M935">
        <v>6.0482415227530572E-3</v>
      </c>
      <c r="N935">
        <v>-8.9805117862095038E-3</v>
      </c>
      <c r="O935">
        <v>-3.5286398588175978E-3</v>
      </c>
      <c r="P935">
        <v>3.4177870078574732E-3</v>
      </c>
      <c r="Q935">
        <v>-5.0747769234001424E-3</v>
      </c>
      <c r="R935">
        <v>-1.99399105004412E-3</v>
      </c>
    </row>
    <row r="936" spans="1:18">
      <c r="A936" t="s">
        <v>203</v>
      </c>
      <c r="B936">
        <v>2021</v>
      </c>
      <c r="C936">
        <v>-3.5938735940109874</v>
      </c>
      <c r="D936">
        <v>0.23223840387805417</v>
      </c>
      <c r="E936">
        <v>345.43</v>
      </c>
      <c r="F936">
        <v>-35.68</v>
      </c>
      <c r="G936">
        <v>-276.52999999999997</v>
      </c>
      <c r="H936">
        <v>2.7300000000000001E-2</v>
      </c>
      <c r="I936">
        <v>0.35199999999999998</v>
      </c>
      <c r="J936">
        <v>0.14361023227582079</v>
      </c>
      <c r="K936">
        <v>-1.4833723439195454E-2</v>
      </c>
      <c r="L936">
        <v>-0.11496551408746408</v>
      </c>
      <c r="M936">
        <v>3.9205593411299079E-3</v>
      </c>
      <c r="N936">
        <v>-4.0496064989003594E-4</v>
      </c>
      <c r="O936">
        <v>-3.1385585345877695E-3</v>
      </c>
      <c r="P936">
        <v>5.0550801761088913E-2</v>
      </c>
      <c r="Q936">
        <v>-5.2214706505967993E-3</v>
      </c>
      <c r="R936">
        <v>-4.0467860958787356E-2</v>
      </c>
    </row>
    <row r="937" spans="1:18">
      <c r="A937" t="s">
        <v>204</v>
      </c>
      <c r="B937">
        <v>2017</v>
      </c>
      <c r="C937">
        <v>-1.0010183769919765</v>
      </c>
      <c r="D937">
        <v>0.61947843147941251</v>
      </c>
      <c r="E937">
        <v>84.94</v>
      </c>
      <c r="F937">
        <v>-72.78</v>
      </c>
      <c r="G937">
        <v>7.23</v>
      </c>
      <c r="H937">
        <v>2.4E-2</v>
      </c>
      <c r="I937">
        <v>1E-4</v>
      </c>
      <c r="J937">
        <v>0.23146306237567102</v>
      </c>
      <c r="K937">
        <v>-0.19832683870616125</v>
      </c>
      <c r="L937">
        <v>1.9701882987710168E-2</v>
      </c>
      <c r="M937">
        <v>5.5551134970161049E-3</v>
      </c>
      <c r="N937">
        <v>-4.7598441289478698E-3</v>
      </c>
      <c r="O937">
        <v>4.7284519170504404E-4</v>
      </c>
      <c r="P937">
        <v>2.3146306237567102E-5</v>
      </c>
      <c r="Q937">
        <v>-1.9832683870616124E-5</v>
      </c>
      <c r="R937">
        <v>1.9701882987710167E-6</v>
      </c>
    </row>
    <row r="938" spans="1:18">
      <c r="A938" t="s">
        <v>204</v>
      </c>
      <c r="B938">
        <v>2018</v>
      </c>
      <c r="C938">
        <v>-1.0806323682364347</v>
      </c>
      <c r="D938">
        <v>0.59800062303531476</v>
      </c>
      <c r="E938">
        <v>89.09</v>
      </c>
      <c r="F938">
        <v>-49.96</v>
      </c>
      <c r="G938">
        <v>-25.4</v>
      </c>
      <c r="H938">
        <v>2.7E-2</v>
      </c>
      <c r="I938">
        <v>1E-4</v>
      </c>
      <c r="J938">
        <v>0.25230098269661011</v>
      </c>
      <c r="K938">
        <v>-0.14148565602786667</v>
      </c>
      <c r="L938">
        <v>-7.1932259069411794E-2</v>
      </c>
      <c r="M938">
        <v>6.8121265328084726E-3</v>
      </c>
      <c r="N938">
        <v>-3.8201127127524001E-3</v>
      </c>
      <c r="O938">
        <v>-1.9421709948741184E-3</v>
      </c>
      <c r="P938">
        <v>2.5230098269661011E-5</v>
      </c>
      <c r="Q938">
        <v>-1.4148565602786668E-5</v>
      </c>
      <c r="R938">
        <v>-7.1932259069411796E-6</v>
      </c>
    </row>
    <row r="939" spans="1:18">
      <c r="A939" t="s">
        <v>204</v>
      </c>
      <c r="B939">
        <v>2019</v>
      </c>
      <c r="C939">
        <v>-1.0712107189785718</v>
      </c>
      <c r="D939">
        <v>0.60785042757741536</v>
      </c>
      <c r="E939">
        <v>83.2</v>
      </c>
      <c r="F939">
        <v>-53.26</v>
      </c>
      <c r="G939">
        <v>-20.71</v>
      </c>
      <c r="H939">
        <v>2.63E-2</v>
      </c>
      <c r="I939">
        <v>1E-4</v>
      </c>
      <c r="J939">
        <v>0.22095926063632018</v>
      </c>
      <c r="K939">
        <v>-0.14144579593137513</v>
      </c>
      <c r="L939">
        <v>-5.5000796728103256E-2</v>
      </c>
      <c r="M939">
        <v>5.8112285547352212E-3</v>
      </c>
      <c r="N939">
        <v>-3.7200244329951659E-3</v>
      </c>
      <c r="O939">
        <v>-1.4465209539491156E-3</v>
      </c>
      <c r="P939">
        <v>2.2095926063632019E-5</v>
      </c>
      <c r="Q939">
        <v>-1.4144579593137514E-5</v>
      </c>
      <c r="R939">
        <v>-5.500079672810326E-6</v>
      </c>
    </row>
    <row r="940" spans="1:18">
      <c r="A940" t="s">
        <v>204</v>
      </c>
      <c r="B940">
        <v>2020</v>
      </c>
      <c r="C940">
        <v>-1.080488447031853</v>
      </c>
      <c r="D940">
        <v>0.6275043120605015</v>
      </c>
      <c r="E940">
        <v>149.59</v>
      </c>
      <c r="F940">
        <v>-52.67</v>
      </c>
      <c r="G940">
        <v>-22.97</v>
      </c>
      <c r="H940">
        <v>2.6499999999999999E-2</v>
      </c>
      <c r="I940">
        <v>1E-4</v>
      </c>
      <c r="J940">
        <v>0.33079032329397196</v>
      </c>
      <c r="K940">
        <v>-0.11646985980275087</v>
      </c>
      <c r="L940">
        <v>-5.0793861394896285E-2</v>
      </c>
      <c r="M940">
        <v>8.7659435672902564E-3</v>
      </c>
      <c r="N940">
        <v>-3.086451284772898E-3</v>
      </c>
      <c r="O940">
        <v>-1.3460373269647515E-3</v>
      </c>
      <c r="P940">
        <v>3.3079032329397195E-5</v>
      </c>
      <c r="Q940">
        <v>-1.1646985980275088E-5</v>
      </c>
      <c r="R940">
        <v>-5.0793861394896289E-6</v>
      </c>
    </row>
    <row r="941" spans="1:18">
      <c r="A941" t="s">
        <v>204</v>
      </c>
      <c r="B941">
        <v>2021</v>
      </c>
      <c r="C941">
        <v>-1.6757933774834433</v>
      </c>
      <c r="D941">
        <v>0.52805298013245039</v>
      </c>
      <c r="E941">
        <v>-7.41</v>
      </c>
      <c r="F941">
        <v>-29.38</v>
      </c>
      <c r="G941">
        <v>-23.06</v>
      </c>
      <c r="H941">
        <v>2.87E-2</v>
      </c>
      <c r="I941">
        <v>0</v>
      </c>
      <c r="J941">
        <v>-1.9629139072847683E-2</v>
      </c>
      <c r="K941">
        <v>-7.7827814569536427E-2</v>
      </c>
      <c r="L941">
        <v>-6.1086092715231785E-2</v>
      </c>
      <c r="M941">
        <v>-5.6335629139072849E-4</v>
      </c>
      <c r="N941">
        <v>-2.2336582781456956E-3</v>
      </c>
      <c r="O941">
        <v>-1.7531708609271521E-3</v>
      </c>
      <c r="P941">
        <v>0</v>
      </c>
      <c r="Q941">
        <v>0</v>
      </c>
      <c r="R941">
        <v>0</v>
      </c>
    </row>
    <row r="942" spans="1:18">
      <c r="A942" t="s">
        <v>205</v>
      </c>
      <c r="B942">
        <v>2017</v>
      </c>
      <c r="C942">
        <v>-3.7633888545475962</v>
      </c>
      <c r="D942">
        <v>0.18719689621726479</v>
      </c>
      <c r="E942">
        <v>-1.5</v>
      </c>
      <c r="F942">
        <v>27.95</v>
      </c>
      <c r="G942">
        <v>6.78</v>
      </c>
      <c r="H942">
        <v>1.8100000000000002E-2</v>
      </c>
      <c r="I942">
        <v>7.2999999999999996E-4</v>
      </c>
      <c r="J942">
        <v>-5.388511693070374E-3</v>
      </c>
      <c r="K942">
        <v>0.10040593454754464</v>
      </c>
      <c r="L942">
        <v>2.4356072852678091E-2</v>
      </c>
      <c r="M942">
        <v>-9.7532061644573778E-5</v>
      </c>
      <c r="N942">
        <v>1.8173474153105581E-3</v>
      </c>
      <c r="O942">
        <v>4.4084491863347346E-4</v>
      </c>
      <c r="P942">
        <v>-3.9336135359413725E-6</v>
      </c>
      <c r="Q942">
        <v>7.3296332219707579E-5</v>
      </c>
      <c r="R942">
        <v>1.7779933182455006E-5</v>
      </c>
    </row>
    <row r="943" spans="1:18">
      <c r="A943" t="s">
        <v>205</v>
      </c>
      <c r="B943">
        <v>2018</v>
      </c>
      <c r="C943">
        <v>-3.1797634037413531</v>
      </c>
      <c r="D943">
        <v>0.27022360600056605</v>
      </c>
      <c r="E943">
        <v>48.2</v>
      </c>
      <c r="F943">
        <v>-64.89</v>
      </c>
      <c r="G943">
        <v>-4.29</v>
      </c>
      <c r="H943">
        <v>1.7000000000000001E-2</v>
      </c>
      <c r="I943">
        <v>6.5030000000000004E-2</v>
      </c>
      <c r="J943">
        <v>0.13642796490234929</v>
      </c>
      <c r="K943">
        <v>-0.18366827059156524</v>
      </c>
      <c r="L943">
        <v>-1.2142654967449758E-2</v>
      </c>
      <c r="M943">
        <v>2.3192754033399383E-3</v>
      </c>
      <c r="N943">
        <v>-3.1223606000566092E-3</v>
      </c>
      <c r="O943">
        <v>-2.0642513444664592E-4</v>
      </c>
      <c r="P943">
        <v>8.8719105575997756E-3</v>
      </c>
      <c r="Q943">
        <v>-1.1943947636569488E-2</v>
      </c>
      <c r="R943">
        <v>-7.8963685253325788E-4</v>
      </c>
    </row>
    <row r="944" spans="1:18">
      <c r="A944" t="s">
        <v>205</v>
      </c>
      <c r="B944">
        <v>2019</v>
      </c>
      <c r="C944">
        <v>-3.2084590207654378</v>
      </c>
      <c r="D944">
        <v>0.20101700003752765</v>
      </c>
      <c r="E944">
        <v>72.28</v>
      </c>
      <c r="F944">
        <v>-163.28</v>
      </c>
      <c r="G944">
        <v>84.29</v>
      </c>
      <c r="H944">
        <v>9.1000000000000004E-3</v>
      </c>
      <c r="I944">
        <v>4.2979999999999997E-2</v>
      </c>
      <c r="J944">
        <v>0.1356250234547979</v>
      </c>
      <c r="K944">
        <v>-0.30637595226479525</v>
      </c>
      <c r="L944">
        <v>0.15816039329005141</v>
      </c>
      <c r="M944">
        <v>1.2341877134386611E-3</v>
      </c>
      <c r="N944">
        <v>-2.788021165609637E-3</v>
      </c>
      <c r="O944">
        <v>1.439259578939468E-3</v>
      </c>
      <c r="P944">
        <v>5.8291635080872138E-3</v>
      </c>
      <c r="Q944">
        <v>-1.3168038428340899E-2</v>
      </c>
      <c r="R944">
        <v>6.7977337036064095E-3</v>
      </c>
    </row>
    <row r="945" spans="1:18">
      <c r="A945" t="s">
        <v>205</v>
      </c>
      <c r="B945">
        <v>2020</v>
      </c>
      <c r="C945">
        <v>-3.1987394983908639</v>
      </c>
      <c r="D945">
        <v>0.20610984265208235</v>
      </c>
      <c r="E945">
        <v>42.23</v>
      </c>
      <c r="F945">
        <v>-58.55</v>
      </c>
      <c r="G945">
        <v>17.38</v>
      </c>
      <c r="H945">
        <v>3.8E-3</v>
      </c>
      <c r="I945">
        <v>0</v>
      </c>
      <c r="J945">
        <v>7.4744685746650372E-2</v>
      </c>
      <c r="K945">
        <v>-0.1036301527460663</v>
      </c>
      <c r="L945">
        <v>3.0761606400113273E-2</v>
      </c>
      <c r="M945">
        <v>2.8402980583727141E-4</v>
      </c>
      <c r="N945">
        <v>-3.937945804350519E-4</v>
      </c>
      <c r="O945">
        <v>1.1689410432043044E-4</v>
      </c>
      <c r="P945">
        <v>0</v>
      </c>
      <c r="Q945">
        <v>0</v>
      </c>
      <c r="R945">
        <v>0</v>
      </c>
    </row>
    <row r="946" spans="1:18">
      <c r="A946" t="s">
        <v>205</v>
      </c>
      <c r="B946">
        <v>2021</v>
      </c>
      <c r="C946">
        <v>-3.0556936883638843</v>
      </c>
      <c r="D946">
        <v>0.25014086807398639</v>
      </c>
      <c r="E946">
        <v>-192.62</v>
      </c>
      <c r="F946">
        <v>-211.35</v>
      </c>
      <c r="G946">
        <v>460.43</v>
      </c>
      <c r="H946">
        <v>4.1999999999999997E-3</v>
      </c>
      <c r="I946">
        <v>9.4459999999999995E-3</v>
      </c>
      <c r="J946">
        <v>-0.1572985994855253</v>
      </c>
      <c r="K946">
        <v>-0.17259401412763872</v>
      </c>
      <c r="L946">
        <v>0.37599934669878732</v>
      </c>
      <c r="M946">
        <v>-6.6065411783920616E-4</v>
      </c>
      <c r="N946">
        <v>-7.2489485933608256E-4</v>
      </c>
      <c r="O946">
        <v>1.5791972561349065E-3</v>
      </c>
      <c r="P946">
        <v>-1.4858425707402719E-3</v>
      </c>
      <c r="Q946">
        <v>-1.6303230574496754E-3</v>
      </c>
      <c r="R946">
        <v>3.5516898289167449E-3</v>
      </c>
    </row>
    <row r="947" spans="1:18">
      <c r="A947" t="s">
        <v>208</v>
      </c>
      <c r="B947">
        <v>2017</v>
      </c>
      <c r="C947">
        <v>-1.2143869733288808</v>
      </c>
      <c r="D947">
        <v>0.62638945351065678</v>
      </c>
      <c r="E947">
        <v>57.81</v>
      </c>
      <c r="F947">
        <v>-89.3</v>
      </c>
      <c r="G947">
        <v>60.51</v>
      </c>
      <c r="H947">
        <v>5.0000000000000001E-3</v>
      </c>
      <c r="I947">
        <v>0.10968700000000001</v>
      </c>
      <c r="J947">
        <v>6.7146756489923923E-2</v>
      </c>
      <c r="K947">
        <v>-0.10372263197630524</v>
      </c>
      <c r="L947">
        <v>7.0282827109588233E-2</v>
      </c>
      <c r="M947">
        <v>3.3573378244961964E-4</v>
      </c>
      <c r="N947">
        <v>-5.1861315988152622E-4</v>
      </c>
      <c r="O947">
        <v>3.5141413554794118E-4</v>
      </c>
      <c r="P947">
        <v>7.3651262791102857E-3</v>
      </c>
      <c r="Q947">
        <v>-1.1377024333584994E-2</v>
      </c>
      <c r="R947">
        <v>7.7091124571694054E-3</v>
      </c>
    </row>
    <row r="948" spans="1:18">
      <c r="A948" t="s">
        <v>208</v>
      </c>
      <c r="B948">
        <v>2018</v>
      </c>
      <c r="C948">
        <v>-1.0155171515747434</v>
      </c>
      <c r="D948">
        <v>0.64073956008925725</v>
      </c>
      <c r="E948">
        <v>5.21</v>
      </c>
      <c r="F948">
        <v>-23.62</v>
      </c>
      <c r="G948">
        <v>-3.19</v>
      </c>
      <c r="H948">
        <v>4.5999999999999999E-3</v>
      </c>
      <c r="I948">
        <v>0.128887</v>
      </c>
      <c r="J948">
        <v>5.3574917478174128E-3</v>
      </c>
      <c r="K948">
        <v>-2.4288667002581057E-2</v>
      </c>
      <c r="L948">
        <v>-3.2803068475120052E-3</v>
      </c>
      <c r="M948">
        <v>2.4644462039960098E-5</v>
      </c>
      <c r="N948">
        <v>-1.1172786821187286E-4</v>
      </c>
      <c r="O948">
        <v>-1.5089411498555224E-5</v>
      </c>
      <c r="P948">
        <v>6.9051103890094289E-4</v>
      </c>
      <c r="Q948">
        <v>-3.1304934239616646E-3</v>
      </c>
      <c r="R948">
        <v>-4.2278890865527982E-4</v>
      </c>
    </row>
    <row r="949" spans="1:18">
      <c r="A949" t="s">
        <v>208</v>
      </c>
      <c r="B949">
        <v>2019</v>
      </c>
      <c r="C949">
        <v>-0.82765231817479323</v>
      </c>
      <c r="D949">
        <v>0.67862865240460879</v>
      </c>
      <c r="E949">
        <v>155.88999999999999</v>
      </c>
      <c r="F949">
        <v>-126.86</v>
      </c>
      <c r="G949">
        <v>26.24</v>
      </c>
      <c r="H949">
        <v>4.1000000000000003E-3</v>
      </c>
      <c r="I949">
        <v>0.14299000000000001</v>
      </c>
      <c r="J949">
        <v>0.12551630850489939</v>
      </c>
      <c r="K949">
        <v>-0.1021425293279334</v>
      </c>
      <c r="L949">
        <v>2.1127384278456347E-2</v>
      </c>
      <c r="M949">
        <v>5.1461686487008751E-4</v>
      </c>
      <c r="N949">
        <v>-4.1878437024452699E-4</v>
      </c>
      <c r="O949">
        <v>8.6622275541671035E-5</v>
      </c>
      <c r="P949">
        <v>1.7947576953115565E-2</v>
      </c>
      <c r="Q949">
        <v>-1.4605360268601198E-2</v>
      </c>
      <c r="R949">
        <v>3.021004677976473E-3</v>
      </c>
    </row>
    <row r="950" spans="1:18">
      <c r="A950" t="s">
        <v>208</v>
      </c>
      <c r="B950">
        <v>2020</v>
      </c>
      <c r="C950">
        <v>-1.070292991058843</v>
      </c>
      <c r="D950">
        <v>0.65960574812606121</v>
      </c>
      <c r="E950">
        <v>225.13</v>
      </c>
      <c r="F950">
        <v>-191.49</v>
      </c>
      <c r="G950">
        <v>-46.87</v>
      </c>
      <c r="H950">
        <v>8.0000000000000007E-5</v>
      </c>
      <c r="I950">
        <v>0.14668700000000001</v>
      </c>
      <c r="J950">
        <v>0.15538852307394985</v>
      </c>
      <c r="K950">
        <v>-0.13216962769702242</v>
      </c>
      <c r="L950">
        <v>-3.2350464515950909E-2</v>
      </c>
      <c r="M950">
        <v>1.2431081845915989E-5</v>
      </c>
      <c r="N950">
        <v>-1.0573570215761795E-5</v>
      </c>
      <c r="O950">
        <v>-2.5880371612760731E-6</v>
      </c>
      <c r="P950">
        <v>2.2793476284148483E-2</v>
      </c>
      <c r="Q950">
        <v>-1.9387566177993129E-2</v>
      </c>
      <c r="R950">
        <v>-4.7453925884512914E-3</v>
      </c>
    </row>
    <row r="951" spans="1:18">
      <c r="A951" t="s">
        <v>208</v>
      </c>
      <c r="B951">
        <v>2021</v>
      </c>
      <c r="C951">
        <v>-0.92073193607646275</v>
      </c>
      <c r="D951">
        <v>0.65893356474785447</v>
      </c>
      <c r="E951">
        <v>101.46</v>
      </c>
      <c r="F951">
        <v>-31</v>
      </c>
      <c r="G951">
        <v>-2.4500000000000002</v>
      </c>
      <c r="H951">
        <v>1.49E-2</v>
      </c>
      <c r="I951">
        <v>0.1356</v>
      </c>
      <c r="J951">
        <v>6.5220325908784099E-2</v>
      </c>
      <c r="K951">
        <v>-1.9927361553048563E-2</v>
      </c>
      <c r="L951">
        <v>-1.5749043808054512E-3</v>
      </c>
      <c r="M951">
        <v>9.7178285604088306E-4</v>
      </c>
      <c r="N951">
        <v>-2.9691768714042361E-4</v>
      </c>
      <c r="O951">
        <v>-2.3466075274001224E-5</v>
      </c>
      <c r="P951">
        <v>8.8438761932311243E-3</v>
      </c>
      <c r="Q951">
        <v>-2.7021502265933851E-3</v>
      </c>
      <c r="R951">
        <v>-2.1355703403721918E-4</v>
      </c>
    </row>
    <row r="952" spans="1:18">
      <c r="A952" t="s">
        <v>206</v>
      </c>
      <c r="B952">
        <v>2017</v>
      </c>
      <c r="C952">
        <v>-2.9550729966888558</v>
      </c>
      <c r="D952">
        <v>0.32535399568666867</v>
      </c>
      <c r="E952">
        <v>37.619999999999997</v>
      </c>
      <c r="F952">
        <v>-43.47</v>
      </c>
      <c r="G952">
        <v>9.08</v>
      </c>
      <c r="H952">
        <v>9.4500000000000001E-2</v>
      </c>
      <c r="I952">
        <v>6.1999999999999998E-3</v>
      </c>
      <c r="J952">
        <v>3.6712109531291164E-2</v>
      </c>
      <c r="K952">
        <v>-4.2420930391420177E-2</v>
      </c>
      <c r="L952">
        <v>8.8608706683711812E-3</v>
      </c>
      <c r="M952">
        <v>3.469294350707015E-3</v>
      </c>
      <c r="N952">
        <v>-4.008777921989207E-3</v>
      </c>
      <c r="O952">
        <v>8.3735227816107661E-4</v>
      </c>
      <c r="P952">
        <v>2.2761507909400521E-4</v>
      </c>
      <c r="Q952">
        <v>-2.6300976842680507E-4</v>
      </c>
      <c r="R952">
        <v>5.4937398143901324E-5</v>
      </c>
    </row>
    <row r="953" spans="1:18">
      <c r="A953" t="s">
        <v>206</v>
      </c>
      <c r="B953">
        <v>2018</v>
      </c>
      <c r="C953">
        <v>-2.9401696998839526</v>
      </c>
      <c r="D953">
        <v>0.31551160942879841</v>
      </c>
      <c r="E953">
        <v>121.14</v>
      </c>
      <c r="F953">
        <v>-61.22</v>
      </c>
      <c r="G953">
        <v>23.6</v>
      </c>
      <c r="H953">
        <v>9.4500000000000001E-2</v>
      </c>
      <c r="I953">
        <v>2.8E-3</v>
      </c>
      <c r="J953">
        <v>0.10694800035313852</v>
      </c>
      <c r="K953">
        <v>-5.4047850269268116E-2</v>
      </c>
      <c r="L953">
        <v>2.0835172596450957E-2</v>
      </c>
      <c r="M953">
        <v>1.0106586033371591E-2</v>
      </c>
      <c r="N953">
        <v>-5.1075218504458373E-3</v>
      </c>
      <c r="O953">
        <v>1.9689238103646153E-3</v>
      </c>
      <c r="P953">
        <v>2.9945440098878785E-4</v>
      </c>
      <c r="Q953">
        <v>-1.5133398075395073E-4</v>
      </c>
      <c r="R953">
        <v>5.8338483270062676E-5</v>
      </c>
    </row>
    <row r="954" spans="1:18">
      <c r="A954" t="s">
        <v>206</v>
      </c>
      <c r="B954">
        <v>2019</v>
      </c>
      <c r="C954">
        <v>-2.9315024690415066</v>
      </c>
      <c r="D954">
        <v>0.30645117107245584</v>
      </c>
      <c r="E954">
        <v>55.39</v>
      </c>
      <c r="F954">
        <v>-72.03</v>
      </c>
      <c r="G954">
        <v>-104.25</v>
      </c>
      <c r="H954">
        <v>8.9999999999999998E-4</v>
      </c>
      <c r="I954">
        <v>2.8E-3</v>
      </c>
      <c r="J954">
        <v>5.0577546454823534E-2</v>
      </c>
      <c r="K954">
        <v>-6.5771812080536909E-2</v>
      </c>
      <c r="L954">
        <v>-9.5192439391864114E-2</v>
      </c>
      <c r="M954">
        <v>4.551979180934118E-5</v>
      </c>
      <c r="N954">
        <v>-5.9194630872483217E-5</v>
      </c>
      <c r="O954">
        <v>-8.5673195452677702E-5</v>
      </c>
      <c r="P954">
        <v>1.4161713007350589E-4</v>
      </c>
      <c r="Q954">
        <v>-1.8416107382550334E-4</v>
      </c>
      <c r="R954">
        <v>-2.6653883029721952E-4</v>
      </c>
    </row>
    <row r="955" spans="1:18">
      <c r="A955" t="s">
        <v>206</v>
      </c>
      <c r="B955">
        <v>2020</v>
      </c>
      <c r="C955">
        <v>-2.8554190584205044</v>
      </c>
      <c r="D955">
        <v>0.32060634513641867</v>
      </c>
      <c r="E955">
        <v>107.18</v>
      </c>
      <c r="F955">
        <v>-3.59</v>
      </c>
      <c r="G955">
        <v>-74.989999999999995</v>
      </c>
      <c r="H955">
        <v>8.9999999999999998E-4</v>
      </c>
      <c r="I955">
        <v>2.8E-3</v>
      </c>
      <c r="J955">
        <v>9.6766038894205611E-2</v>
      </c>
      <c r="K955">
        <v>-3.2411837994980228E-3</v>
      </c>
      <c r="L955">
        <v>-6.7703725104277648E-2</v>
      </c>
      <c r="M955">
        <v>8.7089435004785047E-5</v>
      </c>
      <c r="N955">
        <v>-2.9170654195482205E-6</v>
      </c>
      <c r="O955">
        <v>-6.0933352593849884E-5</v>
      </c>
      <c r="P955">
        <v>2.7094490890377572E-4</v>
      </c>
      <c r="Q955">
        <v>-9.0753146385944639E-6</v>
      </c>
      <c r="R955">
        <v>-1.8957043029197741E-4</v>
      </c>
    </row>
    <row r="956" spans="1:18">
      <c r="A956" t="s">
        <v>206</v>
      </c>
      <c r="B956">
        <v>2021</v>
      </c>
      <c r="C956">
        <v>-3.0267465907771305</v>
      </c>
      <c r="D956">
        <v>0.30981424305309507</v>
      </c>
      <c r="E956">
        <v>102.28</v>
      </c>
      <c r="F956">
        <v>-61.73</v>
      </c>
      <c r="G956">
        <v>-53.2</v>
      </c>
      <c r="H956">
        <v>3.3999999999999998E-3</v>
      </c>
      <c r="I956">
        <v>2.8E-3</v>
      </c>
      <c r="J956">
        <v>8.6281655447014549E-2</v>
      </c>
      <c r="K956">
        <v>-5.2074370265391162E-2</v>
      </c>
      <c r="L956">
        <v>-4.4878608425705659E-2</v>
      </c>
      <c r="M956">
        <v>2.9335762851984945E-4</v>
      </c>
      <c r="N956">
        <v>-1.7705285890232995E-4</v>
      </c>
      <c r="O956">
        <v>-1.5258726864739923E-4</v>
      </c>
      <c r="P956">
        <v>2.4158863525164072E-4</v>
      </c>
      <c r="Q956">
        <v>-1.4580823674309524E-4</v>
      </c>
      <c r="R956">
        <v>-1.2566010359197583E-4</v>
      </c>
    </row>
    <row r="957" spans="1:18">
      <c r="A957" t="s">
        <v>207</v>
      </c>
      <c r="B957">
        <v>2017</v>
      </c>
      <c r="C957">
        <v>-2.7476618389525611</v>
      </c>
      <c r="D957">
        <v>0.31789745682034543</v>
      </c>
      <c r="E957">
        <v>-22.4</v>
      </c>
      <c r="F957">
        <v>7.24</v>
      </c>
      <c r="G957">
        <v>30.6</v>
      </c>
      <c r="H957">
        <v>0</v>
      </c>
      <c r="I957">
        <v>5.4800000000000001E-2</v>
      </c>
      <c r="J957">
        <v>-7.6159390724874196E-2</v>
      </c>
      <c r="K957">
        <v>2.4615803073575412E-2</v>
      </c>
      <c r="L957">
        <v>0.10403916768665851</v>
      </c>
      <c r="M957">
        <v>0</v>
      </c>
      <c r="N957">
        <v>0</v>
      </c>
      <c r="O957">
        <v>0</v>
      </c>
      <c r="P957">
        <v>-4.1735346117231058E-3</v>
      </c>
      <c r="Q957">
        <v>1.3489460084319326E-3</v>
      </c>
      <c r="R957">
        <v>5.7013463892288865E-3</v>
      </c>
    </row>
    <row r="958" spans="1:18">
      <c r="A958" t="s">
        <v>207</v>
      </c>
      <c r="B958">
        <v>2018</v>
      </c>
      <c r="C958">
        <v>-2.3645679088590716</v>
      </c>
      <c r="D958">
        <v>0.38668043366029936</v>
      </c>
      <c r="E958">
        <v>18.75</v>
      </c>
      <c r="F958">
        <v>-55.79</v>
      </c>
      <c r="G958">
        <v>20.350000000000001</v>
      </c>
      <c r="H958">
        <v>4.1999999999999997E-3</v>
      </c>
      <c r="I958">
        <v>8.1780000000000004E-4</v>
      </c>
      <c r="J958">
        <v>5.3777318877990019E-2</v>
      </c>
      <c r="K958">
        <v>-0.16001261974416336</v>
      </c>
      <c r="L958">
        <v>5.8366316755578497E-2</v>
      </c>
      <c r="M958">
        <v>2.2586473928755806E-4</v>
      </c>
      <c r="N958">
        <v>-6.7205300292548606E-4</v>
      </c>
      <c r="O958">
        <v>2.4513853037342969E-4</v>
      </c>
      <c r="P958">
        <v>4.3979091378420239E-5</v>
      </c>
      <c r="Q958">
        <v>-1.308583204267768E-4</v>
      </c>
      <c r="R958">
        <v>4.7731973842712099E-5</v>
      </c>
    </row>
    <row r="959" spans="1:18">
      <c r="A959" t="s">
        <v>207</v>
      </c>
      <c r="B959">
        <v>2019</v>
      </c>
      <c r="C959">
        <v>-1.4840908165996436</v>
      </c>
      <c r="D959">
        <v>0.51754646524654169</v>
      </c>
      <c r="E959">
        <v>19.600000000000001</v>
      </c>
      <c r="F959">
        <v>-23.41</v>
      </c>
      <c r="G959">
        <v>30.03</v>
      </c>
      <c r="H959">
        <v>1.3899999999999999E-2</v>
      </c>
      <c r="I959">
        <v>8.1780000000000004E-4</v>
      </c>
      <c r="J959">
        <v>4.1585334804379197E-2</v>
      </c>
      <c r="K959">
        <v>-4.9669014682169228E-2</v>
      </c>
      <c r="L959">
        <v>6.3714673682423839E-2</v>
      </c>
      <c r="M959">
        <v>5.7803615378087083E-4</v>
      </c>
      <c r="N959">
        <v>-6.9039930408215221E-4</v>
      </c>
      <c r="O959">
        <v>8.8563396418569129E-4</v>
      </c>
      <c r="P959">
        <v>3.4008486803021312E-5</v>
      </c>
      <c r="Q959">
        <v>-4.0619320207077994E-5</v>
      </c>
      <c r="R959">
        <v>5.2105860137486216E-5</v>
      </c>
    </row>
    <row r="960" spans="1:18">
      <c r="A960" t="s">
        <v>207</v>
      </c>
      <c r="B960">
        <v>2020</v>
      </c>
      <c r="C960">
        <v>-2.7600296502753667</v>
      </c>
      <c r="D960">
        <v>0.29604053773238059</v>
      </c>
      <c r="E960">
        <v>-45.8</v>
      </c>
      <c r="F960">
        <v>-179.18</v>
      </c>
      <c r="G960">
        <v>217.83</v>
      </c>
      <c r="H960">
        <v>2.23E-2</v>
      </c>
      <c r="I960">
        <v>7.7999999999999999E-4</v>
      </c>
      <c r="J960">
        <v>-7.3210888920858697E-2</v>
      </c>
      <c r="K960">
        <v>-0.28641762176505381</v>
      </c>
      <c r="L960">
        <v>0.34819929986093129</v>
      </c>
      <c r="M960">
        <v>-1.632602822935149E-3</v>
      </c>
      <c r="N960">
        <v>-6.3871129653606997E-3</v>
      </c>
      <c r="O960">
        <v>7.7648443868987681E-3</v>
      </c>
      <c r="P960">
        <v>-5.7104493358269779E-5</v>
      </c>
      <c r="Q960">
        <v>-2.2340574497674198E-4</v>
      </c>
      <c r="R960">
        <v>2.7159545389152638E-4</v>
      </c>
    </row>
    <row r="961" spans="1:18">
      <c r="A961" t="s">
        <v>207</v>
      </c>
      <c r="B961">
        <v>2021</v>
      </c>
      <c r="C961">
        <v>-2.8965531491460781</v>
      </c>
      <c r="D961">
        <v>0.27064037367086996</v>
      </c>
      <c r="E961">
        <v>26.55</v>
      </c>
      <c r="F961">
        <v>-39.07</v>
      </c>
      <c r="G961">
        <v>8.7200000000000006</v>
      </c>
      <c r="H961">
        <v>1.4500000000000001E-2</v>
      </c>
      <c r="I961">
        <v>8.2799999999999999E-2</v>
      </c>
      <c r="J961">
        <v>4.2324921487669184E-2</v>
      </c>
      <c r="K961">
        <v>-6.2283792185432577E-2</v>
      </c>
      <c r="L961">
        <v>1.3901066492371951E-2</v>
      </c>
      <c r="M961">
        <v>6.1371136157120317E-4</v>
      </c>
      <c r="N961">
        <v>-9.0311498668877235E-4</v>
      </c>
      <c r="O961">
        <v>2.015654641393933E-4</v>
      </c>
      <c r="P961">
        <v>3.5045034991790084E-3</v>
      </c>
      <c r="Q961">
        <v>-5.1570979929538175E-3</v>
      </c>
      <c r="R961">
        <v>1.1510083055683974E-3</v>
      </c>
    </row>
    <row r="962" spans="1:18">
      <c r="A962" t="s">
        <v>209</v>
      </c>
      <c r="B962">
        <v>2017</v>
      </c>
      <c r="C962">
        <v>-2.6193488079886156</v>
      </c>
      <c r="D962">
        <v>0.42359787348546196</v>
      </c>
      <c r="E962">
        <v>97.79</v>
      </c>
      <c r="F962">
        <v>-287.74</v>
      </c>
      <c r="G962">
        <v>-99.82</v>
      </c>
      <c r="H962">
        <v>0</v>
      </c>
      <c r="I962">
        <v>1.0500000000000001E-2</v>
      </c>
      <c r="J962">
        <v>4.9184450491140362E-2</v>
      </c>
      <c r="K962">
        <v>-0.14472168712875272</v>
      </c>
      <c r="L962">
        <v>-5.0205459126962171E-2</v>
      </c>
      <c r="M962">
        <v>0</v>
      </c>
      <c r="N962">
        <v>0</v>
      </c>
      <c r="O962">
        <v>0</v>
      </c>
      <c r="P962">
        <v>5.1643673015697384E-4</v>
      </c>
      <c r="Q962">
        <v>-1.5195777148519036E-3</v>
      </c>
      <c r="R962">
        <v>-5.2715732083310281E-4</v>
      </c>
    </row>
    <row r="963" spans="1:18">
      <c r="A963" t="s">
        <v>209</v>
      </c>
      <c r="B963">
        <v>2018</v>
      </c>
      <c r="C963">
        <v>-1.924623692770512</v>
      </c>
      <c r="D963">
        <v>0.5036989449040481</v>
      </c>
      <c r="E963">
        <v>264.94</v>
      </c>
      <c r="F963">
        <v>-492.11</v>
      </c>
      <c r="G963">
        <v>43.26</v>
      </c>
      <c r="H963">
        <v>5.9999999999999995E-4</v>
      </c>
      <c r="I963">
        <v>7.4000000000000003E-3</v>
      </c>
      <c r="J963">
        <v>0.10442178613516422</v>
      </c>
      <c r="K963">
        <v>-0.19395714189996099</v>
      </c>
      <c r="L963">
        <v>1.7050224459150009E-2</v>
      </c>
      <c r="M963">
        <v>6.2653071681098528E-5</v>
      </c>
      <c r="N963">
        <v>-1.1637428513997659E-4</v>
      </c>
      <c r="O963">
        <v>1.0230134675490004E-5</v>
      </c>
      <c r="P963">
        <v>7.7272121740021521E-4</v>
      </c>
      <c r="Q963">
        <v>-1.4352828500597114E-3</v>
      </c>
      <c r="R963">
        <v>1.2617166099771008E-4</v>
      </c>
    </row>
    <row r="964" spans="1:18">
      <c r="A964" t="s">
        <v>209</v>
      </c>
      <c r="B964">
        <v>2019</v>
      </c>
      <c r="C964">
        <v>-1.0721341373269639</v>
      </c>
      <c r="D964">
        <v>0.61009465108396832</v>
      </c>
      <c r="E964">
        <v>-562.59</v>
      </c>
      <c r="F964">
        <v>99.95</v>
      </c>
      <c r="G964">
        <v>541.05999999999995</v>
      </c>
      <c r="H964">
        <v>8.0000000000000004E-4</v>
      </c>
      <c r="I964">
        <v>7.4000000000000003E-3</v>
      </c>
      <c r="J964">
        <v>-0.17655753756543352</v>
      </c>
      <c r="K964">
        <v>3.1367293907934878E-2</v>
      </c>
      <c r="L964">
        <v>0.16980078080867675</v>
      </c>
      <c r="M964">
        <v>-1.4124603005234682E-4</v>
      </c>
      <c r="N964">
        <v>2.5093835126347903E-5</v>
      </c>
      <c r="O964">
        <v>1.358406246469414E-4</v>
      </c>
      <c r="P964">
        <v>-1.3065257779842081E-3</v>
      </c>
      <c r="Q964">
        <v>2.321179749187181E-4</v>
      </c>
      <c r="R964">
        <v>1.256525777984208E-3</v>
      </c>
    </row>
    <row r="965" spans="1:18">
      <c r="A965" t="s">
        <v>209</v>
      </c>
      <c r="B965">
        <v>2020</v>
      </c>
      <c r="C965">
        <v>-1.1528331786876029</v>
      </c>
      <c r="D965">
        <v>0.59154510542054373</v>
      </c>
      <c r="E965">
        <v>332.35</v>
      </c>
      <c r="F965">
        <v>-47.78</v>
      </c>
      <c r="G965">
        <v>-288.33999999999997</v>
      </c>
      <c r="H965">
        <v>5.9999999999999995E-4</v>
      </c>
      <c r="I965">
        <v>4.8999999999999998E-3</v>
      </c>
      <c r="J965">
        <v>0.1008970992273714</v>
      </c>
      <c r="K965">
        <v>-1.4505381077429835E-2</v>
      </c>
      <c r="L965">
        <v>-8.7536240683677644E-2</v>
      </c>
      <c r="M965">
        <v>6.0538259536422839E-5</v>
      </c>
      <c r="N965">
        <v>-8.7032286464579E-6</v>
      </c>
      <c r="O965">
        <v>-5.252174441020658E-5</v>
      </c>
      <c r="P965">
        <v>4.9439578621411986E-4</v>
      </c>
      <c r="Q965">
        <v>-7.1076367279406183E-5</v>
      </c>
      <c r="R965">
        <v>-4.2892757935002044E-4</v>
      </c>
    </row>
    <row r="966" spans="1:18">
      <c r="A966" t="s">
        <v>209</v>
      </c>
      <c r="B966">
        <v>2021</v>
      </c>
      <c r="C966">
        <v>-1.2709451922555703</v>
      </c>
      <c r="D966">
        <v>0.55511601181838632</v>
      </c>
      <c r="E966">
        <v>147.87</v>
      </c>
      <c r="F966">
        <v>-92.58</v>
      </c>
      <c r="G966">
        <v>-57.88</v>
      </c>
      <c r="H966">
        <v>6.9999999999999999E-4</v>
      </c>
      <c r="I966">
        <v>3.5999999999999999E-3</v>
      </c>
      <c r="J966">
        <v>4.5557475991977299E-2</v>
      </c>
      <c r="K966">
        <v>-2.8523102233970775E-2</v>
      </c>
      <c r="L966">
        <v>-1.78323304958115E-2</v>
      </c>
      <c r="M966">
        <v>3.1890233194384106E-5</v>
      </c>
      <c r="N966">
        <v>-1.9966171563779542E-5</v>
      </c>
      <c r="O966">
        <v>-1.248263134706805E-5</v>
      </c>
      <c r="P966">
        <v>1.6400691357111827E-4</v>
      </c>
      <c r="Q966">
        <v>-1.0268316804229479E-4</v>
      </c>
      <c r="R966">
        <v>-6.4196389784921401E-5</v>
      </c>
    </row>
    <row r="967" spans="1:18">
      <c r="A967" t="s">
        <v>210</v>
      </c>
      <c r="B967">
        <v>2017</v>
      </c>
      <c r="C967">
        <v>-3.8673355568493122</v>
      </c>
      <c r="D967">
        <v>0.31136701654468818</v>
      </c>
      <c r="E967">
        <v>9601.59</v>
      </c>
      <c r="F967">
        <v>-1770.99</v>
      </c>
      <c r="G967">
        <v>-7535.35</v>
      </c>
      <c r="H967">
        <v>0.59789999999999999</v>
      </c>
      <c r="I967">
        <v>1.2999999999999999E-3</v>
      </c>
      <c r="J967">
        <v>0.27696372260676627</v>
      </c>
      <c r="K967">
        <v>-5.1085287238817424E-2</v>
      </c>
      <c r="L967">
        <v>-0.21736176895127746</v>
      </c>
      <c r="M967">
        <v>0.16559660974658555</v>
      </c>
      <c r="N967">
        <v>-3.0543893240088937E-2</v>
      </c>
      <c r="O967">
        <v>-0.12996060165596879</v>
      </c>
      <c r="P967">
        <v>3.6005283938879613E-4</v>
      </c>
      <c r="Q967">
        <v>-6.6410873410462643E-5</v>
      </c>
      <c r="R967">
        <v>-2.825702996366607E-4</v>
      </c>
    </row>
    <row r="968" spans="1:18">
      <c r="A968" t="s">
        <v>210</v>
      </c>
      <c r="B968">
        <v>2018</v>
      </c>
      <c r="C968">
        <v>-3.8443502013729178</v>
      </c>
      <c r="D968">
        <v>0.29691985598714982</v>
      </c>
      <c r="E968">
        <v>8140.24</v>
      </c>
      <c r="F968">
        <v>-1045.1400000000001</v>
      </c>
      <c r="G968">
        <v>-6535.11</v>
      </c>
      <c r="H968">
        <v>0.59209999999999996</v>
      </c>
      <c r="I968">
        <v>1.2999999999999999E-3</v>
      </c>
      <c r="J968">
        <v>0.21785088145380935</v>
      </c>
      <c r="K968">
        <v>-2.797026503427839E-2</v>
      </c>
      <c r="L968">
        <v>-0.17489404168643724</v>
      </c>
      <c r="M968">
        <v>0.12898950690880051</v>
      </c>
      <c r="N968">
        <v>-1.6561193926796235E-2</v>
      </c>
      <c r="O968">
        <v>-0.10355476208253948</v>
      </c>
      <c r="P968">
        <v>2.8320614588995212E-4</v>
      </c>
      <c r="Q968">
        <v>-3.6361344544561907E-5</v>
      </c>
      <c r="R968">
        <v>-2.273622541923684E-4</v>
      </c>
    </row>
    <row r="969" spans="1:18">
      <c r="A969" t="s">
        <v>210</v>
      </c>
      <c r="B969">
        <v>2019</v>
      </c>
      <c r="C969">
        <v>-3.4606105095253783</v>
      </c>
      <c r="D969">
        <v>0.33486943026903659</v>
      </c>
      <c r="E969">
        <v>11409.93</v>
      </c>
      <c r="F969">
        <v>-6747.87</v>
      </c>
      <c r="G969">
        <v>-3515.98</v>
      </c>
      <c r="H969">
        <v>0.58609999999999995</v>
      </c>
      <c r="I969">
        <v>1.2999999999999999E-3</v>
      </c>
      <c r="J969">
        <v>0.25525644705454398</v>
      </c>
      <c r="K969">
        <v>-0.15095949943478582</v>
      </c>
      <c r="L969">
        <v>-7.8657499451340679E-2</v>
      </c>
      <c r="M969">
        <v>0.14960580361866821</v>
      </c>
      <c r="N969">
        <v>-8.8477362618727962E-2</v>
      </c>
      <c r="O969">
        <v>-4.6101160428430765E-2</v>
      </c>
      <c r="P969">
        <v>3.3183338117090714E-4</v>
      </c>
      <c r="Q969">
        <v>-1.9624734926522154E-4</v>
      </c>
      <c r="R969">
        <v>-1.0225474928674288E-4</v>
      </c>
    </row>
    <row r="970" spans="1:18">
      <c r="A970" t="s">
        <v>210</v>
      </c>
      <c r="B970">
        <v>2020</v>
      </c>
      <c r="C970">
        <v>-3.6122095111508452</v>
      </c>
      <c r="D970">
        <v>0.30527778053075127</v>
      </c>
      <c r="E970">
        <v>10180.17</v>
      </c>
      <c r="F970">
        <v>-4802.01</v>
      </c>
      <c r="G970">
        <v>-5926.53</v>
      </c>
      <c r="H970">
        <v>0.57750000000000001</v>
      </c>
      <c r="I970">
        <v>1.2999999999999999E-3</v>
      </c>
      <c r="J970">
        <v>0.21019303574791132</v>
      </c>
      <c r="K970">
        <v>-9.9148546595177453E-2</v>
      </c>
      <c r="L970">
        <v>-0.12236684968434405</v>
      </c>
      <c r="M970">
        <v>0.12138647814441879</v>
      </c>
      <c r="N970">
        <v>-5.7258285658714977E-2</v>
      </c>
      <c r="O970">
        <v>-7.0666855692708697E-2</v>
      </c>
      <c r="P970">
        <v>2.7325094647228472E-4</v>
      </c>
      <c r="Q970">
        <v>-1.2889311057373069E-4</v>
      </c>
      <c r="R970">
        <v>-1.5907690458964727E-4</v>
      </c>
    </row>
    <row r="971" spans="1:18">
      <c r="A971" t="s">
        <v>210</v>
      </c>
      <c r="B971">
        <v>2021</v>
      </c>
      <c r="C971">
        <v>-3.337146211494685</v>
      </c>
      <c r="D971">
        <v>0.32779867397679457</v>
      </c>
      <c r="E971">
        <v>9431.9699999999993</v>
      </c>
      <c r="F971">
        <v>-3933.25</v>
      </c>
      <c r="G971">
        <v>-5257.4</v>
      </c>
      <c r="H971">
        <v>0.54390000000000005</v>
      </c>
      <c r="I971">
        <v>1.2999999999999999E-3</v>
      </c>
      <c r="J971">
        <v>0.17685253241931731</v>
      </c>
      <c r="K971">
        <v>-7.3749728120242108E-2</v>
      </c>
      <c r="L971">
        <v>-9.8577975114564495E-2</v>
      </c>
      <c r="M971">
        <v>9.6190092382866688E-2</v>
      </c>
      <c r="N971">
        <v>-4.0112477124599685E-2</v>
      </c>
      <c r="O971">
        <v>-5.3616560664811637E-2</v>
      </c>
      <c r="P971">
        <v>2.2990829214511249E-4</v>
      </c>
      <c r="Q971">
        <v>-9.5874646556314737E-5</v>
      </c>
      <c r="R971">
        <v>-1.2815136764893383E-4</v>
      </c>
    </row>
    <row r="972" spans="1:18">
      <c r="A972" t="s">
        <v>211</v>
      </c>
      <c r="B972">
        <v>2017</v>
      </c>
      <c r="C972">
        <v>-2.7462787260185371</v>
      </c>
      <c r="D972">
        <v>0.31571353496319748</v>
      </c>
      <c r="E972">
        <v>2799.41</v>
      </c>
      <c r="F972">
        <v>-2089.2600000000002</v>
      </c>
      <c r="G972">
        <v>-986.4</v>
      </c>
      <c r="H972">
        <v>0</v>
      </c>
      <c r="I972">
        <v>0</v>
      </c>
      <c r="J972">
        <v>7.3411281076562071E-2</v>
      </c>
      <c r="K972">
        <v>-5.4788420810820172E-2</v>
      </c>
      <c r="L972">
        <v>-2.5867196178452186E-2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t="s">
        <v>211</v>
      </c>
      <c r="B973">
        <v>2018</v>
      </c>
      <c r="C973">
        <v>-3.0860905859980852</v>
      </c>
      <c r="D973">
        <v>0.26301530774734977</v>
      </c>
      <c r="E973">
        <v>3573.73</v>
      </c>
      <c r="F973">
        <v>636.12</v>
      </c>
      <c r="G973">
        <v>-3200</v>
      </c>
      <c r="H973">
        <v>0.31469999999999998</v>
      </c>
      <c r="I973">
        <v>0</v>
      </c>
      <c r="J973">
        <v>9.238340302680613E-2</v>
      </c>
      <c r="K973">
        <v>1.6444143887034534E-2</v>
      </c>
      <c r="L973">
        <v>-8.2722222911574078E-2</v>
      </c>
      <c r="M973">
        <v>2.9073056932535889E-2</v>
      </c>
      <c r="N973">
        <v>5.1749720812497672E-3</v>
      </c>
      <c r="O973">
        <v>-2.603268355027236E-2</v>
      </c>
      <c r="P973">
        <v>0</v>
      </c>
      <c r="Q973">
        <v>0</v>
      </c>
      <c r="R973">
        <v>0</v>
      </c>
    </row>
    <row r="974" spans="1:18">
      <c r="A974" t="s">
        <v>211</v>
      </c>
      <c r="B974">
        <v>2019</v>
      </c>
      <c r="C974">
        <v>-3.2491863324946255</v>
      </c>
      <c r="D974">
        <v>0.24792145025390158</v>
      </c>
      <c r="E974">
        <v>3146.71</v>
      </c>
      <c r="F974">
        <v>235.18</v>
      </c>
      <c r="G974">
        <v>-4424.93</v>
      </c>
      <c r="H974">
        <v>0.32790000000000002</v>
      </c>
      <c r="I974">
        <v>2E-8</v>
      </c>
      <c r="J974">
        <v>8.7802037407059233E-2</v>
      </c>
      <c r="K974">
        <v>6.562181820819901E-3</v>
      </c>
      <c r="L974">
        <v>-0.12346796158006891</v>
      </c>
      <c r="M974">
        <v>2.8790288065774723E-2</v>
      </c>
      <c r="N974">
        <v>2.1517394190468456E-3</v>
      </c>
      <c r="O974">
        <v>-4.0485144602104596E-2</v>
      </c>
      <c r="P974">
        <v>1.7560407481411846E-9</v>
      </c>
      <c r="Q974">
        <v>1.3124363641639802E-10</v>
      </c>
      <c r="R974">
        <v>-2.4693592316013782E-9</v>
      </c>
    </row>
    <row r="975" spans="1:18">
      <c r="A975" t="s">
        <v>211</v>
      </c>
      <c r="B975">
        <v>2020</v>
      </c>
      <c r="C975">
        <v>-3.0767999551362579</v>
      </c>
      <c r="D975">
        <v>0.26322349844021681</v>
      </c>
      <c r="E975">
        <v>4022.38</v>
      </c>
      <c r="F975">
        <v>-5259.39</v>
      </c>
      <c r="G975">
        <v>2899.57</v>
      </c>
      <c r="H975">
        <v>0.30740000000000001</v>
      </c>
      <c r="I975">
        <v>2E-8</v>
      </c>
      <c r="J975">
        <v>0.10102312035508959</v>
      </c>
      <c r="K975">
        <v>-0.13209094838487528</v>
      </c>
      <c r="L975">
        <v>7.2823455041047133E-2</v>
      </c>
      <c r="M975">
        <v>3.1054507197154541E-2</v>
      </c>
      <c r="N975">
        <v>-4.0604757533510664E-2</v>
      </c>
      <c r="O975">
        <v>2.238593007961789E-2</v>
      </c>
      <c r="P975">
        <v>2.020462407101792E-9</v>
      </c>
      <c r="Q975">
        <v>-2.6418189676975056E-9</v>
      </c>
      <c r="R975">
        <v>1.4564691008209426E-9</v>
      </c>
    </row>
    <row r="976" spans="1:18">
      <c r="A976" t="s">
        <v>211</v>
      </c>
      <c r="B976">
        <v>2021</v>
      </c>
      <c r="C976">
        <v>-3.3786754870567992</v>
      </c>
      <c r="D976">
        <v>0.190704896749679</v>
      </c>
      <c r="E976">
        <v>1705.32</v>
      </c>
      <c r="F976">
        <v>1162.21</v>
      </c>
      <c r="G976">
        <v>-2621.38</v>
      </c>
      <c r="H976">
        <v>30.26</v>
      </c>
      <c r="I976">
        <v>2E-8</v>
      </c>
      <c r="J976">
        <v>4.50267456207495E-2</v>
      </c>
      <c r="K976">
        <v>3.0686635955651305E-2</v>
      </c>
      <c r="L976">
        <v>-6.9214112562639471E-2</v>
      </c>
      <c r="M976">
        <v>1.36250932248388</v>
      </c>
      <c r="N976">
        <v>0.92857760401800848</v>
      </c>
      <c r="O976">
        <v>-2.0944190461454704</v>
      </c>
      <c r="P976">
        <v>9.0053491241499003E-10</v>
      </c>
      <c r="Q976">
        <v>6.1373271911302615E-10</v>
      </c>
      <c r="R976">
        <v>-1.3842822512527894E-9</v>
      </c>
    </row>
    <row r="977" spans="1:18">
      <c r="A977" t="s">
        <v>212</v>
      </c>
      <c r="B977">
        <v>2017</v>
      </c>
      <c r="C977">
        <v>0.44258385832013608</v>
      </c>
      <c r="D977">
        <v>0.83479248779149662</v>
      </c>
      <c r="E977">
        <v>147.18</v>
      </c>
      <c r="F977">
        <v>-7.53</v>
      </c>
      <c r="G977">
        <v>-146.94</v>
      </c>
      <c r="H977">
        <v>7.6E-3</v>
      </c>
      <c r="I977">
        <v>0.38112699999999999</v>
      </c>
      <c r="J977">
        <v>3.8088977798251086E-2</v>
      </c>
      <c r="K977">
        <v>-1.948702288495928E-3</v>
      </c>
      <c r="L977">
        <v>-3.8026867765151615E-2</v>
      </c>
      <c r="M977">
        <v>2.8947623126670825E-4</v>
      </c>
      <c r="N977">
        <v>-1.4810137392569053E-5</v>
      </c>
      <c r="O977">
        <v>-2.8900419501515229E-4</v>
      </c>
      <c r="P977">
        <v>1.4516737841314041E-2</v>
      </c>
      <c r="Q977">
        <v>-7.4270305710758748E-4</v>
      </c>
      <c r="R977">
        <v>-1.4493066030728939E-2</v>
      </c>
    </row>
    <row r="978" spans="1:18">
      <c r="A978" t="s">
        <v>212</v>
      </c>
      <c r="B978">
        <v>2018</v>
      </c>
      <c r="C978">
        <v>0.35204302991967668</v>
      </c>
      <c r="D978">
        <v>0.8204637229513233</v>
      </c>
      <c r="E978">
        <v>276.63</v>
      </c>
      <c r="F978">
        <v>-33.53</v>
      </c>
      <c r="G978">
        <v>-246.08</v>
      </c>
      <c r="H978">
        <v>2.2000000000000001E-3</v>
      </c>
      <c r="I978">
        <v>0.200627</v>
      </c>
      <c r="J978">
        <v>7.5887174647763678E-2</v>
      </c>
      <c r="K978">
        <v>-9.1981960233507437E-3</v>
      </c>
      <c r="L978">
        <v>-6.7506474125444416E-2</v>
      </c>
      <c r="M978">
        <v>1.6695178422508009E-4</v>
      </c>
      <c r="N978">
        <v>-2.0236031251371639E-5</v>
      </c>
      <c r="O978">
        <v>-1.4851424307597773E-4</v>
      </c>
      <c r="P978">
        <v>1.5225016188056884E-2</v>
      </c>
      <c r="Q978">
        <v>-1.8454064735767897E-3</v>
      </c>
      <c r="R978">
        <v>-1.3543621384365536E-2</v>
      </c>
    </row>
    <row r="979" spans="1:18">
      <c r="A979" t="s">
        <v>212</v>
      </c>
      <c r="B979">
        <v>2019</v>
      </c>
      <c r="C979">
        <v>3.0885315131613952E-2</v>
      </c>
      <c r="D979">
        <v>0.77322868460522776</v>
      </c>
      <c r="E979">
        <v>243.44</v>
      </c>
      <c r="F979">
        <v>30.9</v>
      </c>
      <c r="G979">
        <v>-366.96</v>
      </c>
      <c r="H979">
        <v>2.4199999999999998E-3</v>
      </c>
      <c r="I979">
        <v>0.1104</v>
      </c>
      <c r="J979">
        <v>7.8018639352878588E-2</v>
      </c>
      <c r="K979">
        <v>9.9029574268975854E-3</v>
      </c>
      <c r="L979">
        <v>-0.11760483033573908</v>
      </c>
      <c r="M979">
        <v>1.8880510723396618E-4</v>
      </c>
      <c r="N979">
        <v>2.3965156973092157E-5</v>
      </c>
      <c r="O979">
        <v>-2.8460368941248855E-4</v>
      </c>
      <c r="P979">
        <v>8.6132577845577964E-3</v>
      </c>
      <c r="Q979">
        <v>1.0932864999294934E-3</v>
      </c>
      <c r="R979">
        <v>-1.2983573269065594E-2</v>
      </c>
    </row>
    <row r="980" spans="1:18">
      <c r="A980" t="s">
        <v>212</v>
      </c>
      <c r="B980">
        <v>2020</v>
      </c>
      <c r="C980">
        <v>0.6610943587032877</v>
      </c>
      <c r="D980">
        <v>0.81813044535687207</v>
      </c>
      <c r="E980">
        <v>34.799999999999997</v>
      </c>
      <c r="F980">
        <v>77.69</v>
      </c>
      <c r="G980">
        <v>-120.7</v>
      </c>
      <c r="H980">
        <v>2.4199999999999998E-3</v>
      </c>
      <c r="I980">
        <v>0.1115</v>
      </c>
      <c r="J980">
        <v>1.2446529993276011E-2</v>
      </c>
      <c r="K980">
        <v>2.7786520551080843E-2</v>
      </c>
      <c r="L980">
        <v>-4.3169430177828011E-2</v>
      </c>
      <c r="M980">
        <v>3.0120602583727944E-5</v>
      </c>
      <c r="N980">
        <v>6.7243379733615639E-5</v>
      </c>
      <c r="O980">
        <v>-1.0447002103034377E-4</v>
      </c>
      <c r="P980">
        <v>1.3877880942502754E-3</v>
      </c>
      <c r="Q980">
        <v>3.0981970414455141E-3</v>
      </c>
      <c r="R980">
        <v>-4.8133914648278231E-3</v>
      </c>
    </row>
    <row r="981" spans="1:18">
      <c r="A981" t="s">
        <v>212</v>
      </c>
      <c r="B981">
        <v>2021</v>
      </c>
      <c r="C981">
        <v>-1.5034890344433396</v>
      </c>
      <c r="D981">
        <v>0.63259934028005327</v>
      </c>
      <c r="E981">
        <v>708.66</v>
      </c>
      <c r="F981">
        <v>27.73</v>
      </c>
      <c r="G981">
        <v>-685.99</v>
      </c>
      <c r="H981">
        <v>2.0660000000000001E-2</v>
      </c>
      <c r="I981">
        <v>0.105534</v>
      </c>
      <c r="J981">
        <v>0.25801166524673963</v>
      </c>
      <c r="K981">
        <v>1.009604532115837E-2</v>
      </c>
      <c r="L981">
        <v>-0.24975788423589723</v>
      </c>
      <c r="M981">
        <v>5.3305210039976412E-3</v>
      </c>
      <c r="N981">
        <v>2.0858429633513194E-4</v>
      </c>
      <c r="O981">
        <v>-5.1599978883136374E-3</v>
      </c>
      <c r="P981">
        <v>2.722900308014942E-2</v>
      </c>
      <c r="Q981">
        <v>1.0654760469231276E-3</v>
      </c>
      <c r="R981">
        <v>-2.6357948554951178E-2</v>
      </c>
    </row>
    <row r="982" spans="1:18">
      <c r="A982" t="s">
        <v>213</v>
      </c>
      <c r="B982">
        <v>2017</v>
      </c>
      <c r="C982">
        <v>-1.4793604058125287</v>
      </c>
      <c r="D982">
        <v>0.54372041952216876</v>
      </c>
      <c r="E982">
        <v>350.17</v>
      </c>
      <c r="F982">
        <v>-153.82</v>
      </c>
      <c r="G982">
        <v>-112.61</v>
      </c>
      <c r="H982">
        <v>4.0000000000000002E-4</v>
      </c>
      <c r="I982">
        <v>5.8719999999999996E-3</v>
      </c>
      <c r="J982">
        <v>0.13258490780356672</v>
      </c>
      <c r="K982">
        <v>-5.8240884479951537E-2</v>
      </c>
      <c r="L982">
        <v>-4.2637537389723978E-2</v>
      </c>
      <c r="M982">
        <v>5.3033963121426686E-5</v>
      </c>
      <c r="N982">
        <v>-2.3296353791980614E-5</v>
      </c>
      <c r="O982">
        <v>-1.7055014955889593E-5</v>
      </c>
      <c r="P982">
        <v>7.7853857862254371E-4</v>
      </c>
      <c r="Q982">
        <v>-3.4199047366627539E-4</v>
      </c>
      <c r="R982">
        <v>-2.5036761955245918E-4</v>
      </c>
    </row>
    <row r="983" spans="1:18">
      <c r="A983" t="s">
        <v>213</v>
      </c>
      <c r="B983">
        <v>2018</v>
      </c>
      <c r="C983">
        <v>-1.8284764309248183</v>
      </c>
      <c r="D983">
        <v>0.48938377872072419</v>
      </c>
      <c r="E983">
        <v>305.62</v>
      </c>
      <c r="F983">
        <v>-37.64</v>
      </c>
      <c r="G983">
        <v>-375.35</v>
      </c>
      <c r="H983">
        <v>4.0000000000000002E-4</v>
      </c>
      <c r="I983">
        <v>5.9500000000000004E-3</v>
      </c>
      <c r="J983">
        <v>0.12338960058460881</v>
      </c>
      <c r="K983">
        <v>-1.5196598933331182E-2</v>
      </c>
      <c r="L983">
        <v>-0.15154206720578797</v>
      </c>
      <c r="M983">
        <v>4.9355840233843525E-5</v>
      </c>
      <c r="N983">
        <v>-6.0786395733324731E-6</v>
      </c>
      <c r="O983">
        <v>-6.0616826882315193E-5</v>
      </c>
      <c r="P983">
        <v>7.3416812347842247E-4</v>
      </c>
      <c r="Q983">
        <v>-9.0419763653320541E-5</v>
      </c>
      <c r="R983">
        <v>-9.0167529987443854E-4</v>
      </c>
    </row>
    <row r="984" spans="1:18">
      <c r="A984" t="s">
        <v>213</v>
      </c>
      <c r="B984">
        <v>2019</v>
      </c>
      <c r="C984">
        <v>-1.9079378663103845</v>
      </c>
      <c r="D984">
        <v>0.45336430377968245</v>
      </c>
      <c r="E984">
        <v>314.95999999999998</v>
      </c>
      <c r="F984">
        <v>-73.099999999999994</v>
      </c>
      <c r="G984">
        <v>-226.53</v>
      </c>
      <c r="H984">
        <v>6.4000000000000005E-4</v>
      </c>
      <c r="I984">
        <v>5.9500000000000004E-3</v>
      </c>
      <c r="J984">
        <v>0.13829563018125612</v>
      </c>
      <c r="K984">
        <v>-3.2097442742728674E-2</v>
      </c>
      <c r="L984">
        <v>-9.9466945342138541E-2</v>
      </c>
      <c r="M984">
        <v>8.8509203316003928E-5</v>
      </c>
      <c r="N984">
        <v>-2.0542363355346355E-5</v>
      </c>
      <c r="O984">
        <v>-6.3658845018968677E-5</v>
      </c>
      <c r="P984">
        <v>8.2285899957847402E-4</v>
      </c>
      <c r="Q984">
        <v>-1.9097978431923562E-4</v>
      </c>
      <c r="R984">
        <v>-5.9182832478572433E-4</v>
      </c>
    </row>
    <row r="985" spans="1:18">
      <c r="A985" t="s">
        <v>213</v>
      </c>
      <c r="B985">
        <v>2020</v>
      </c>
      <c r="C985">
        <v>-2.1153102605275151</v>
      </c>
      <c r="D985">
        <v>0.4131461916859871</v>
      </c>
      <c r="E985">
        <v>188.17</v>
      </c>
      <c r="F985">
        <v>-5.62</v>
      </c>
      <c r="G985">
        <v>-195.28</v>
      </c>
      <c r="H985">
        <v>3.8999999999999999E-4</v>
      </c>
      <c r="I985">
        <v>5.9500000000000004E-3</v>
      </c>
      <c r="J985">
        <v>8.7078248716987591E-2</v>
      </c>
      <c r="K985">
        <v>-2.6007320922010434E-3</v>
      </c>
      <c r="L985">
        <v>-9.0368498748224155E-2</v>
      </c>
      <c r="M985">
        <v>3.3960516999625158E-5</v>
      </c>
      <c r="N985">
        <v>-1.0142855159584068E-6</v>
      </c>
      <c r="O985">
        <v>-3.5243714511807421E-5</v>
      </c>
      <c r="P985">
        <v>5.1811557986607625E-4</v>
      </c>
      <c r="Q985">
        <v>-1.5474355948596208E-5</v>
      </c>
      <c r="R985">
        <v>-5.3769256755193371E-4</v>
      </c>
    </row>
    <row r="986" spans="1:18">
      <c r="A986" t="s">
        <v>213</v>
      </c>
      <c r="B986">
        <v>2021</v>
      </c>
      <c r="C986">
        <v>-2.717793285081926</v>
      </c>
      <c r="D986">
        <v>0.34062614780877265</v>
      </c>
      <c r="E986">
        <v>349.54</v>
      </c>
      <c r="F986">
        <v>-20.85</v>
      </c>
      <c r="G986">
        <v>-255.14</v>
      </c>
      <c r="H986">
        <v>1.23E-3</v>
      </c>
      <c r="I986">
        <v>5.9500000000000004E-3</v>
      </c>
      <c r="J986">
        <v>0.16892845405865184</v>
      </c>
      <c r="K986">
        <v>-1.0076552804036422E-2</v>
      </c>
      <c r="L986">
        <v>-0.12330607589553248</v>
      </c>
      <c r="M986">
        <v>2.0778199849214176E-4</v>
      </c>
      <c r="N986">
        <v>-1.2394159948964797E-5</v>
      </c>
      <c r="O986">
        <v>-1.5166647335150495E-4</v>
      </c>
      <c r="P986">
        <v>1.0051243016489786E-3</v>
      </c>
      <c r="Q986">
        <v>-5.9955489184016711E-5</v>
      </c>
      <c r="R986">
        <v>-7.336711515784183E-4</v>
      </c>
    </row>
    <row r="987" spans="1:18">
      <c r="A987" t="s">
        <v>214</v>
      </c>
      <c r="B987">
        <v>2017</v>
      </c>
      <c r="C987">
        <v>-0.12351606896650107</v>
      </c>
      <c r="D987">
        <v>0.7541676243729537</v>
      </c>
      <c r="E987">
        <v>16785.849999999999</v>
      </c>
      <c r="F987">
        <v>-26516.46</v>
      </c>
      <c r="G987">
        <v>8040.45</v>
      </c>
      <c r="H987">
        <v>9.8000000000000004E-2</v>
      </c>
      <c r="I987">
        <v>5.9999999999999995E-4</v>
      </c>
      <c r="J987">
        <v>7.8514842880507349E-2</v>
      </c>
      <c r="K987">
        <v>-0.12402920856836311</v>
      </c>
      <c r="L987">
        <v>3.7608740006527835E-2</v>
      </c>
      <c r="M987">
        <v>7.6944546022897206E-3</v>
      </c>
      <c r="N987">
        <v>-1.2154862439699585E-2</v>
      </c>
      <c r="O987">
        <v>3.6856565206397282E-3</v>
      </c>
      <c r="P987">
        <v>4.7108905728304406E-5</v>
      </c>
      <c r="Q987">
        <v>-7.4417525141017859E-5</v>
      </c>
      <c r="R987">
        <v>2.25652440039167E-5</v>
      </c>
    </row>
    <row r="988" spans="1:18">
      <c r="A988" t="s">
        <v>214</v>
      </c>
      <c r="B988">
        <v>2018</v>
      </c>
      <c r="C988">
        <v>-0.6641900436969238</v>
      </c>
      <c r="D988">
        <v>0.65582309867468935</v>
      </c>
      <c r="E988">
        <v>-9983.73</v>
      </c>
      <c r="F988">
        <v>-62313.62</v>
      </c>
      <c r="G988">
        <v>77719.839999999997</v>
      </c>
      <c r="H988">
        <v>8.6999999999999994E-2</v>
      </c>
      <c r="I988">
        <v>5.9999999999999995E-4</v>
      </c>
      <c r="J988">
        <v>-3.4650427634074644E-2</v>
      </c>
      <c r="K988">
        <v>-0.21627123133610651</v>
      </c>
      <c r="L988">
        <v>0.26974143848560206</v>
      </c>
      <c r="M988">
        <v>-3.0145872041644939E-3</v>
      </c>
      <c r="N988">
        <v>-1.8815597126241264E-2</v>
      </c>
      <c r="O988">
        <v>2.3467505148247376E-2</v>
      </c>
      <c r="P988">
        <v>-2.0790256580444783E-5</v>
      </c>
      <c r="Q988">
        <v>-1.297627388016639E-4</v>
      </c>
      <c r="R988">
        <v>1.6184486309136123E-4</v>
      </c>
    </row>
    <row r="989" spans="1:18">
      <c r="A989" t="s">
        <v>214</v>
      </c>
      <c r="B989">
        <v>2019</v>
      </c>
      <c r="C989">
        <v>-0.39282890504955742</v>
      </c>
      <c r="D989">
        <v>0.70132172687547634</v>
      </c>
      <c r="E989">
        <v>15967.09</v>
      </c>
      <c r="F989">
        <v>-59866.07</v>
      </c>
      <c r="G989">
        <v>48789.37</v>
      </c>
      <c r="H989">
        <v>0.14860000000000001</v>
      </c>
      <c r="I989">
        <v>5.9999999999999995E-4</v>
      </c>
      <c r="J989">
        <v>3.9547878186682914E-2</v>
      </c>
      <c r="K989">
        <v>-0.14827849306764304</v>
      </c>
      <c r="L989">
        <v>0.1208433134381407</v>
      </c>
      <c r="M989">
        <v>5.8768146985410811E-3</v>
      </c>
      <c r="N989">
        <v>-2.2034184069851758E-2</v>
      </c>
      <c r="O989">
        <v>1.7957316376907707E-2</v>
      </c>
      <c r="P989">
        <v>2.3728726912009746E-5</v>
      </c>
      <c r="Q989">
        <v>-8.8967095840585811E-5</v>
      </c>
      <c r="R989">
        <v>7.2505988062884411E-5</v>
      </c>
    </row>
    <row r="990" spans="1:18">
      <c r="A990" t="s">
        <v>214</v>
      </c>
      <c r="B990">
        <v>2020</v>
      </c>
      <c r="C990">
        <v>-0.485127647512761</v>
      </c>
      <c r="D990">
        <v>0.67845796973598593</v>
      </c>
      <c r="E990">
        <v>15954.93</v>
      </c>
      <c r="F990">
        <v>-16213.84</v>
      </c>
      <c r="G990">
        <v>11216.32</v>
      </c>
      <c r="H990">
        <v>0.13589999999999999</v>
      </c>
      <c r="I990">
        <v>5.4000000000000001E-4</v>
      </c>
      <c r="J990">
        <v>3.7762810968526975E-2</v>
      </c>
      <c r="K990">
        <v>-3.8375610234199803E-2</v>
      </c>
      <c r="L990">
        <v>2.6547266075282593E-2</v>
      </c>
      <c r="M990">
        <v>5.131966010622816E-3</v>
      </c>
      <c r="N990">
        <v>-5.2152454308277531E-3</v>
      </c>
      <c r="O990">
        <v>3.607773459630904E-3</v>
      </c>
      <c r="P990">
        <v>2.0391917923004566E-5</v>
      </c>
      <c r="Q990">
        <v>-2.0722829526467894E-5</v>
      </c>
      <c r="R990">
        <v>1.43355236806526E-5</v>
      </c>
    </row>
    <row r="991" spans="1:18">
      <c r="A991" t="s">
        <v>214</v>
      </c>
      <c r="B991">
        <v>2021</v>
      </c>
      <c r="C991">
        <v>-0.6482445561261535</v>
      </c>
      <c r="D991">
        <v>0.62750313987806328</v>
      </c>
      <c r="E991">
        <v>-14205.9</v>
      </c>
      <c r="F991">
        <v>-22383.79</v>
      </c>
      <c r="G991">
        <v>25672.03</v>
      </c>
      <c r="H991">
        <v>0.13439999999999999</v>
      </c>
      <c r="I991">
        <v>5.5000000000000003E-4</v>
      </c>
      <c r="J991">
        <v>-3.3161566291140296E-2</v>
      </c>
      <c r="K991">
        <v>-5.2251637413466466E-2</v>
      </c>
      <c r="L991">
        <v>5.9927545926209698E-2</v>
      </c>
      <c r="M991">
        <v>-4.4569145095292558E-3</v>
      </c>
      <c r="N991">
        <v>-7.0226200683698925E-3</v>
      </c>
      <c r="O991">
        <v>8.0542621724825833E-3</v>
      </c>
      <c r="P991">
        <v>-1.8238861460127165E-5</v>
      </c>
      <c r="Q991">
        <v>-2.8738400577406557E-5</v>
      </c>
      <c r="R991">
        <v>3.2960150259415332E-5</v>
      </c>
    </row>
    <row r="992" spans="1:18">
      <c r="A992" t="s">
        <v>215</v>
      </c>
      <c r="B992">
        <v>2017</v>
      </c>
      <c r="C992">
        <v>0.21653907512542506</v>
      </c>
      <c r="D992">
        <v>0.81065441302421182</v>
      </c>
      <c r="E992">
        <v>593.14</v>
      </c>
      <c r="F992">
        <v>-524.38</v>
      </c>
      <c r="G992">
        <v>-12.33</v>
      </c>
      <c r="H992">
        <v>0</v>
      </c>
      <c r="I992">
        <v>0.63104000000000005</v>
      </c>
      <c r="J992">
        <v>0.44174182449189336</v>
      </c>
      <c r="K992">
        <v>-0.39053272065121059</v>
      </c>
      <c r="L992">
        <v>-9.18278432745228E-3</v>
      </c>
      <c r="M992">
        <v>0</v>
      </c>
      <c r="N992">
        <v>0</v>
      </c>
      <c r="O992">
        <v>0</v>
      </c>
      <c r="P992">
        <v>0.2787567609273644</v>
      </c>
      <c r="Q992">
        <v>-0.24644176803973994</v>
      </c>
      <c r="R992">
        <v>-5.7947042219954874E-3</v>
      </c>
    </row>
    <row r="993" spans="1:18">
      <c r="A993" t="s">
        <v>215</v>
      </c>
      <c r="B993">
        <v>2018</v>
      </c>
      <c r="C993">
        <v>0.46738400754145698</v>
      </c>
      <c r="D993">
        <v>0.8581828585961343</v>
      </c>
      <c r="E993">
        <v>-123.41</v>
      </c>
      <c r="F993">
        <v>-192.31</v>
      </c>
      <c r="G993">
        <v>381.08</v>
      </c>
      <c r="H993">
        <v>0</v>
      </c>
      <c r="I993">
        <v>0.57604</v>
      </c>
      <c r="J993">
        <v>-5.6046541200406912E-2</v>
      </c>
      <c r="K993">
        <v>-8.7337414619968023E-2</v>
      </c>
      <c r="L993">
        <v>0.1730671414038657</v>
      </c>
      <c r="M993">
        <v>0</v>
      </c>
      <c r="N993">
        <v>0</v>
      </c>
      <c r="O993">
        <v>0</v>
      </c>
      <c r="P993">
        <v>-3.2285049593082399E-2</v>
      </c>
      <c r="Q993">
        <v>-5.0309844317686377E-2</v>
      </c>
      <c r="R993">
        <v>9.9693596134282803E-2</v>
      </c>
    </row>
    <row r="994" spans="1:18">
      <c r="A994" t="s">
        <v>215</v>
      </c>
      <c r="B994">
        <v>2019</v>
      </c>
      <c r="C994">
        <v>0.23351227192389348</v>
      </c>
      <c r="D994">
        <v>0.81880756686236134</v>
      </c>
      <c r="E994">
        <v>-311.51</v>
      </c>
      <c r="F994">
        <v>493.9</v>
      </c>
      <c r="G994">
        <v>-209.05</v>
      </c>
      <c r="H994">
        <v>4.0000000000000002E-4</v>
      </c>
      <c r="I994">
        <v>0.56633999999999995</v>
      </c>
      <c r="J994">
        <v>-0.16256229615133724</v>
      </c>
      <c r="K994">
        <v>0.25774298760600128</v>
      </c>
      <c r="L994">
        <v>-0.10909328114807568</v>
      </c>
      <c r="M994">
        <v>-6.5024918460534901E-5</v>
      </c>
      <c r="N994">
        <v>1.0309719504240052E-4</v>
      </c>
      <c r="O994">
        <v>-4.3637312459230272E-5</v>
      </c>
      <c r="P994">
        <v>-9.2065530802348333E-2</v>
      </c>
      <c r="Q994">
        <v>0.14597016360078274</v>
      </c>
      <c r="R994">
        <v>-6.1783888845401175E-2</v>
      </c>
    </row>
    <row r="995" spans="1:18">
      <c r="A995" t="s">
        <v>215</v>
      </c>
      <c r="B995">
        <v>2020</v>
      </c>
      <c r="C995">
        <v>-0.76548996756229037</v>
      </c>
      <c r="D995">
        <v>0.66597682919753209</v>
      </c>
      <c r="E995">
        <v>44.96</v>
      </c>
      <c r="F995">
        <v>131.11000000000001</v>
      </c>
      <c r="G995">
        <v>-108.95</v>
      </c>
      <c r="H995">
        <v>2.9999999999999997E-4</v>
      </c>
      <c r="I995">
        <v>0.39030000000000004</v>
      </c>
      <c r="J995">
        <v>2.8986067861955143E-2</v>
      </c>
      <c r="K995">
        <v>8.4527654746017325E-2</v>
      </c>
      <c r="L995">
        <v>-7.0240927347865051E-2</v>
      </c>
      <c r="M995">
        <v>8.6958203585865417E-6</v>
      </c>
      <c r="N995">
        <v>2.5358296423805197E-5</v>
      </c>
      <c r="O995">
        <v>-2.1072278204359514E-5</v>
      </c>
      <c r="P995">
        <v>1.1313262286521094E-2</v>
      </c>
      <c r="Q995">
        <v>3.2991143647370567E-2</v>
      </c>
      <c r="R995">
        <v>-2.7415033943871733E-2</v>
      </c>
    </row>
    <row r="996" spans="1:18">
      <c r="A996" t="s">
        <v>215</v>
      </c>
      <c r="B996">
        <v>2021</v>
      </c>
      <c r="C996">
        <v>-1.5850818310336738</v>
      </c>
      <c r="D996">
        <v>0.6168505390326775</v>
      </c>
      <c r="E996">
        <v>275.76</v>
      </c>
      <c r="F996">
        <v>-19.68</v>
      </c>
      <c r="G996">
        <v>245.85</v>
      </c>
      <c r="H996">
        <v>1.8200000000000001E-2</v>
      </c>
      <c r="I996">
        <v>0.36564000000000002</v>
      </c>
      <c r="J996">
        <v>0.1156759931205168</v>
      </c>
      <c r="K996">
        <v>-8.2553798397583793E-3</v>
      </c>
      <c r="L996">
        <v>0.10312932589454255</v>
      </c>
      <c r="M996">
        <v>2.1053030747934056E-3</v>
      </c>
      <c r="N996">
        <v>-1.5024791308360252E-4</v>
      </c>
      <c r="O996">
        <v>1.8769537312806745E-3</v>
      </c>
      <c r="P996">
        <v>4.2295770124585762E-2</v>
      </c>
      <c r="Q996">
        <v>-3.0184970846092538E-3</v>
      </c>
      <c r="R996">
        <v>3.7708206720080538E-2</v>
      </c>
    </row>
    <row r="997" spans="1:18">
      <c r="A997" t="s">
        <v>217</v>
      </c>
      <c r="B997">
        <v>2017</v>
      </c>
      <c r="C997">
        <v>-1.8827656614276613</v>
      </c>
      <c r="D997">
        <v>0.50353120527658524</v>
      </c>
      <c r="E997">
        <v>288.49</v>
      </c>
      <c r="F997">
        <v>-253.84</v>
      </c>
      <c r="G997">
        <v>-21.27</v>
      </c>
      <c r="H997">
        <v>0.13350000000000001</v>
      </c>
      <c r="I997">
        <v>7.1900000000000002E-3</v>
      </c>
      <c r="J997">
        <v>0.1495913965113144</v>
      </c>
      <c r="K997">
        <v>-0.13162425072075998</v>
      </c>
      <c r="L997">
        <v>-1.1029183000435566E-2</v>
      </c>
      <c r="M997">
        <v>1.9970451434260472E-2</v>
      </c>
      <c r="N997">
        <v>-1.7571837471221458E-2</v>
      </c>
      <c r="O997">
        <v>-1.4723959305581482E-3</v>
      </c>
      <c r="P997">
        <v>1.0755621409163506E-3</v>
      </c>
      <c r="Q997">
        <v>-9.4637836268226432E-4</v>
      </c>
      <c r="R997">
        <v>-7.9299825773131719E-5</v>
      </c>
    </row>
    <row r="998" spans="1:18">
      <c r="A998" t="s">
        <v>217</v>
      </c>
      <c r="B998">
        <v>2018</v>
      </c>
      <c r="C998">
        <v>-1.8137829799803873</v>
      </c>
      <c r="D998">
        <v>0.49312519284171558</v>
      </c>
      <c r="E998">
        <v>92.69</v>
      </c>
      <c r="F998">
        <v>-6.52</v>
      </c>
      <c r="G998">
        <v>-113.65</v>
      </c>
      <c r="H998">
        <v>0.1333</v>
      </c>
      <c r="I998">
        <v>1.8E-3</v>
      </c>
      <c r="J998">
        <v>4.4686246528849123E-2</v>
      </c>
      <c r="K998">
        <v>-3.1433199629743907E-3</v>
      </c>
      <c r="L998">
        <v>-5.4791152422091954E-2</v>
      </c>
      <c r="M998">
        <v>5.9566766622955883E-3</v>
      </c>
      <c r="N998">
        <v>-4.1900455106448625E-4</v>
      </c>
      <c r="O998">
        <v>-7.3036606178648574E-3</v>
      </c>
      <c r="P998">
        <v>8.0435243751928416E-5</v>
      </c>
      <c r="Q998">
        <v>-5.6579759333539028E-6</v>
      </c>
      <c r="R998">
        <v>-9.862407435976552E-5</v>
      </c>
    </row>
    <row r="999" spans="1:18">
      <c r="A999" t="s">
        <v>217</v>
      </c>
      <c r="B999">
        <v>2019</v>
      </c>
      <c r="C999">
        <v>-1.9308234047782216</v>
      </c>
      <c r="D999">
        <v>0.43026571322728757</v>
      </c>
      <c r="E999">
        <v>163.04</v>
      </c>
      <c r="F999">
        <v>-6.82</v>
      </c>
      <c r="G999">
        <v>-166.33</v>
      </c>
      <c r="H999">
        <v>0.13500000000000001</v>
      </c>
      <c r="I999">
        <v>0.1615</v>
      </c>
      <c r="J999">
        <v>9.1512219216218951E-2</v>
      </c>
      <c r="K999">
        <v>-3.8279767851730454E-3</v>
      </c>
      <c r="L999">
        <v>-9.3358853178567833E-2</v>
      </c>
      <c r="M999">
        <v>1.2354149594189559E-2</v>
      </c>
      <c r="N999">
        <v>-5.1677686599836117E-4</v>
      </c>
      <c r="O999">
        <v>-1.2603445179106658E-2</v>
      </c>
      <c r="P999">
        <v>1.4779223403419361E-2</v>
      </c>
      <c r="Q999">
        <v>-6.1821825080544685E-4</v>
      </c>
      <c r="R999">
        <v>-1.5077454788338706E-2</v>
      </c>
    </row>
    <row r="1000" spans="1:18">
      <c r="A1000" t="s">
        <v>217</v>
      </c>
      <c r="B1000">
        <v>2020</v>
      </c>
      <c r="C1000">
        <v>-1.46973625139956</v>
      </c>
      <c r="D1000">
        <v>0.50288721444803253</v>
      </c>
      <c r="E1000">
        <v>-161.30000000000001</v>
      </c>
      <c r="F1000">
        <v>-25.67</v>
      </c>
      <c r="G1000">
        <v>155.47999999999999</v>
      </c>
      <c r="H1000">
        <v>0.1172</v>
      </c>
      <c r="I1000">
        <v>6.5909999999999996E-2</v>
      </c>
      <c r="J1000">
        <v>-7.7167802894390625E-2</v>
      </c>
      <c r="K1000">
        <v>-1.2280827652194714E-2</v>
      </c>
      <c r="L1000">
        <v>7.4383446956105728E-2</v>
      </c>
      <c r="M1000">
        <v>-9.0440664992225816E-3</v>
      </c>
      <c r="N1000">
        <v>-1.4393130008372205E-3</v>
      </c>
      <c r="O1000">
        <v>8.7177399832555919E-3</v>
      </c>
      <c r="P1000">
        <v>-5.0861298887692856E-3</v>
      </c>
      <c r="Q1000">
        <v>-8.0942935055615362E-4</v>
      </c>
      <c r="R1000">
        <v>4.902612988876928E-3</v>
      </c>
    </row>
    <row r="1001" spans="1:18">
      <c r="A1001" t="s">
        <v>217</v>
      </c>
      <c r="B1001">
        <v>2021</v>
      </c>
      <c r="C1001">
        <v>-1.758952129504596</v>
      </c>
      <c r="D1001">
        <v>0.4790619438824017</v>
      </c>
      <c r="E1001">
        <v>-83.25</v>
      </c>
      <c r="F1001">
        <v>156.41999999999999</v>
      </c>
      <c r="G1001">
        <v>27.82</v>
      </c>
      <c r="H1001">
        <v>4.7000000000000002E-3</v>
      </c>
      <c r="I1001">
        <v>6.5909999999999996E-2</v>
      </c>
      <c r="J1001">
        <v>-4.058896662684966E-2</v>
      </c>
      <c r="K1001">
        <v>7.6263377294556428E-2</v>
      </c>
      <c r="L1001">
        <v>1.3563784403110601E-2</v>
      </c>
      <c r="M1001">
        <v>-1.907681431461934E-4</v>
      </c>
      <c r="N1001">
        <v>3.5843787328441524E-4</v>
      </c>
      <c r="O1001">
        <v>6.3749786694619823E-5</v>
      </c>
      <c r="P1001">
        <v>-2.6752187903756608E-3</v>
      </c>
      <c r="Q1001">
        <v>5.026519197484214E-3</v>
      </c>
      <c r="R1001">
        <v>8.9398903000901966E-4</v>
      </c>
    </row>
    <row r="1002" spans="1:18">
      <c r="A1002" t="s">
        <v>218</v>
      </c>
      <c r="B1002">
        <v>2017</v>
      </c>
      <c r="C1002">
        <v>-3.0855662849706138</v>
      </c>
      <c r="D1002">
        <v>0.27693471979242423</v>
      </c>
      <c r="E1002">
        <v>-81.22</v>
      </c>
      <c r="F1002">
        <v>-288.07</v>
      </c>
      <c r="G1002">
        <v>385.54</v>
      </c>
      <c r="H1002">
        <v>2.4199999999999998E-3</v>
      </c>
      <c r="I1002">
        <v>0</v>
      </c>
      <c r="J1002">
        <v>-7.9826233955143197E-2</v>
      </c>
      <c r="K1002">
        <v>-0.2831266093998781</v>
      </c>
      <c r="L1002">
        <v>0.37892398718377135</v>
      </c>
      <c r="M1002">
        <v>-1.9317948617144653E-4</v>
      </c>
      <c r="N1002">
        <v>-6.8516639474770497E-4</v>
      </c>
      <c r="O1002">
        <v>9.1699604898472665E-4</v>
      </c>
      <c r="P1002">
        <v>0</v>
      </c>
      <c r="Q1002">
        <v>0</v>
      </c>
      <c r="R1002">
        <v>0</v>
      </c>
    </row>
    <row r="1003" spans="1:18">
      <c r="A1003" t="s">
        <v>218</v>
      </c>
      <c r="B1003">
        <v>2018</v>
      </c>
      <c r="C1003">
        <v>-3.5758973899835866</v>
      </c>
      <c r="D1003">
        <v>0.28517067395777546</v>
      </c>
      <c r="E1003">
        <v>-322.12</v>
      </c>
      <c r="F1003">
        <v>282.25</v>
      </c>
      <c r="G1003">
        <v>-0.51</v>
      </c>
      <c r="H1003">
        <v>2.6370000000000001E-2</v>
      </c>
      <c r="I1003">
        <v>0</v>
      </c>
      <c r="J1003">
        <v>-0.2269921357499225</v>
      </c>
      <c r="K1003">
        <v>0.19889646813428419</v>
      </c>
      <c r="L1003">
        <v>-3.5938777235955692E-4</v>
      </c>
      <c r="M1003">
        <v>-5.9857826197254561E-3</v>
      </c>
      <c r="N1003">
        <v>5.2448998647010745E-3</v>
      </c>
      <c r="O1003">
        <v>-9.4770555571215161E-6</v>
      </c>
      <c r="P1003">
        <v>0</v>
      </c>
      <c r="Q1003">
        <v>0</v>
      </c>
      <c r="R1003">
        <v>0</v>
      </c>
    </row>
    <row r="1004" spans="1:18">
      <c r="A1004" t="s">
        <v>218</v>
      </c>
      <c r="B1004">
        <v>2019</v>
      </c>
      <c r="C1004">
        <v>-2.9735940111555648</v>
      </c>
      <c r="D1004">
        <v>0.24716143128335538</v>
      </c>
      <c r="E1004">
        <v>-355.26</v>
      </c>
      <c r="F1004">
        <v>61.66</v>
      </c>
      <c r="G1004">
        <v>276.75</v>
      </c>
      <c r="H1004">
        <v>3.4200000000000001E-2</v>
      </c>
      <c r="I1004">
        <v>0</v>
      </c>
      <c r="J1004">
        <v>-0.21207779648268202</v>
      </c>
      <c r="K1004">
        <v>3.6808863736762294E-2</v>
      </c>
      <c r="L1004">
        <v>0.16521007199398258</v>
      </c>
      <c r="M1004">
        <v>-7.2530606397077256E-3</v>
      </c>
      <c r="N1004">
        <v>1.2588631397972706E-3</v>
      </c>
      <c r="O1004">
        <v>5.6501844621942047E-3</v>
      </c>
      <c r="P1004">
        <v>0</v>
      </c>
      <c r="Q1004">
        <v>0</v>
      </c>
      <c r="R1004">
        <v>0</v>
      </c>
    </row>
    <row r="1005" spans="1:18">
      <c r="A1005" t="s">
        <v>218</v>
      </c>
      <c r="B1005">
        <v>2020</v>
      </c>
      <c r="C1005">
        <v>-2.8846992217058545</v>
      </c>
      <c r="D1005">
        <v>0.25114564536043305</v>
      </c>
      <c r="E1005">
        <v>-293.12</v>
      </c>
      <c r="F1005">
        <v>0.74</v>
      </c>
      <c r="G1005">
        <v>290.45</v>
      </c>
      <c r="H1005">
        <v>1.72E-2</v>
      </c>
      <c r="I1005">
        <v>0.1173</v>
      </c>
      <c r="J1005">
        <v>-0.17399563111406591</v>
      </c>
      <c r="K1005">
        <v>4.3926298793807574E-4</v>
      </c>
      <c r="L1005">
        <v>0.17241072276569472</v>
      </c>
      <c r="M1005">
        <v>-2.9927248551619334E-3</v>
      </c>
      <c r="N1005">
        <v>7.5553233925349026E-6</v>
      </c>
      <c r="O1005">
        <v>2.9654644315699492E-3</v>
      </c>
      <c r="P1005">
        <v>-2.0409687529679931E-2</v>
      </c>
      <c r="Q1005">
        <v>5.1525548485136289E-5</v>
      </c>
      <c r="R1005">
        <v>2.0223777780415991E-2</v>
      </c>
    </row>
    <row r="1006" spans="1:18">
      <c r="A1006" t="s">
        <v>218</v>
      </c>
      <c r="B1006">
        <v>2021</v>
      </c>
      <c r="C1006">
        <v>-2.5549792235101689</v>
      </c>
      <c r="D1006">
        <v>0.32077370604982591</v>
      </c>
      <c r="E1006">
        <v>-173.34</v>
      </c>
      <c r="F1006">
        <v>0.03</v>
      </c>
      <c r="G1006">
        <v>171.15</v>
      </c>
      <c r="H1006">
        <v>2.7000000000000001E-3</v>
      </c>
      <c r="I1006">
        <v>0.12529999999999999</v>
      </c>
      <c r="J1006">
        <v>-9.329034966389857E-2</v>
      </c>
      <c r="K1006">
        <v>1.6145785680840871E-5</v>
      </c>
      <c r="L1006">
        <v>9.2111707309197183E-2</v>
      </c>
      <c r="M1006">
        <v>-2.5188394409252616E-4</v>
      </c>
      <c r="N1006">
        <v>4.3593621338270351E-8</v>
      </c>
      <c r="O1006">
        <v>2.4870160973483238E-4</v>
      </c>
      <c r="P1006">
        <v>-1.1689280812886491E-2</v>
      </c>
      <c r="Q1006">
        <v>2.0230669458093612E-6</v>
      </c>
      <c r="R1006">
        <v>1.1541596925842406E-2</v>
      </c>
    </row>
    <row r="1007" spans="1:18">
      <c r="A1007" t="s">
        <v>219</v>
      </c>
      <c r="B1007">
        <v>2017</v>
      </c>
      <c r="C1007">
        <v>-1.0670890581479817</v>
      </c>
      <c r="D1007">
        <v>0.61062239221140469</v>
      </c>
      <c r="E1007">
        <v>-99.67</v>
      </c>
      <c r="F1007">
        <v>-38.92</v>
      </c>
      <c r="G1007">
        <v>121.85</v>
      </c>
      <c r="H1007">
        <v>3.1199999999999999E-2</v>
      </c>
      <c r="I1007">
        <v>2.8038E-3</v>
      </c>
      <c r="J1007">
        <v>-0.17327885952712099</v>
      </c>
      <c r="K1007">
        <v>-6.7663421418636988E-2</v>
      </c>
      <c r="L1007">
        <v>0.21183936022253128</v>
      </c>
      <c r="M1007">
        <v>-5.4063004172461744E-3</v>
      </c>
      <c r="N1007">
        <v>-2.1110987482614741E-3</v>
      </c>
      <c r="O1007">
        <v>6.6093880389429755E-3</v>
      </c>
      <c r="P1007">
        <v>-4.8583926634214182E-4</v>
      </c>
      <c r="Q1007">
        <v>-1.8971470097357439E-4</v>
      </c>
      <c r="R1007">
        <v>5.939551981919332E-4</v>
      </c>
    </row>
    <row r="1008" spans="1:18">
      <c r="A1008" t="s">
        <v>219</v>
      </c>
      <c r="B1008">
        <v>2018</v>
      </c>
      <c r="C1008">
        <v>-0.43708196803841737</v>
      </c>
      <c r="D1008">
        <v>0.70340684215771421</v>
      </c>
      <c r="E1008">
        <v>5.23</v>
      </c>
      <c r="F1008">
        <v>-2.85</v>
      </c>
      <c r="G1008">
        <v>3.15</v>
      </c>
      <c r="H1008">
        <v>5.1000000000000004E-3</v>
      </c>
      <c r="I1008">
        <v>2.8038E-3</v>
      </c>
      <c r="J1008">
        <v>7.4457937671730196E-3</v>
      </c>
      <c r="K1008">
        <v>-4.0574593186315684E-3</v>
      </c>
      <c r="L1008">
        <v>4.4845602995401551E-3</v>
      </c>
      <c r="M1008">
        <v>3.7973548212582403E-5</v>
      </c>
      <c r="N1008">
        <v>-2.0693042525021E-5</v>
      </c>
      <c r="O1008">
        <v>2.2871257527654792E-5</v>
      </c>
      <c r="P1008">
        <v>2.0876516564399713E-5</v>
      </c>
      <c r="Q1008">
        <v>-1.1376304437579192E-5</v>
      </c>
      <c r="R1008">
        <v>1.2573810167850687E-5</v>
      </c>
    </row>
    <row r="1009" spans="1:18">
      <c r="A1009" t="s">
        <v>219</v>
      </c>
      <c r="B1009">
        <v>2019</v>
      </c>
      <c r="C1009">
        <v>-0.51733496975319848</v>
      </c>
      <c r="D1009">
        <v>0.6913357667469594</v>
      </c>
      <c r="E1009">
        <v>0.28999999999999998</v>
      </c>
      <c r="F1009">
        <v>-41.37</v>
      </c>
      <c r="G1009">
        <v>14.08</v>
      </c>
      <c r="H1009">
        <v>5.1000000000000004E-3</v>
      </c>
      <c r="I1009">
        <v>2.8038E-3</v>
      </c>
      <c r="J1009">
        <v>4.2855665075588518E-4</v>
      </c>
      <c r="K1009">
        <v>-6.1135822902658524E-2</v>
      </c>
      <c r="L1009">
        <v>2.0807164284975393E-2</v>
      </c>
      <c r="M1009">
        <v>2.1856389188550148E-6</v>
      </c>
      <c r="N1009">
        <v>-3.1179269680355851E-4</v>
      </c>
      <c r="O1009">
        <v>1.0611653785337452E-4</v>
      </c>
      <c r="P1009">
        <v>1.2015871373893509E-6</v>
      </c>
      <c r="Q1009">
        <v>-1.7141262025447397E-4</v>
      </c>
      <c r="R1009">
        <v>5.8339127222214011E-5</v>
      </c>
    </row>
    <row r="1010" spans="1:18">
      <c r="A1010" t="s">
        <v>219</v>
      </c>
      <c r="B1010">
        <v>2020</v>
      </c>
      <c r="C1010">
        <v>-0.51776390699517783</v>
      </c>
      <c r="D1010">
        <v>0.6874277192768885</v>
      </c>
      <c r="E1010">
        <v>54.53</v>
      </c>
      <c r="F1010">
        <v>-8.3000000000000007</v>
      </c>
      <c r="G1010">
        <v>-25</v>
      </c>
      <c r="H1010">
        <v>5.1000000000000004E-3</v>
      </c>
      <c r="I1010">
        <v>2.8038E-3</v>
      </c>
      <c r="J1010">
        <v>8.2978270132083518E-2</v>
      </c>
      <c r="K1010">
        <v>-1.263010530160083E-2</v>
      </c>
      <c r="L1010">
        <v>-3.8042485848195265E-2</v>
      </c>
      <c r="M1010">
        <v>4.2318917767362595E-4</v>
      </c>
      <c r="N1010">
        <v>-6.4413537038164246E-5</v>
      </c>
      <c r="O1010">
        <v>-1.9401667782579585E-4</v>
      </c>
      <c r="P1010">
        <v>2.3265447379633577E-4</v>
      </c>
      <c r="Q1010">
        <v>-3.541228924462841E-5</v>
      </c>
      <c r="R1010">
        <v>-1.0666352182116988E-4</v>
      </c>
    </row>
    <row r="1011" spans="1:18">
      <c r="A1011" t="s">
        <v>219</v>
      </c>
      <c r="B1011">
        <v>2021</v>
      </c>
      <c r="C1011">
        <v>-1.3413768622597677</v>
      </c>
      <c r="D1011">
        <v>0.59409504625484932</v>
      </c>
      <c r="E1011">
        <v>17.350000000000001</v>
      </c>
      <c r="F1011">
        <v>72.959999999999994</v>
      </c>
      <c r="G1011">
        <v>-56.71</v>
      </c>
      <c r="H1011">
        <v>5.3E-3</v>
      </c>
      <c r="I1011">
        <v>2.8038E-3</v>
      </c>
      <c r="J1011">
        <v>3.2359743360190991E-2</v>
      </c>
      <c r="K1011">
        <v>0.13607878245299909</v>
      </c>
      <c r="L1011">
        <v>-0.10577066547299314</v>
      </c>
      <c r="M1011">
        <v>1.7150663980901226E-4</v>
      </c>
      <c r="N1011">
        <v>7.2121754700089523E-4</v>
      </c>
      <c r="O1011">
        <v>-5.6058452700686364E-4</v>
      </c>
      <c r="P1011">
        <v>9.0730248433303504E-5</v>
      </c>
      <c r="Q1011">
        <v>3.8153769024171886E-4</v>
      </c>
      <c r="R1011">
        <v>-2.9655979185317819E-4</v>
      </c>
    </row>
    <row r="1012" spans="1:18">
      <c r="A1012" t="s">
        <v>220</v>
      </c>
      <c r="B1012">
        <v>2017</v>
      </c>
      <c r="C1012">
        <v>-2.1421322703768437</v>
      </c>
      <c r="D1012">
        <v>0.41732170196150958</v>
      </c>
      <c r="E1012">
        <v>395.09</v>
      </c>
      <c r="F1012">
        <v>-199.29</v>
      </c>
      <c r="G1012">
        <v>-174.5</v>
      </c>
      <c r="H1012">
        <v>2.01E-2</v>
      </c>
      <c r="I1012">
        <v>3.3E-4</v>
      </c>
      <c r="J1012">
        <v>0.202978740893725</v>
      </c>
      <c r="K1012">
        <v>-0.10238586973274559</v>
      </c>
      <c r="L1012">
        <v>-8.964992858830903E-2</v>
      </c>
      <c r="M1012">
        <v>4.0798726919638725E-3</v>
      </c>
      <c r="N1012">
        <v>-2.0579559816281865E-3</v>
      </c>
      <c r="O1012">
        <v>-1.8019635646250114E-3</v>
      </c>
      <c r="P1012">
        <v>6.6982984494929254E-5</v>
      </c>
      <c r="Q1012">
        <v>-3.3787337011806042E-5</v>
      </c>
      <c r="R1012">
        <v>-2.9584476434141979E-5</v>
      </c>
    </row>
    <row r="1013" spans="1:18">
      <c r="A1013" t="s">
        <v>220</v>
      </c>
      <c r="B1013">
        <v>2018</v>
      </c>
      <c r="C1013">
        <v>-2.4018566952273637</v>
      </c>
      <c r="D1013">
        <v>0.37756782525786597</v>
      </c>
      <c r="E1013">
        <v>415.27</v>
      </c>
      <c r="F1013">
        <v>-28.74</v>
      </c>
      <c r="G1013">
        <v>-238.48</v>
      </c>
      <c r="H1013">
        <v>2.4199999999999999E-2</v>
      </c>
      <c r="I1013">
        <v>2.3E-3</v>
      </c>
      <c r="J1013">
        <v>0.22496641241223886</v>
      </c>
      <c r="K1013">
        <v>-1.5569472133136862E-2</v>
      </c>
      <c r="L1013">
        <v>-0.12919303111727484</v>
      </c>
      <c r="M1013">
        <v>5.4441871803761806E-3</v>
      </c>
      <c r="N1013">
        <v>-3.7678122562191202E-4</v>
      </c>
      <c r="O1013">
        <v>-3.1264713530380511E-3</v>
      </c>
      <c r="P1013">
        <v>5.1742274854814938E-4</v>
      </c>
      <c r="Q1013">
        <v>-3.5809785906214783E-5</v>
      </c>
      <c r="R1013">
        <v>-2.9714397156973215E-4</v>
      </c>
    </row>
    <row r="1014" spans="1:18">
      <c r="A1014" t="s">
        <v>220</v>
      </c>
      <c r="B1014">
        <v>2019</v>
      </c>
      <c r="C1014">
        <v>-2.1754181149030889</v>
      </c>
      <c r="D1014">
        <v>0.41323372357279153</v>
      </c>
      <c r="E1014">
        <v>309.37</v>
      </c>
      <c r="F1014">
        <v>-246.03</v>
      </c>
      <c r="G1014">
        <v>-16.48</v>
      </c>
      <c r="H1014">
        <v>2.5399999999999999E-2</v>
      </c>
      <c r="I1014">
        <v>3.0999999999999999E-3</v>
      </c>
      <c r="J1014">
        <v>0.15658674603054093</v>
      </c>
      <c r="K1014">
        <v>-0.12452738509194163</v>
      </c>
      <c r="L1014">
        <v>-8.3413051510596199E-3</v>
      </c>
      <c r="M1014">
        <v>3.9773033491757393E-3</v>
      </c>
      <c r="N1014">
        <v>-3.1629955813353172E-3</v>
      </c>
      <c r="O1014">
        <v>-2.1186915083691433E-4</v>
      </c>
      <c r="P1014">
        <v>4.8541891269467688E-4</v>
      </c>
      <c r="Q1014">
        <v>-3.8603489378501903E-4</v>
      </c>
      <c r="R1014">
        <v>-2.5858045968284821E-5</v>
      </c>
    </row>
    <row r="1015" spans="1:18">
      <c r="A1015" t="s">
        <v>220</v>
      </c>
      <c r="B1015">
        <v>2020</v>
      </c>
      <c r="C1015">
        <v>-2.2951902358071545</v>
      </c>
      <c r="D1015">
        <v>0.38370836529363356</v>
      </c>
      <c r="E1015">
        <v>284.38</v>
      </c>
      <c r="F1015">
        <v>-19.27</v>
      </c>
      <c r="G1015">
        <v>-181.52</v>
      </c>
      <c r="H1015">
        <v>1.8599999999999998E-2</v>
      </c>
      <c r="I1015">
        <v>3.8509999999999998E-3</v>
      </c>
      <c r="J1015">
        <v>0.15922108316023448</v>
      </c>
      <c r="K1015">
        <v>-1.0789050821076441E-2</v>
      </c>
      <c r="L1015">
        <v>-0.10163095511374136</v>
      </c>
      <c r="M1015">
        <v>2.9615121467803612E-3</v>
      </c>
      <c r="N1015">
        <v>-2.0067634527202178E-4</v>
      </c>
      <c r="O1015">
        <v>-1.8903357651155891E-3</v>
      </c>
      <c r="P1015">
        <v>6.1316039125006291E-4</v>
      </c>
      <c r="Q1015">
        <v>-4.1548634711965375E-5</v>
      </c>
      <c r="R1015">
        <v>-3.9138080814301793E-4</v>
      </c>
    </row>
    <row r="1016" spans="1:18">
      <c r="A1016" t="s">
        <v>220</v>
      </c>
      <c r="B1016">
        <v>2021</v>
      </c>
      <c r="C1016">
        <v>-2.6648912696786713</v>
      </c>
      <c r="D1016">
        <v>0.34645171577280959</v>
      </c>
      <c r="E1016">
        <v>235.57</v>
      </c>
      <c r="F1016">
        <v>118.28</v>
      </c>
      <c r="G1016">
        <v>-135.94</v>
      </c>
      <c r="H1016">
        <v>1.9400000000000001E-2</v>
      </c>
      <c r="I1016">
        <v>3.8509999999999998E-3</v>
      </c>
      <c r="J1016">
        <v>0.13414689703085317</v>
      </c>
      <c r="K1016">
        <v>6.7355329544548592E-2</v>
      </c>
      <c r="L1016">
        <v>-7.7411933533022795E-2</v>
      </c>
      <c r="M1016">
        <v>2.6024498023985514E-3</v>
      </c>
      <c r="N1016">
        <v>1.3066933931642427E-3</v>
      </c>
      <c r="O1016">
        <v>-1.5017915105406422E-3</v>
      </c>
      <c r="P1016">
        <v>5.1659970046581552E-4</v>
      </c>
      <c r="Q1016">
        <v>2.5938537407605664E-4</v>
      </c>
      <c r="R1016">
        <v>-2.9811335603567075E-4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2ED2-C8A0-40A0-A2B5-787BE85A9594}">
  <dimension ref="A1:D954"/>
  <sheetViews>
    <sheetView workbookViewId="0">
      <selection activeCell="I14" sqref="I14"/>
    </sheetView>
  </sheetViews>
  <sheetFormatPr defaultRowHeight="12.5"/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0.97593338653692674</v>
      </c>
      <c r="B2">
        <v>0.42042857738078071</v>
      </c>
      <c r="C2">
        <v>0.33975989118221067</v>
      </c>
      <c r="D2">
        <v>-6.2966163879104506</v>
      </c>
    </row>
    <row r="3" spans="1:4">
      <c r="A3">
        <v>0.3662950927563654</v>
      </c>
      <c r="B3">
        <v>4.528814117066348E-2</v>
      </c>
      <c r="C3">
        <v>17.780018331805682</v>
      </c>
      <c r="D3">
        <v>-5.7613055860580848</v>
      </c>
    </row>
    <row r="4" spans="1:4">
      <c r="A4">
        <v>0.41632413388138578</v>
      </c>
      <c r="B4">
        <v>8.1359692046714949E-2</v>
      </c>
      <c r="C4">
        <v>8.4330392943063348</v>
      </c>
      <c r="D4">
        <v>-5.7434405149771868</v>
      </c>
    </row>
    <row r="5" spans="1:4">
      <c r="A5">
        <v>0.40038002171552656</v>
      </c>
      <c r="B5">
        <v>7.6547231270358299E-2</v>
      </c>
      <c r="C5">
        <v>9.4973404255319149</v>
      </c>
      <c r="D5">
        <v>-5.7033802411809544</v>
      </c>
    </row>
    <row r="6" spans="1:4">
      <c r="A6">
        <v>0.41786722114956187</v>
      </c>
      <c r="B6">
        <v>9.1563938808851927E-2</v>
      </c>
      <c r="C6">
        <v>7.6893755068937555</v>
      </c>
      <c r="D6">
        <v>-5.6892455459901479</v>
      </c>
    </row>
    <row r="7" spans="1:4">
      <c r="A7">
        <v>0.37839812920198773</v>
      </c>
      <c r="B7">
        <v>6.591639871382636E-2</v>
      </c>
      <c r="C7">
        <v>9.7261640798226168</v>
      </c>
      <c r="D7">
        <v>-5.6659727650594238</v>
      </c>
    </row>
    <row r="8" spans="1:4">
      <c r="A8">
        <v>0.36278223973329299</v>
      </c>
      <c r="B8">
        <v>6.8987725412941361E-2</v>
      </c>
      <c r="C8">
        <v>14.363134657836643</v>
      </c>
      <c r="D8">
        <v>-5.5967425825773987</v>
      </c>
    </row>
    <row r="9" spans="1:4">
      <c r="A9">
        <v>0.29581917331858054</v>
      </c>
      <c r="B9">
        <v>3.963486920098E-2</v>
      </c>
      <c r="C9">
        <v>9.7936191425722843</v>
      </c>
      <c r="D9">
        <v>-5.4444420020583149</v>
      </c>
    </row>
    <row r="10" spans="1:4">
      <c r="A10">
        <v>0.34503495996811945</v>
      </c>
      <c r="B10">
        <v>0.10122088178821144</v>
      </c>
      <c r="C10">
        <v>9.683908045977013</v>
      </c>
      <c r="D10">
        <v>-5.3144339258476396</v>
      </c>
    </row>
    <row r="11" spans="1:4">
      <c r="A11">
        <v>0.1838330457290768</v>
      </c>
      <c r="B11">
        <v>6.7946505608283006E-3</v>
      </c>
      <c r="C11">
        <v>38.80952380952381</v>
      </c>
      <c r="D11">
        <v>-5.2437572928222194</v>
      </c>
    </row>
    <row r="12" spans="1:4">
      <c r="A12">
        <v>0.1810394060536836</v>
      </c>
      <c r="B12">
        <v>6.9103369503141065E-3</v>
      </c>
      <c r="C12">
        <v>40.173553719008268</v>
      </c>
      <c r="D12">
        <v>-5.2359826215008187</v>
      </c>
    </row>
    <row r="13" spans="1:4">
      <c r="A13">
        <v>0.2211253701875617</v>
      </c>
      <c r="B13">
        <v>2.9519472661847596E-2</v>
      </c>
      <c r="C13">
        <v>20.407766990291265</v>
      </c>
      <c r="D13">
        <v>-5.2084342396326617</v>
      </c>
    </row>
    <row r="14" spans="1:4">
      <c r="A14">
        <v>0.20936175366355819</v>
      </c>
      <c r="B14">
        <v>2.5396633159743245E-2</v>
      </c>
      <c r="C14">
        <v>16.272293752980449</v>
      </c>
      <c r="D14">
        <v>-5.1624562574873973</v>
      </c>
    </row>
    <row r="15" spans="1:4">
      <c r="A15">
        <v>0.18744932888928925</v>
      </c>
      <c r="B15">
        <v>2.9783352851094493E-2</v>
      </c>
      <c r="C15">
        <v>16.018147448015124</v>
      </c>
      <c r="D15">
        <v>-5.0378294585426238</v>
      </c>
    </row>
    <row r="16" spans="1:4">
      <c r="A16">
        <v>0.40905083749632676</v>
      </c>
      <c r="B16">
        <v>0.19967675580370262</v>
      </c>
      <c r="C16">
        <v>3.3977189109639441</v>
      </c>
      <c r="D16">
        <v>-5.016162136296221</v>
      </c>
    </row>
    <row r="17" spans="1:4">
      <c r="A17">
        <v>0.24639282074995078</v>
      </c>
      <c r="B17">
        <v>8.7171714576857545E-2</v>
      </c>
      <c r="C17">
        <v>6.9383104125736743</v>
      </c>
      <c r="D17">
        <v>-4.9396421619369848</v>
      </c>
    </row>
    <row r="18" spans="1:4">
      <c r="A18">
        <v>0.14970328573191388</v>
      </c>
      <c r="B18">
        <v>2.1897400805447428E-2</v>
      </c>
      <c r="C18">
        <v>16.39497950819672</v>
      </c>
      <c r="D18">
        <v>-4.91442951923535</v>
      </c>
    </row>
    <row r="19" spans="1:4">
      <c r="A19">
        <v>0.26190671441197644</v>
      </c>
      <c r="B19">
        <v>0.10908527640342965</v>
      </c>
      <c r="C19">
        <v>5.8769629134647516</v>
      </c>
      <c r="D19">
        <v>-4.8803019910082037</v>
      </c>
    </row>
    <row r="20" spans="1:4">
      <c r="A20">
        <v>0.18241334347495383</v>
      </c>
      <c r="B20">
        <v>6.0061936325111372E-2</v>
      </c>
      <c r="C20">
        <v>12.670737222976028</v>
      </c>
      <c r="D20">
        <v>-4.8291899574760606</v>
      </c>
    </row>
    <row r="21" spans="1:4">
      <c r="A21">
        <v>0.33484973565418996</v>
      </c>
      <c r="B21">
        <v>0.17631250768447121</v>
      </c>
      <c r="C21">
        <v>4.3146420710617344</v>
      </c>
      <c r="D21">
        <v>-4.8191010849266158</v>
      </c>
    </row>
    <row r="22" spans="1:4">
      <c r="A22">
        <v>7.3049446701218657E-2</v>
      </c>
      <c r="B22">
        <v>2.6614371760750807E-3</v>
      </c>
      <c r="C22">
        <v>43.21052631578948</v>
      </c>
      <c r="D22">
        <v>-4.7863944235150147</v>
      </c>
    </row>
    <row r="23" spans="1:4">
      <c r="A23">
        <v>0.10874124745893968</v>
      </c>
      <c r="B23">
        <v>1.9242145569143731E-2</v>
      </c>
      <c r="C23">
        <v>16.291224147568474</v>
      </c>
      <c r="D23">
        <v>-4.7448202804113837</v>
      </c>
    </row>
    <row r="24" spans="1:4">
      <c r="A24">
        <v>0.20041483716294481</v>
      </c>
      <c r="B24">
        <v>8.420655658217277E-2</v>
      </c>
      <c r="C24">
        <v>5.3909149072296865</v>
      </c>
      <c r="D24">
        <v>-4.7434530543437861</v>
      </c>
    </row>
    <row r="25" spans="1:4">
      <c r="A25">
        <v>0.22041956182053923</v>
      </c>
      <c r="B25">
        <v>9.977060407593337E-2</v>
      </c>
      <c r="C25">
        <v>4.1270818247646632</v>
      </c>
      <c r="D25">
        <v>-4.7397039122586655</v>
      </c>
    </row>
    <row r="26" spans="1:4">
      <c r="A26">
        <v>0.13598396529939691</v>
      </c>
      <c r="B26">
        <v>3.918471818785739E-2</v>
      </c>
      <c r="C26">
        <v>10.467506025097649</v>
      </c>
      <c r="D26">
        <v>-4.7304449742768888</v>
      </c>
    </row>
    <row r="27" spans="1:4">
      <c r="A27">
        <v>0.41570092621593807</v>
      </c>
      <c r="B27">
        <v>0.25500022372365655</v>
      </c>
      <c r="C27">
        <v>2.6638577646078345</v>
      </c>
      <c r="D27">
        <v>-4.7278083238053101</v>
      </c>
    </row>
    <row r="28" spans="1:4">
      <c r="A28">
        <v>0.19366973768594267</v>
      </c>
      <c r="B28">
        <v>8.4059376515305567E-2</v>
      </c>
      <c r="C28">
        <v>7.9794380349832528</v>
      </c>
      <c r="D28">
        <v>-4.7242931255894334</v>
      </c>
    </row>
    <row r="29" spans="1:4">
      <c r="A29">
        <v>0.18196414236018196</v>
      </c>
      <c r="B29">
        <v>8.0768887699580766E-2</v>
      </c>
      <c r="C29">
        <v>15.787395596051631</v>
      </c>
      <c r="D29">
        <v>-4.7216055631174152</v>
      </c>
    </row>
    <row r="30" spans="1:4">
      <c r="A30">
        <v>0.20669274777048627</v>
      </c>
      <c r="B30">
        <v>9.8329968029614676E-2</v>
      </c>
      <c r="C30">
        <v>7.6466634661545854</v>
      </c>
      <c r="D30">
        <v>-4.7002232010630021</v>
      </c>
    </row>
    <row r="31" spans="1:4">
      <c r="A31">
        <v>0.18482849692208164</v>
      </c>
      <c r="B31">
        <v>8.4327626568137706E-2</v>
      </c>
      <c r="C31">
        <v>9.2543498892755451</v>
      </c>
      <c r="D31">
        <v>-4.6880781642680853</v>
      </c>
    </row>
    <row r="32" spans="1:4">
      <c r="A32">
        <v>0.15352241537053979</v>
      </c>
      <c r="B32">
        <v>6.4723565546987327E-2</v>
      </c>
      <c r="C32">
        <v>8.9027001862197395</v>
      </c>
      <c r="D32">
        <v>-4.6575373462944798</v>
      </c>
    </row>
    <row r="33" spans="1:4">
      <c r="A33">
        <v>0.12505194900891609</v>
      </c>
      <c r="B33">
        <v>4.4648146783582643E-2</v>
      </c>
      <c r="C33">
        <v>11.203274814314652</v>
      </c>
      <c r="D33">
        <v>-4.6530524331309593</v>
      </c>
    </row>
    <row r="34" spans="1:4">
      <c r="A34">
        <v>0.17024202617234785</v>
      </c>
      <c r="B34">
        <v>8.0801931052265907E-2</v>
      </c>
      <c r="C34">
        <v>9.194929527524156</v>
      </c>
      <c r="D34">
        <v>-4.6422978288877461</v>
      </c>
    </row>
    <row r="35" spans="1:4">
      <c r="A35">
        <v>0.15954300434098173</v>
      </c>
      <c r="B35">
        <v>7.8400038162476746E-2</v>
      </c>
      <c r="C35">
        <v>7.7059026579219889</v>
      </c>
      <c r="D35">
        <v>-4.6018869126399888</v>
      </c>
    </row>
    <row r="36" spans="1:4">
      <c r="A36">
        <v>0.20432202463196192</v>
      </c>
      <c r="B36">
        <v>0.11968071887953401</v>
      </c>
      <c r="C36">
        <v>4.836212624584717</v>
      </c>
      <c r="D36">
        <v>-4.5566138637288232</v>
      </c>
    </row>
    <row r="37" spans="1:4">
      <c r="A37">
        <v>0.15923955085679461</v>
      </c>
      <c r="B37">
        <v>9.2641646545863723E-2</v>
      </c>
      <c r="C37">
        <v>7.1526345933562432</v>
      </c>
      <c r="D37">
        <v>-4.5171311319175773</v>
      </c>
    </row>
    <row r="38" spans="1:4">
      <c r="A38">
        <v>3.1527464258841238E-2</v>
      </c>
      <c r="B38">
        <v>5.7185854025583139E-3</v>
      </c>
      <c r="C38">
        <v>23.75</v>
      </c>
      <c r="D38">
        <v>-4.5042776523702033</v>
      </c>
    </row>
    <row r="39" spans="1:4">
      <c r="A39">
        <v>2.821486706456864E-2</v>
      </c>
      <c r="B39">
        <v>7.5187969924812035E-3</v>
      </c>
      <c r="C39">
        <v>26.494845360824741</v>
      </c>
      <c r="D39">
        <v>-4.4900891403767149</v>
      </c>
    </row>
    <row r="40" spans="1:4">
      <c r="A40">
        <v>0.13963480737754286</v>
      </c>
      <c r="B40">
        <v>8.2981060149789912E-2</v>
      </c>
      <c r="C40">
        <v>5.1916079760926941</v>
      </c>
      <c r="D40">
        <v>-4.4761310222495112</v>
      </c>
    </row>
    <row r="41" spans="1:4">
      <c r="A41">
        <v>0.17963727995859377</v>
      </c>
      <c r="B41">
        <v>0.11842142545462789</v>
      </c>
      <c r="C41">
        <v>4.7870463811407582</v>
      </c>
      <c r="D41">
        <v>-4.4525138202468559</v>
      </c>
    </row>
    <row r="42" spans="1:4">
      <c r="A42">
        <v>0.16989194683935091</v>
      </c>
      <c r="B42">
        <v>0.11791724709160047</v>
      </c>
      <c r="C42">
        <v>6.8972158991420063</v>
      </c>
      <c r="D42">
        <v>-4.4199743159515243</v>
      </c>
    </row>
    <row r="43" spans="1:4">
      <c r="A43">
        <v>2.5662176821551256E-2</v>
      </c>
      <c r="B43">
        <v>1.5537425420357982E-2</v>
      </c>
      <c r="C43">
        <v>22.628363636363634</v>
      </c>
      <c r="D43">
        <v>-4.4174299253463944</v>
      </c>
    </row>
    <row r="44" spans="1:4">
      <c r="A44">
        <v>0.19157742592470928</v>
      </c>
      <c r="B44">
        <v>0.13701465081137901</v>
      </c>
      <c r="C44">
        <v>3.5604896783485365</v>
      </c>
      <c r="D44">
        <v>-4.3953568657497248</v>
      </c>
    </row>
    <row r="45" spans="1:4">
      <c r="A45">
        <v>0.12077126201982959</v>
      </c>
      <c r="B45">
        <v>8.8436052015345518E-2</v>
      </c>
      <c r="C45">
        <v>10.721577726218099</v>
      </c>
      <c r="D45">
        <v>-4.3822714935066358</v>
      </c>
    </row>
    <row r="46" spans="1:4">
      <c r="A46">
        <v>0.15861998678606068</v>
      </c>
      <c r="B46">
        <v>0.11555168196578434</v>
      </c>
      <c r="C46">
        <v>5.8072946280034534</v>
      </c>
      <c r="D46">
        <v>-4.3783745318443161</v>
      </c>
    </row>
    <row r="47" spans="1:4">
      <c r="A47">
        <v>7.7490840356149254E-2</v>
      </c>
      <c r="B47">
        <v>5.1831168633730801E-2</v>
      </c>
      <c r="C47">
        <v>4.3603549506271682</v>
      </c>
      <c r="D47">
        <v>-4.3707125401929154</v>
      </c>
    </row>
    <row r="48" spans="1:4">
      <c r="A48">
        <v>0.30198975602750872</v>
      </c>
      <c r="B48">
        <v>0.2274496976272917</v>
      </c>
      <c r="C48">
        <v>0.34722115556920868</v>
      </c>
      <c r="D48">
        <v>-4.3638795102705039</v>
      </c>
    </row>
    <row r="49" spans="1:4">
      <c r="A49">
        <v>0.12923847417077455</v>
      </c>
      <c r="B49">
        <v>9.5575507586050878E-2</v>
      </c>
      <c r="C49">
        <v>4.1900806758988693</v>
      </c>
      <c r="D49">
        <v>-4.3535530632315904</v>
      </c>
    </row>
    <row r="50" spans="1:4">
      <c r="A50">
        <v>6.234770048405059E-2</v>
      </c>
      <c r="B50">
        <v>5.3934702788528334E-2</v>
      </c>
      <c r="C50">
        <v>18.303929549322874</v>
      </c>
      <c r="D50">
        <v>-4.3463525644809078</v>
      </c>
    </row>
    <row r="51" spans="1:4">
      <c r="A51">
        <v>0.31717276133867428</v>
      </c>
      <c r="B51">
        <v>0.24403669724770644</v>
      </c>
      <c r="C51">
        <v>2.393541076487252</v>
      </c>
      <c r="D51">
        <v>-4.3458424160180558</v>
      </c>
    </row>
    <row r="52" spans="1:4">
      <c r="A52">
        <v>7.6753460004691521E-2</v>
      </c>
      <c r="B52">
        <v>6.3241848463523334E-2</v>
      </c>
      <c r="C52">
        <v>10.804154302670621</v>
      </c>
      <c r="D52">
        <v>-4.3281286509897114</v>
      </c>
    </row>
    <row r="53" spans="1:4">
      <c r="A53">
        <v>4.5035075585416459E-2</v>
      </c>
      <c r="B53">
        <v>3.5055824523268449E-2</v>
      </c>
      <c r="C53">
        <v>5.7333709131905302</v>
      </c>
      <c r="D53">
        <v>-4.3257731240045061</v>
      </c>
    </row>
    <row r="54" spans="1:4">
      <c r="A54">
        <v>0.12263828740829792</v>
      </c>
      <c r="B54">
        <v>0.10151094960313667</v>
      </c>
      <c r="C54">
        <v>8.4060954961056549</v>
      </c>
      <c r="D54">
        <v>-4.3068842625838837</v>
      </c>
    </row>
    <row r="55" spans="1:4">
      <c r="A55">
        <v>3.8688784692621006E-2</v>
      </c>
      <c r="B55">
        <v>4.6784716301979737E-2</v>
      </c>
      <c r="C55">
        <v>18.031676881045559</v>
      </c>
      <c r="D55">
        <v>-4.2795533557196919</v>
      </c>
    </row>
    <row r="56" spans="1:4">
      <c r="A56">
        <v>0.15205543848619479</v>
      </c>
      <c r="B56">
        <v>0.12749671253588829</v>
      </c>
      <c r="C56">
        <v>5.038929453961277</v>
      </c>
      <c r="D56">
        <v>-4.2776739295491586</v>
      </c>
    </row>
    <row r="57" spans="1:4">
      <c r="A57">
        <v>0.13051430098068334</v>
      </c>
      <c r="B57">
        <v>0.11331361829661514</v>
      </c>
      <c r="C57">
        <v>4.5457254079952083</v>
      </c>
      <c r="D57">
        <v>-4.2596096317543495</v>
      </c>
    </row>
    <row r="58" spans="1:4">
      <c r="A58">
        <v>1.1437664727236561E-3</v>
      </c>
      <c r="B58">
        <v>3.3616788502660498E-2</v>
      </c>
      <c r="C58">
        <v>29.429602888086642</v>
      </c>
      <c r="D58">
        <v>-4.2312496662144383</v>
      </c>
    </row>
    <row r="59" spans="1:4">
      <c r="A59">
        <v>0.14834378806045251</v>
      </c>
      <c r="B59">
        <v>0.13355628797711644</v>
      </c>
      <c r="C59">
        <v>4.200403873154742</v>
      </c>
      <c r="D59">
        <v>-4.2230778202950914</v>
      </c>
    </row>
    <row r="60" spans="1:4">
      <c r="A60">
        <v>6.2513549594367931E-2</v>
      </c>
      <c r="B60">
        <v>7.0004335870197734E-2</v>
      </c>
      <c r="C60">
        <v>10.163154600459002</v>
      </c>
      <c r="D60">
        <v>-4.2229388771163645</v>
      </c>
    </row>
    <row r="61" spans="1:4">
      <c r="A61">
        <v>5.3649813038530317E-3</v>
      </c>
      <c r="B61">
        <v>3.7359778897740205E-2</v>
      </c>
      <c r="C61">
        <v>25.151436031331592</v>
      </c>
      <c r="D61">
        <v>-4.2117974202755457</v>
      </c>
    </row>
    <row r="62" spans="1:4">
      <c r="A62">
        <v>0.16178756151975734</v>
      </c>
      <c r="B62">
        <v>0.14732989630421886</v>
      </c>
      <c r="C62">
        <v>4.2897147232304897</v>
      </c>
      <c r="D62">
        <v>-4.2054224767977821</v>
      </c>
    </row>
    <row r="63" spans="1:4">
      <c r="A63">
        <v>0.29174679276099152</v>
      </c>
      <c r="B63">
        <v>0.249703643212771</v>
      </c>
      <c r="C63">
        <v>2.2891841847293319</v>
      </c>
      <c r="D63">
        <v>-4.1987065378505841</v>
      </c>
    </row>
    <row r="64" spans="1:4">
      <c r="A64">
        <v>4.4919701065352195E-3</v>
      </c>
      <c r="B64">
        <v>4.213706471617109E-2</v>
      </c>
      <c r="C64">
        <v>26.03448275862069</v>
      </c>
      <c r="D64">
        <v>-4.184170527631716</v>
      </c>
    </row>
    <row r="65" spans="1:4">
      <c r="A65">
        <v>7.5984288787056944E-2</v>
      </c>
      <c r="B65">
        <v>8.594407556345271E-2</v>
      </c>
      <c r="C65">
        <v>7.4700336700336702</v>
      </c>
      <c r="D65">
        <v>-4.1819282035102106</v>
      </c>
    </row>
    <row r="66" spans="1:4">
      <c r="A66">
        <v>6.5050344462109166E-2</v>
      </c>
      <c r="B66">
        <v>7.9270446917505732E-2</v>
      </c>
      <c r="C66">
        <v>9.249619482496195</v>
      </c>
      <c r="D66">
        <v>-4.1778834805796938</v>
      </c>
    </row>
    <row r="67" spans="1:4">
      <c r="A67">
        <v>0.29503109599443222</v>
      </c>
      <c r="B67">
        <v>0.25684152955439832</v>
      </c>
      <c r="C67">
        <v>2.7406559459669424</v>
      </c>
      <c r="D67">
        <v>-4.1746058372987411</v>
      </c>
    </row>
    <row r="68" spans="1:4">
      <c r="A68">
        <v>7.6035974009208668E-2</v>
      </c>
      <c r="B68">
        <v>8.8213778561900255E-2</v>
      </c>
      <c r="C68">
        <v>7.9340350877192982</v>
      </c>
      <c r="D68">
        <v>-4.1710794855894848</v>
      </c>
    </row>
    <row r="69" spans="1:4">
      <c r="A69">
        <v>8.1045514362209012E-2</v>
      </c>
      <c r="B69">
        <v>9.1527884920814997E-2</v>
      </c>
      <c r="C69">
        <v>6.7871134020618555</v>
      </c>
      <c r="D69">
        <v>-4.1701443241895424</v>
      </c>
    </row>
    <row r="70" spans="1:4">
      <c r="A70">
        <v>0.15331664580725907</v>
      </c>
      <c r="B70">
        <v>0.14941176470588236</v>
      </c>
      <c r="C70">
        <v>2.5873935264054513</v>
      </c>
      <c r="D70">
        <v>-4.1486274214147585</v>
      </c>
    </row>
    <row r="71" spans="1:4">
      <c r="A71">
        <v>0.21068088984910371</v>
      </c>
      <c r="B71">
        <v>0.19491611248016744</v>
      </c>
      <c r="C71">
        <v>2.833767135172653</v>
      </c>
      <c r="D71">
        <v>-4.1483772317247016</v>
      </c>
    </row>
    <row r="72" spans="1:4">
      <c r="A72">
        <v>5.8106657038492375E-2</v>
      </c>
      <c r="B72">
        <v>7.5777326587359264E-2</v>
      </c>
      <c r="C72">
        <v>2.759450999277631</v>
      </c>
      <c r="D72">
        <v>-4.1405869991223785</v>
      </c>
    </row>
    <row r="73" spans="1:4">
      <c r="A73">
        <v>7.2752821971487885E-2</v>
      </c>
      <c r="B73">
        <v>9.1176544270548013E-2</v>
      </c>
      <c r="C73">
        <v>7.7788554546362025</v>
      </c>
      <c r="D73">
        <v>-4.1387968183481165</v>
      </c>
    </row>
    <row r="74" spans="1:4">
      <c r="A74">
        <v>4.806890803000833E-2</v>
      </c>
      <c r="B74">
        <v>7.4465129202556268E-2</v>
      </c>
      <c r="C74">
        <v>8.6268656716417915</v>
      </c>
      <c r="D74">
        <v>-4.1263663123670336</v>
      </c>
    </row>
    <row r="75" spans="1:4">
      <c r="A75">
        <v>0.32991448094085291</v>
      </c>
      <c r="B75">
        <v>0.29206835794811553</v>
      </c>
      <c r="C75">
        <v>0.49949028935881018</v>
      </c>
      <c r="D75">
        <v>-4.121823485087015</v>
      </c>
    </row>
    <row r="76" spans="1:4">
      <c r="A76">
        <v>-4.7490542555420012E-2</v>
      </c>
      <c r="B76">
        <v>1.2975490739713873E-2</v>
      </c>
      <c r="C76">
        <v>27.245963912630579</v>
      </c>
      <c r="D76">
        <v>-4.1213161169347625</v>
      </c>
    </row>
    <row r="77" spans="1:4">
      <c r="A77">
        <v>3.6525866994857374E-2</v>
      </c>
      <c r="B77">
        <v>7.0722166058634781E-2</v>
      </c>
      <c r="C77">
        <v>12.364181091877498</v>
      </c>
      <c r="D77">
        <v>-4.1107067793101502</v>
      </c>
    </row>
    <row r="78" spans="1:4">
      <c r="A78">
        <v>4.1702904853017912E-2</v>
      </c>
      <c r="B78">
        <v>7.9492085580100888E-2</v>
      </c>
      <c r="C78">
        <v>12.160761154855644</v>
      </c>
      <c r="D78">
        <v>-4.0832012286514283</v>
      </c>
    </row>
    <row r="79" spans="1:4">
      <c r="A79">
        <v>0.30397019757595883</v>
      </c>
      <c r="B79">
        <v>0.27849493607836628</v>
      </c>
      <c r="C79">
        <v>0.39405596575044988</v>
      </c>
      <c r="D79">
        <v>-4.0820209773081286</v>
      </c>
    </row>
    <row r="80" spans="1:4">
      <c r="A80">
        <v>0.28899095655150775</v>
      </c>
      <c r="B80">
        <v>0.26876444241577041</v>
      </c>
      <c r="C80">
        <v>3.3591494987330619</v>
      </c>
      <c r="D80">
        <v>-4.0819385807068258</v>
      </c>
    </row>
    <row r="81" spans="1:4">
      <c r="A81">
        <v>0.26084680702570667</v>
      </c>
      <c r="B81">
        <v>0.24773176689542864</v>
      </c>
      <c r="C81">
        <v>3.6418769909335946</v>
      </c>
      <c r="D81">
        <v>-4.0763070682754714</v>
      </c>
    </row>
    <row r="82" spans="1:4">
      <c r="A82">
        <v>0.15163679914833217</v>
      </c>
      <c r="B82">
        <v>0.16104063165365506</v>
      </c>
      <c r="C82">
        <v>2.7380619938564643</v>
      </c>
      <c r="D82">
        <v>-4.0753862437170865</v>
      </c>
    </row>
    <row r="83" spans="1:4">
      <c r="A83">
        <v>-1.6002400360054009E-3</v>
      </c>
      <c r="B83">
        <v>4.3226483972595889E-2</v>
      </c>
      <c r="C83">
        <v>5.0858398889403054</v>
      </c>
      <c r="D83">
        <v>-4.0667513207499413</v>
      </c>
    </row>
    <row r="84" spans="1:4">
      <c r="A84">
        <v>0.16811075715674786</v>
      </c>
      <c r="B84">
        <v>0.17855758423620569</v>
      </c>
      <c r="C84">
        <v>4.91908620598638</v>
      </c>
      <c r="D84">
        <v>-4.0583965218829388</v>
      </c>
    </row>
    <row r="85" spans="1:4">
      <c r="A85">
        <v>0.17288424925026757</v>
      </c>
      <c r="B85">
        <v>0.18235742677599337</v>
      </c>
      <c r="C85">
        <v>4.0340269987569357</v>
      </c>
      <c r="D85">
        <v>-4.0546778969980695</v>
      </c>
    </row>
    <row r="86" spans="1:4">
      <c r="A86">
        <v>0.19436933398028491</v>
      </c>
      <c r="B86">
        <v>0.20206665327517631</v>
      </c>
      <c r="C86">
        <v>4.1964626210805624</v>
      </c>
      <c r="D86">
        <v>-4.0396679297270994</v>
      </c>
    </row>
    <row r="87" spans="1:4">
      <c r="A87">
        <v>0.22787296674146226</v>
      </c>
      <c r="B87">
        <v>0.23026197142822244</v>
      </c>
      <c r="C87">
        <v>4.4243162224339461</v>
      </c>
      <c r="D87">
        <v>-4.0306323780854481</v>
      </c>
    </row>
    <row r="88" spans="1:4">
      <c r="A88">
        <v>9.7154696410431771E-2</v>
      </c>
      <c r="B88">
        <v>0.12738390980317216</v>
      </c>
      <c r="C88">
        <v>3.9982647496281603</v>
      </c>
      <c r="D88">
        <v>-4.027100906967374</v>
      </c>
    </row>
    <row r="89" spans="1:4">
      <c r="A89">
        <v>6.7423469387755106E-2</v>
      </c>
      <c r="B89">
        <v>0.10494897959183673</v>
      </c>
      <c r="C89">
        <v>5.3644766425181114</v>
      </c>
      <c r="D89">
        <v>-4.026654335141501</v>
      </c>
    </row>
    <row r="90" spans="1:4">
      <c r="A90">
        <v>5.4677425657457701E-2</v>
      </c>
      <c r="B90">
        <v>9.3265210425540229E-2</v>
      </c>
      <c r="C90">
        <v>2.791662302293914</v>
      </c>
      <c r="D90">
        <v>-4.0256033652421559</v>
      </c>
    </row>
    <row r="91" spans="1:4">
      <c r="A91">
        <v>7.4277829366567655E-2</v>
      </c>
      <c r="B91">
        <v>0.11228818233417101</v>
      </c>
      <c r="C91">
        <v>4.3317648744834836</v>
      </c>
      <c r="D91">
        <v>-4.0115346523427133</v>
      </c>
    </row>
    <row r="92" spans="1:4">
      <c r="A92">
        <v>5.1856187499221662E-2</v>
      </c>
      <c r="B92">
        <v>9.6190488050909712E-2</v>
      </c>
      <c r="C92">
        <v>5.9071484071484068</v>
      </c>
      <c r="D92">
        <v>-4.0086956554849058</v>
      </c>
    </row>
    <row r="93" spans="1:4">
      <c r="A93">
        <v>7.5115212540506612E-2</v>
      </c>
      <c r="B93">
        <v>0.11744390747115482</v>
      </c>
      <c r="C93">
        <v>4.679747147196454</v>
      </c>
      <c r="D93">
        <v>-3.9873071724354823</v>
      </c>
    </row>
    <row r="94" spans="1:4">
      <c r="A94">
        <v>9.90254447790853E-2</v>
      </c>
      <c r="B94">
        <v>0.13707617909150185</v>
      </c>
      <c r="C94">
        <v>3.7356971938220576</v>
      </c>
      <c r="D94">
        <v>-3.9792230694596116</v>
      </c>
    </row>
    <row r="95" spans="1:4">
      <c r="A95">
        <v>6.5133328667413212E-2</v>
      </c>
      <c r="B95">
        <v>0.11543777995520717</v>
      </c>
      <c r="C95">
        <v>6.5515271717572388</v>
      </c>
      <c r="D95">
        <v>-3.9613107419457068</v>
      </c>
    </row>
    <row r="96" spans="1:4">
      <c r="A96">
        <v>0.15174325690616744</v>
      </c>
      <c r="B96">
        <v>0.18315123446723849</v>
      </c>
      <c r="C96">
        <v>4.644775905855421</v>
      </c>
      <c r="D96">
        <v>-3.9574617232379152</v>
      </c>
    </row>
    <row r="97" spans="1:4">
      <c r="A97">
        <v>0.10894524528195434</v>
      </c>
      <c r="B97">
        <v>0.14934130723010522</v>
      </c>
      <c r="C97">
        <v>3.8486921529175047</v>
      </c>
      <c r="D97">
        <v>-3.9544029211688652</v>
      </c>
    </row>
    <row r="98" spans="1:4">
      <c r="A98">
        <v>5.8850954898528292E-3</v>
      </c>
      <c r="B98">
        <v>7.6796537558169203E-2</v>
      </c>
      <c r="C98">
        <v>14.190891472868216</v>
      </c>
      <c r="D98">
        <v>-3.9455062315142464</v>
      </c>
    </row>
    <row r="99" spans="1:4">
      <c r="A99">
        <v>0.15222748998027405</v>
      </c>
      <c r="B99">
        <v>0.18550841367602164</v>
      </c>
      <c r="C99">
        <v>4.4459072208823951</v>
      </c>
      <c r="D99">
        <v>-3.9454093758414395</v>
      </c>
    </row>
    <row r="100" spans="1:4">
      <c r="A100">
        <v>0.16605508712759978</v>
      </c>
      <c r="B100">
        <v>0.19774255199550311</v>
      </c>
      <c r="C100">
        <v>4.2634396090295557</v>
      </c>
      <c r="D100">
        <v>-3.9371691041359496</v>
      </c>
    </row>
    <row r="101" spans="1:4">
      <c r="A101">
        <v>2.0310817048776737E-3</v>
      </c>
      <c r="B101">
        <v>7.35190029235267E-2</v>
      </c>
      <c r="C101">
        <v>11.414817915445793</v>
      </c>
      <c r="D101">
        <v>-3.9357408226696302</v>
      </c>
    </row>
    <row r="102" spans="1:4">
      <c r="A102">
        <v>0.2257413030181131</v>
      </c>
      <c r="B102">
        <v>0.2479330949114</v>
      </c>
      <c r="C102">
        <v>3.7359756605818117</v>
      </c>
      <c r="D102">
        <v>-3.9175611252288554</v>
      </c>
    </row>
    <row r="103" spans="1:4">
      <c r="A103">
        <v>0.22544474030252007</v>
      </c>
      <c r="B103">
        <v>0.25303934321280591</v>
      </c>
      <c r="C103">
        <v>3.7069874420791082</v>
      </c>
      <c r="D103">
        <v>-3.8870050248166628</v>
      </c>
    </row>
    <row r="104" spans="1:4">
      <c r="A104">
        <v>4.215958026035737E-2</v>
      </c>
      <c r="B104">
        <v>0.11201306736623273</v>
      </c>
      <c r="C104">
        <v>4.7679814385150809</v>
      </c>
      <c r="D104">
        <v>-3.8703155529381417</v>
      </c>
    </row>
    <row r="105" spans="1:4">
      <c r="A105">
        <v>0.29648008556761818</v>
      </c>
      <c r="B105">
        <v>0.31136701654468818</v>
      </c>
      <c r="C105">
        <v>1.9917915249383067</v>
      </c>
      <c r="D105">
        <v>-3.8673355568493122</v>
      </c>
    </row>
    <row r="106" spans="1:4">
      <c r="A106">
        <v>9.8208835588987894E-2</v>
      </c>
      <c r="B106">
        <v>0.15773345253876747</v>
      </c>
      <c r="C106">
        <v>5.5596136550267863</v>
      </c>
      <c r="D106">
        <v>-3.8650975352995776</v>
      </c>
    </row>
    <row r="107" spans="1:4">
      <c r="A107">
        <v>0.12393388779996821</v>
      </c>
      <c r="B107">
        <v>0.17945118398050536</v>
      </c>
      <c r="C107">
        <v>5.6569604484584248</v>
      </c>
      <c r="D107">
        <v>-3.85745858820481</v>
      </c>
    </row>
    <row r="108" spans="1:4">
      <c r="A108">
        <v>0.27312529990411094</v>
      </c>
      <c r="B108">
        <v>0.29691985598714982</v>
      </c>
      <c r="C108">
        <v>1.9323827327932748</v>
      </c>
      <c r="D108">
        <v>-3.8443502013729178</v>
      </c>
    </row>
    <row r="109" spans="1:4">
      <c r="A109">
        <v>0.15100720482282015</v>
      </c>
      <c r="B109">
        <v>0.20125716806352006</v>
      </c>
      <c r="C109">
        <v>2.0059902313150859</v>
      </c>
      <c r="D109">
        <v>-3.8403905246658865</v>
      </c>
    </row>
    <row r="110" spans="1:4">
      <c r="A110">
        <v>0.1497779291983608</v>
      </c>
      <c r="B110">
        <v>0.20340874902633663</v>
      </c>
      <c r="C110">
        <v>3.1598583059524334</v>
      </c>
      <c r="D110">
        <v>-3.8272102451663144</v>
      </c>
    </row>
    <row r="111" spans="1:4">
      <c r="A111">
        <v>0.1414483462937916</v>
      </c>
      <c r="B111">
        <v>0.19852701622059216</v>
      </c>
      <c r="C111">
        <v>4.6489319850394795</v>
      </c>
      <c r="D111">
        <v>-3.8235092938048445</v>
      </c>
    </row>
    <row r="112" spans="1:4">
      <c r="A112">
        <v>0.13218584011295637</v>
      </c>
      <c r="B112">
        <v>0.19081557184159215</v>
      </c>
      <c r="C112">
        <v>2.152560842717036</v>
      </c>
      <c r="D112">
        <v>-3.8157977643820966</v>
      </c>
    </row>
    <row r="113" spans="1:4">
      <c r="A113">
        <v>7.1619235349677637E-2</v>
      </c>
      <c r="B113">
        <v>0.14539033304587082</v>
      </c>
      <c r="C113">
        <v>5.3313184950853003</v>
      </c>
      <c r="D113">
        <v>-3.8148869346924266</v>
      </c>
    </row>
    <row r="114" spans="1:4">
      <c r="A114">
        <v>8.2360930446093814E-2</v>
      </c>
      <c r="B114">
        <v>0.15346430484352283</v>
      </c>
      <c r="C114">
        <v>0.25336959292937877</v>
      </c>
      <c r="D114">
        <v>-3.7968911277710595</v>
      </c>
    </row>
    <row r="115" spans="1:4">
      <c r="A115">
        <v>3.5649475317570942E-2</v>
      </c>
      <c r="B115">
        <v>0.12093995739420876</v>
      </c>
      <c r="C115">
        <v>3.7712841920246074</v>
      </c>
      <c r="D115">
        <v>-3.786150018550178</v>
      </c>
    </row>
    <row r="116" spans="1:4">
      <c r="A116">
        <v>4.4993021447064206E-2</v>
      </c>
      <c r="B116">
        <v>0.12604012401581094</v>
      </c>
      <c r="C116">
        <v>0.17470457780278706</v>
      </c>
      <c r="D116">
        <v>-3.7847387079328776</v>
      </c>
    </row>
    <row r="117" spans="1:4">
      <c r="A117">
        <v>8.7558419487324748E-2</v>
      </c>
      <c r="B117">
        <v>0.16286644951140064</v>
      </c>
      <c r="C117">
        <v>4.6204735376044574</v>
      </c>
      <c r="D117">
        <v>-3.7841560196283957</v>
      </c>
    </row>
    <row r="118" spans="1:4">
      <c r="A118">
        <v>0.1158170779897259</v>
      </c>
      <c r="B118">
        <v>0.18719689621726479</v>
      </c>
      <c r="C118">
        <v>2.3085780080598735</v>
      </c>
      <c r="D118">
        <v>-3.7633888545475962</v>
      </c>
    </row>
    <row r="119" spans="1:4">
      <c r="A119">
        <v>9.5921635751993421E-3</v>
      </c>
      <c r="B119">
        <v>0.11020819740198112</v>
      </c>
      <c r="C119">
        <v>6.1577495863210157</v>
      </c>
      <c r="D119">
        <v>-3.7396090092423888</v>
      </c>
    </row>
    <row r="120" spans="1:4">
      <c r="A120">
        <v>0.19853374798615647</v>
      </c>
      <c r="B120">
        <v>0.26027554280889875</v>
      </c>
      <c r="C120">
        <v>3.4132111594856549</v>
      </c>
      <c r="D120">
        <v>-3.7234841165649235</v>
      </c>
    </row>
    <row r="121" spans="1:4">
      <c r="A121">
        <v>0.18699478490737437</v>
      </c>
      <c r="B121">
        <v>0.25149638054620643</v>
      </c>
      <c r="C121">
        <v>3.4551664991081839</v>
      </c>
      <c r="D121">
        <v>-3.7217678289662404</v>
      </c>
    </row>
    <row r="122" spans="1:4">
      <c r="A122">
        <v>0.12619000247194942</v>
      </c>
      <c r="B122">
        <v>0.20534664568524247</v>
      </c>
      <c r="C122">
        <v>4.697447302262618</v>
      </c>
      <c r="D122">
        <v>-3.716168919926941</v>
      </c>
    </row>
    <row r="123" spans="1:4">
      <c r="A123">
        <v>1.9932694796790058E-2</v>
      </c>
      <c r="B123">
        <v>0.12244369660885322</v>
      </c>
      <c r="C123">
        <v>5.6997885835095135</v>
      </c>
      <c r="D123">
        <v>-3.7145672102491298</v>
      </c>
    </row>
    <row r="124" spans="1:4">
      <c r="A124">
        <v>0.15614740391375276</v>
      </c>
      <c r="B124">
        <v>0.22903029847995687</v>
      </c>
      <c r="C124">
        <v>3.6822924452151038</v>
      </c>
      <c r="D124">
        <v>-3.7119197860569932</v>
      </c>
    </row>
    <row r="125" spans="1:4">
      <c r="A125">
        <v>5.2684377190650007E-2</v>
      </c>
      <c r="B125">
        <v>0.15077715197370012</v>
      </c>
      <c r="C125">
        <v>5.7512544136777555</v>
      </c>
      <c r="D125">
        <v>-3.7006549487625451</v>
      </c>
    </row>
    <row r="126" spans="1:4">
      <c r="A126">
        <v>0.18450846683415445</v>
      </c>
      <c r="B126">
        <v>0.25208000261019936</v>
      </c>
      <c r="C126">
        <v>0.37896336147849263</v>
      </c>
      <c r="D126">
        <v>-3.6949479393214726</v>
      </c>
    </row>
    <row r="127" spans="1:4">
      <c r="A127">
        <v>0.16155221430874292</v>
      </c>
      <c r="B127">
        <v>0.23631993903690024</v>
      </c>
      <c r="C127">
        <v>1.8126804770872567</v>
      </c>
      <c r="D127">
        <v>-3.6872120337873611</v>
      </c>
    </row>
    <row r="128" spans="1:4">
      <c r="A128">
        <v>8.327457601959401E-2</v>
      </c>
      <c r="B128">
        <v>0.17428656251159683</v>
      </c>
      <c r="C128">
        <v>0.33350158638592442</v>
      </c>
      <c r="D128">
        <v>-3.6826361921176147</v>
      </c>
    </row>
    <row r="129" spans="1:4">
      <c r="A129">
        <v>4.1443198439785472E-2</v>
      </c>
      <c r="B129">
        <v>0.14421014139444174</v>
      </c>
      <c r="C129">
        <v>3.4353883664228491</v>
      </c>
      <c r="D129">
        <v>-3.6782381404964082</v>
      </c>
    </row>
    <row r="130" spans="1:4">
      <c r="A130">
        <v>4.4740580151352918E-2</v>
      </c>
      <c r="B130">
        <v>0.15117179036861533</v>
      </c>
      <c r="C130">
        <v>7.6981236887982734</v>
      </c>
      <c r="D130">
        <v>-3.6704459003351735</v>
      </c>
    </row>
    <row r="131" spans="1:4">
      <c r="A131">
        <v>4.2825246338364889E-2</v>
      </c>
      <c r="B131">
        <v>0.14854242373584345</v>
      </c>
      <c r="C131">
        <v>4.4995649836772724</v>
      </c>
      <c r="D131">
        <v>-3.664020053163044</v>
      </c>
    </row>
    <row r="132" spans="1:4">
      <c r="A132">
        <v>0.12611915504901247</v>
      </c>
      <c r="B132">
        <v>0.21688130058663088</v>
      </c>
      <c r="C132">
        <v>4.0489404828091313</v>
      </c>
      <c r="D132">
        <v>-3.6475085463079959</v>
      </c>
    </row>
    <row r="133" spans="1:4">
      <c r="A133">
        <v>0.13876681315754427</v>
      </c>
      <c r="B133">
        <v>0.22681606734731424</v>
      </c>
      <c r="C133">
        <v>3.2151210259370746</v>
      </c>
      <c r="D133">
        <v>-3.6444595594330065</v>
      </c>
    </row>
    <row r="134" spans="1:4">
      <c r="A134">
        <v>0.12460087760246477</v>
      </c>
      <c r="B134">
        <v>0.21635701615161987</v>
      </c>
      <c r="C134">
        <v>2.4102610423629303</v>
      </c>
      <c r="D134">
        <v>-3.6371100013163096</v>
      </c>
    </row>
    <row r="135" spans="1:4">
      <c r="A135">
        <v>-5.6778294279480133E-2</v>
      </c>
      <c r="B135">
        <v>7.9309363438003988E-2</v>
      </c>
      <c r="C135">
        <v>11.050322580645162</v>
      </c>
      <c r="D135">
        <v>-3.6366355944682973</v>
      </c>
    </row>
    <row r="136" spans="1:4">
      <c r="A136">
        <v>0.19400041955108036</v>
      </c>
      <c r="B136">
        <v>0.27266624711558629</v>
      </c>
      <c r="C136">
        <v>2.8249730727804279</v>
      </c>
      <c r="D136">
        <v>-3.6301041717121412</v>
      </c>
    </row>
    <row r="137" spans="1:4">
      <c r="A137">
        <v>0.13652568769467482</v>
      </c>
      <c r="B137">
        <v>0.22897511915037339</v>
      </c>
      <c r="C137">
        <v>3.6115619927581468</v>
      </c>
      <c r="D137">
        <v>-3.6236536634399408</v>
      </c>
    </row>
    <row r="138" spans="1:4">
      <c r="A138">
        <v>0.23198750094977583</v>
      </c>
      <c r="B138">
        <v>0.30527778053075127</v>
      </c>
      <c r="C138">
        <v>2.0872764755341193</v>
      </c>
      <c r="D138">
        <v>-3.6122095111508452</v>
      </c>
    </row>
    <row r="139" spans="1:4">
      <c r="A139">
        <v>0.13310246227164416</v>
      </c>
      <c r="B139">
        <v>0.22766640190627482</v>
      </c>
      <c r="C139">
        <v>2.1185306568346305</v>
      </c>
      <c r="D139">
        <v>-3.6097367119839707</v>
      </c>
    </row>
    <row r="140" spans="1:4">
      <c r="A140">
        <v>2.8374563376238095E-2</v>
      </c>
      <c r="B140">
        <v>0.14697672934909167</v>
      </c>
      <c r="C140">
        <v>2.6814551907719606</v>
      </c>
      <c r="D140">
        <v>-3.600643998666337</v>
      </c>
    </row>
    <row r="141" spans="1:4">
      <c r="A141">
        <v>0.13662158622725365</v>
      </c>
      <c r="B141">
        <v>0.23223840387805417</v>
      </c>
      <c r="C141">
        <v>0.70883952331366418</v>
      </c>
      <c r="D141">
        <v>-3.5938735940109874</v>
      </c>
    </row>
    <row r="142" spans="1:4">
      <c r="A142">
        <v>2.1496130696474634E-2</v>
      </c>
      <c r="B142">
        <v>0.14620902484128198</v>
      </c>
      <c r="C142">
        <v>3.2685451408855664</v>
      </c>
      <c r="D142">
        <v>-3.5764153271023704</v>
      </c>
    </row>
    <row r="143" spans="1:4">
      <c r="A143">
        <v>0.19762099388336105</v>
      </c>
      <c r="B143">
        <v>0.28517067395777546</v>
      </c>
      <c r="C143">
        <v>3.0189397669456759</v>
      </c>
      <c r="D143">
        <v>-3.5758973899835866</v>
      </c>
    </row>
    <row r="144" spans="1:4">
      <c r="A144">
        <v>5.1417273457740685E-2</v>
      </c>
      <c r="B144">
        <v>0.17060785219931002</v>
      </c>
      <c r="C144">
        <v>4.126590181846562</v>
      </c>
      <c r="D144">
        <v>-3.5754193337511522</v>
      </c>
    </row>
    <row r="145" spans="1:4">
      <c r="A145">
        <v>0.19159481645929061</v>
      </c>
      <c r="B145">
        <v>0.28150653105477824</v>
      </c>
      <c r="C145">
        <v>3.2246328754144957</v>
      </c>
      <c r="D145">
        <v>-3.5704879785562293</v>
      </c>
    </row>
    <row r="146" spans="1:4">
      <c r="A146">
        <v>0.15480175750601527</v>
      </c>
      <c r="B146">
        <v>0.25242750763202693</v>
      </c>
      <c r="C146">
        <v>3.1429569940788222</v>
      </c>
      <c r="D146">
        <v>-3.5703429432508305</v>
      </c>
    </row>
    <row r="147" spans="1:4">
      <c r="A147">
        <v>2.5077288795280147E-2</v>
      </c>
      <c r="B147">
        <v>0.15137518629370975</v>
      </c>
      <c r="C147">
        <v>3.4634565075212556</v>
      </c>
      <c r="D147">
        <v>-3.5638630637347002</v>
      </c>
    </row>
    <row r="148" spans="1:4">
      <c r="A148">
        <v>7.553714366454653E-2</v>
      </c>
      <c r="B148">
        <v>0.1918752539181352</v>
      </c>
      <c r="C148">
        <v>3.8417008804386512</v>
      </c>
      <c r="D148">
        <v>-3.5615950026788434</v>
      </c>
    </row>
    <row r="149" spans="1:4">
      <c r="A149">
        <v>6.1822021695305755E-2</v>
      </c>
      <c r="B149">
        <v>0.18159418898595245</v>
      </c>
      <c r="C149">
        <v>4.4841706161137438</v>
      </c>
      <c r="D149">
        <v>-3.5610489028734009</v>
      </c>
    </row>
    <row r="150" spans="1:4">
      <c r="A150">
        <v>0.15969976049974077</v>
      </c>
      <c r="B150">
        <v>0.258339300264191</v>
      </c>
      <c r="C150">
        <v>2.8778552996272584</v>
      </c>
      <c r="D150">
        <v>-3.5576263319414538</v>
      </c>
    </row>
    <row r="151" spans="1:4">
      <c r="A151">
        <v>8.7142955944394487E-2</v>
      </c>
      <c r="B151">
        <v>0.20291859741337576</v>
      </c>
      <c r="C151">
        <v>2.5270457697642161</v>
      </c>
      <c r="D151">
        <v>-3.5456154795725903</v>
      </c>
    </row>
    <row r="152" spans="1:4">
      <c r="A152">
        <v>0.1448506932301479</v>
      </c>
      <c r="B152">
        <v>0.2484572949922724</v>
      </c>
      <c r="C152">
        <v>1.6838448964765711</v>
      </c>
      <c r="D152">
        <v>-3.5423569176656193</v>
      </c>
    </row>
    <row r="153" spans="1:4">
      <c r="A153">
        <v>0.20045226067872415</v>
      </c>
      <c r="B153">
        <v>0.29324898907661362</v>
      </c>
      <c r="C153">
        <v>1.6621980487666332</v>
      </c>
      <c r="D153">
        <v>-3.5371647275126272</v>
      </c>
    </row>
    <row r="154" spans="1:4">
      <c r="A154">
        <v>3.0106530801296901E-3</v>
      </c>
      <c r="B154">
        <v>0.14651844989964491</v>
      </c>
      <c r="C154">
        <v>6.2513171759747106</v>
      </c>
      <c r="D154">
        <v>-3.5033980431365066</v>
      </c>
    </row>
    <row r="155" spans="1:4">
      <c r="A155">
        <v>0.11683931582751143</v>
      </c>
      <c r="B155">
        <v>0.2359913273909901</v>
      </c>
      <c r="C155">
        <v>2.7589920310144302</v>
      </c>
      <c r="D155">
        <v>-3.4916623232192157</v>
      </c>
    </row>
    <row r="156" spans="1:4">
      <c r="A156">
        <v>0.15906914751009216</v>
      </c>
      <c r="B156">
        <v>0.27014791607620242</v>
      </c>
      <c r="C156">
        <v>3.0671573921446029</v>
      </c>
      <c r="D156">
        <v>-3.4882366717296396</v>
      </c>
    </row>
    <row r="157" spans="1:4">
      <c r="A157">
        <v>1.686777275012569E-2</v>
      </c>
      <c r="B157">
        <v>0.16014328808446454</v>
      </c>
      <c r="C157">
        <v>3.8360722091799562</v>
      </c>
      <c r="D157">
        <v>-3.4784325241308371</v>
      </c>
    </row>
    <row r="158" spans="1:4">
      <c r="A158">
        <v>0.23611545178990451</v>
      </c>
      <c r="B158">
        <v>0.33486943026903659</v>
      </c>
      <c r="C158">
        <v>1.7116822510792538</v>
      </c>
      <c r="D158">
        <v>-3.4606105095253783</v>
      </c>
    </row>
    <row r="159" spans="1:4">
      <c r="A159">
        <v>3.2503966257787412E-2</v>
      </c>
      <c r="B159">
        <v>0.18078396470997948</v>
      </c>
      <c r="C159">
        <v>3.8447191011235957</v>
      </c>
      <c r="D159">
        <v>-3.4311781257176546</v>
      </c>
    </row>
    <row r="160" spans="1:4">
      <c r="A160">
        <v>5.4941542753024722E-2</v>
      </c>
      <c r="B160">
        <v>0.19979061521907687</v>
      </c>
      <c r="C160">
        <v>3.5680129482437084</v>
      </c>
      <c r="D160">
        <v>-3.422702487432848</v>
      </c>
    </row>
    <row r="161" spans="1:4">
      <c r="A161">
        <v>0.11360937003892423</v>
      </c>
      <c r="B161">
        <v>0.24669261615532062</v>
      </c>
      <c r="C161">
        <v>2.4507671026156941</v>
      </c>
      <c r="D161">
        <v>-3.4148973215002942</v>
      </c>
    </row>
    <row r="162" spans="1:4">
      <c r="A162">
        <v>0.14468133871029354</v>
      </c>
      <c r="B162">
        <v>0.27058515369629638</v>
      </c>
      <c r="C162">
        <v>0.87872049264454333</v>
      </c>
      <c r="D162">
        <v>-3.4122455300980095</v>
      </c>
    </row>
    <row r="163" spans="1:4">
      <c r="A163">
        <v>0.10276811197560308</v>
      </c>
      <c r="B163">
        <v>0.24220979786526958</v>
      </c>
      <c r="C163">
        <v>3.8926505614154472</v>
      </c>
      <c r="D163">
        <v>-3.3974312583038384</v>
      </c>
    </row>
    <row r="164" spans="1:4">
      <c r="A164">
        <v>0.12895067365347862</v>
      </c>
      <c r="B164">
        <v>0.26298433871119786</v>
      </c>
      <c r="C164">
        <v>3.6527612525029745</v>
      </c>
      <c r="D164">
        <v>-3.3958783457968376</v>
      </c>
    </row>
    <row r="165" spans="1:4">
      <c r="A165">
        <v>6.8962695219259365E-2</v>
      </c>
      <c r="B165">
        <v>0.21637357391295875</v>
      </c>
      <c r="C165">
        <v>3.5392185218366645</v>
      </c>
      <c r="D165">
        <v>-3.3911596312701491</v>
      </c>
    </row>
    <row r="166" spans="1:4">
      <c r="A166">
        <v>9.0443115551758713E-2</v>
      </c>
      <c r="B166">
        <v>0.23273780782230805</v>
      </c>
      <c r="C166">
        <v>2.1511898818439006</v>
      </c>
      <c r="D166">
        <v>-3.3889932749231337</v>
      </c>
    </row>
    <row r="167" spans="1:4">
      <c r="A167">
        <v>8.3358593513185809E-4</v>
      </c>
      <c r="B167">
        <v>0.16512579569566535</v>
      </c>
      <c r="C167">
        <v>5.4690224873795321</v>
      </c>
      <c r="D167">
        <v>-3.3844101911923188</v>
      </c>
    </row>
    <row r="168" spans="1:4">
      <c r="A168">
        <v>3.4721120234760518E-2</v>
      </c>
      <c r="B168">
        <v>0.190704896749679</v>
      </c>
      <c r="C168">
        <v>2.3620893683868154</v>
      </c>
      <c r="D168">
        <v>-3.3786754870567992</v>
      </c>
    </row>
    <row r="169" spans="1:4">
      <c r="A169">
        <v>0.20052148623577196</v>
      </c>
      <c r="B169">
        <v>0.32174196459910748</v>
      </c>
      <c r="C169">
        <v>2.3898975227951262</v>
      </c>
      <c r="D169">
        <v>-3.3779770799372422</v>
      </c>
    </row>
    <row r="170" spans="1:4">
      <c r="A170">
        <v>2.2977901781614005E-2</v>
      </c>
      <c r="B170">
        <v>0.18402119404264528</v>
      </c>
      <c r="C170">
        <v>3.6368032196059592</v>
      </c>
      <c r="D170">
        <v>-3.3690269648526083</v>
      </c>
    </row>
    <row r="171" spans="1:4">
      <c r="A171">
        <v>0.19936361386324261</v>
      </c>
      <c r="B171">
        <v>0.32779867397679457</v>
      </c>
      <c r="C171">
        <v>2.1155976944556092</v>
      </c>
      <c r="D171">
        <v>-3.337146211494685</v>
      </c>
    </row>
    <row r="172" spans="1:4">
      <c r="A172">
        <v>9.1345103948287903E-2</v>
      </c>
      <c r="B172">
        <v>0.24448047693920336</v>
      </c>
      <c r="C172">
        <v>4.8851780663665698</v>
      </c>
      <c r="D172">
        <v>-3.3370549614793026</v>
      </c>
    </row>
    <row r="173" spans="1:4">
      <c r="A173">
        <v>0.16057353334192934</v>
      </c>
      <c r="B173">
        <v>0.30082450386447818</v>
      </c>
      <c r="C173">
        <v>3.5060141259791</v>
      </c>
      <c r="D173">
        <v>-3.3219052845150721</v>
      </c>
    </row>
    <row r="174" spans="1:4">
      <c r="A174">
        <v>0.12104552019754927</v>
      </c>
      <c r="B174">
        <v>0.26902534170856401</v>
      </c>
      <c r="C174">
        <v>1.7815934498504171</v>
      </c>
      <c r="D174">
        <v>-3.3183867669495584</v>
      </c>
    </row>
    <row r="175" spans="1:4">
      <c r="A175">
        <v>0.15956637005538493</v>
      </c>
      <c r="B175">
        <v>0.30335721972858753</v>
      </c>
      <c r="C175">
        <v>2.0536532758155839</v>
      </c>
      <c r="D175">
        <v>-3.2971271258995456</v>
      </c>
    </row>
    <row r="176" spans="1:4">
      <c r="A176">
        <v>1.5707553905469085E-3</v>
      </c>
      <c r="B176">
        <v>0.17909784695447983</v>
      </c>
      <c r="C176">
        <v>1.5859712230215828</v>
      </c>
      <c r="D176">
        <v>-3.2925545565090126</v>
      </c>
    </row>
    <row r="177" spans="1:4">
      <c r="A177">
        <v>0.16134203517609322</v>
      </c>
      <c r="B177">
        <v>0.30780698246300725</v>
      </c>
      <c r="C177">
        <v>1.8984087315190588</v>
      </c>
      <c r="D177">
        <v>-3.2791329931793536</v>
      </c>
    </row>
    <row r="178" spans="1:4">
      <c r="A178">
        <v>0.15580359968771759</v>
      </c>
      <c r="B178">
        <v>0.30559365307112868</v>
      </c>
      <c r="C178">
        <v>2.5238555547883723</v>
      </c>
      <c r="D178">
        <v>-3.2693277983084488</v>
      </c>
    </row>
    <row r="179" spans="1:4">
      <c r="A179">
        <v>0.1063382942313818</v>
      </c>
      <c r="B179">
        <v>0.26781071050233718</v>
      </c>
      <c r="C179">
        <v>3.0151731874912353</v>
      </c>
      <c r="D179">
        <v>-3.2640619669278603</v>
      </c>
    </row>
    <row r="180" spans="1:4">
      <c r="A180">
        <v>3.8680966831994228E-2</v>
      </c>
      <c r="B180">
        <v>0.21463115466370769</v>
      </c>
      <c r="C180">
        <v>3.1880743047946094</v>
      </c>
      <c r="D180">
        <v>-3.2634190663800182</v>
      </c>
    </row>
    <row r="181" spans="1:4">
      <c r="A181">
        <v>9.8053975071398528E-2</v>
      </c>
      <c r="B181">
        <v>0.26161748101574089</v>
      </c>
      <c r="C181">
        <v>2.9507787625849757</v>
      </c>
      <c r="D181">
        <v>-3.2618263610819103</v>
      </c>
    </row>
    <row r="182" spans="1:4">
      <c r="A182">
        <v>2.274520115698133E-2</v>
      </c>
      <c r="B182">
        <v>0.20240599526689454</v>
      </c>
      <c r="C182">
        <v>2.5221268163804491</v>
      </c>
      <c r="D182">
        <v>-3.2587277394506384</v>
      </c>
    </row>
    <row r="183" spans="1:4">
      <c r="A183">
        <v>7.2777292414075129E-2</v>
      </c>
      <c r="B183">
        <v>0.24216963771214006</v>
      </c>
      <c r="C183">
        <v>2.1548585485854854</v>
      </c>
      <c r="D183">
        <v>-3.255750315098481</v>
      </c>
    </row>
    <row r="184" spans="1:4">
      <c r="A184">
        <v>7.8220962408044825E-2</v>
      </c>
      <c r="B184">
        <v>0.2464736451373423</v>
      </c>
      <c r="C184">
        <v>1.4862772695285011</v>
      </c>
      <c r="D184">
        <v>-3.2530396626314646</v>
      </c>
    </row>
    <row r="185" spans="1:4">
      <c r="A185">
        <v>0.18452642706131078</v>
      </c>
      <c r="B185">
        <v>0.33077589852008454</v>
      </c>
      <c r="C185">
        <v>1.3650651616738145</v>
      </c>
      <c r="D185">
        <v>-3.2504065608581114</v>
      </c>
    </row>
    <row r="186" spans="1:4">
      <c r="A186">
        <v>0.14166219839142091</v>
      </c>
      <c r="B186">
        <v>0.29773011617515643</v>
      </c>
      <c r="C186">
        <v>2.3522106308991555</v>
      </c>
      <c r="D186">
        <v>-3.2498270730865984</v>
      </c>
    </row>
    <row r="187" spans="1:4">
      <c r="A187">
        <v>7.9576848372527001E-2</v>
      </c>
      <c r="B187">
        <v>0.24792145025390158</v>
      </c>
      <c r="C187">
        <v>1.0606953163733428</v>
      </c>
      <c r="D187">
        <v>-3.2491863324946255</v>
      </c>
    </row>
    <row r="188" spans="1:4">
      <c r="A188">
        <v>9.5955265160207248E-2</v>
      </c>
      <c r="B188">
        <v>0.26407323759948792</v>
      </c>
      <c r="C188">
        <v>2.3732385835991439</v>
      </c>
      <c r="D188">
        <v>-3.2360741932382484</v>
      </c>
    </row>
    <row r="189" spans="1:4">
      <c r="A189">
        <v>0.18747924811224762</v>
      </c>
      <c r="B189">
        <v>0.33582177475499386</v>
      </c>
      <c r="C189">
        <v>0.45446507515473039</v>
      </c>
      <c r="D189">
        <v>-3.2312903607022672</v>
      </c>
    </row>
    <row r="190" spans="1:4">
      <c r="A190">
        <v>5.9788026041179949E-2</v>
      </c>
      <c r="B190">
        <v>0.23735710058250009</v>
      </c>
      <c r="C190">
        <v>2.8525776873203381</v>
      </c>
      <c r="D190">
        <v>-3.2275209546143406</v>
      </c>
    </row>
    <row r="191" spans="1:4">
      <c r="A191">
        <v>0.10584530451178976</v>
      </c>
      <c r="B191">
        <v>0.27370098944462806</v>
      </c>
      <c r="C191">
        <v>2.3058238636363635</v>
      </c>
      <c r="D191">
        <v>-3.2254315259232196</v>
      </c>
    </row>
    <row r="192" spans="1:4">
      <c r="A192">
        <v>1.1743360962334255E-2</v>
      </c>
      <c r="B192">
        <v>0.20151358874625641</v>
      </c>
      <c r="C192">
        <v>3.5525955433835428</v>
      </c>
      <c r="D192">
        <v>-3.2184280506503757</v>
      </c>
    </row>
    <row r="193" spans="1:4">
      <c r="A193">
        <v>1.0038653506961382E-2</v>
      </c>
      <c r="B193">
        <v>0.20101700003752765</v>
      </c>
      <c r="C193">
        <v>2.2704950495049503</v>
      </c>
      <c r="D193">
        <v>-3.2084590207654378</v>
      </c>
    </row>
    <row r="194" spans="1:4">
      <c r="A194">
        <v>6.4561792397299797E-2</v>
      </c>
      <c r="B194">
        <v>0.24660106641092713</v>
      </c>
      <c r="C194">
        <v>4.6259503878350356</v>
      </c>
      <c r="D194">
        <v>-3.2034057887969047</v>
      </c>
    </row>
    <row r="195" spans="1:4">
      <c r="A195">
        <v>0.16492957085002688</v>
      </c>
      <c r="B195">
        <v>0.32460088944122711</v>
      </c>
      <c r="C195">
        <v>2.2833952068185313</v>
      </c>
      <c r="D195">
        <v>-3.2010915798374007</v>
      </c>
    </row>
    <row r="196" spans="1:4">
      <c r="A196">
        <v>1.4672826067718012E-2</v>
      </c>
      <c r="B196">
        <v>0.20610984265208235</v>
      </c>
      <c r="C196">
        <v>1.884471050750536</v>
      </c>
      <c r="D196">
        <v>-3.1987394983908639</v>
      </c>
    </row>
    <row r="197" spans="1:4">
      <c r="A197">
        <v>0.22611455579903114</v>
      </c>
      <c r="B197">
        <v>0.37356903514891865</v>
      </c>
      <c r="C197">
        <v>1.4967899642732427</v>
      </c>
      <c r="D197">
        <v>-3.1941591606038964</v>
      </c>
    </row>
    <row r="198" spans="1:4">
      <c r="A198">
        <v>7.0917748109420226E-2</v>
      </c>
      <c r="B198">
        <v>0.29449164410419199</v>
      </c>
      <c r="C198">
        <v>62.70058327932599</v>
      </c>
      <c r="D198">
        <v>-3.1913298282158005</v>
      </c>
    </row>
    <row r="199" spans="1:4">
      <c r="A199">
        <v>0.19032838344320849</v>
      </c>
      <c r="B199">
        <v>0.34605961903273819</v>
      </c>
      <c r="C199">
        <v>0.8896020867430442</v>
      </c>
      <c r="D199">
        <v>-3.1874963053548031</v>
      </c>
    </row>
    <row r="200" spans="1:4">
      <c r="A200">
        <v>9.3814268408350332E-2</v>
      </c>
      <c r="B200">
        <v>0.27120681397729302</v>
      </c>
      <c r="C200">
        <v>2.3350573105954711</v>
      </c>
      <c r="D200">
        <v>-3.1856255974093872</v>
      </c>
    </row>
    <row r="201" spans="1:4">
      <c r="A201">
        <v>0.16186266974122468</v>
      </c>
      <c r="B201">
        <v>0.32577504483730463</v>
      </c>
      <c r="C201">
        <v>2.2043551509970079</v>
      </c>
      <c r="D201">
        <v>-3.1802816788668626</v>
      </c>
    </row>
    <row r="202" spans="1:4">
      <c r="A202">
        <v>9.2103028587602595E-2</v>
      </c>
      <c r="B202">
        <v>0.27022360600056605</v>
      </c>
      <c r="C202">
        <v>1.3935823250920569</v>
      </c>
      <c r="D202">
        <v>-3.1797634037413531</v>
      </c>
    </row>
    <row r="203" spans="1:4">
      <c r="A203">
        <v>2.1144013242597019E-2</v>
      </c>
      <c r="B203">
        <v>0.21584697443443074</v>
      </c>
      <c r="C203">
        <v>1.251098047165349</v>
      </c>
      <c r="D203">
        <v>-3.1698246975040925</v>
      </c>
    </row>
    <row r="204" spans="1:4">
      <c r="A204">
        <v>0.15716040200808321</v>
      </c>
      <c r="B204">
        <v>0.32498996936988073</v>
      </c>
      <c r="C204">
        <v>2.3235726595727857</v>
      </c>
      <c r="D204">
        <v>-3.1640732742663453</v>
      </c>
    </row>
    <row r="205" spans="1:4">
      <c r="A205">
        <v>6.3717212653382871E-2</v>
      </c>
      <c r="B205">
        <v>0.25179556456152202</v>
      </c>
      <c r="C205">
        <v>2.2952045491858328</v>
      </c>
      <c r="D205">
        <v>-3.1606735571362905</v>
      </c>
    </row>
    <row r="206" spans="1:4">
      <c r="A206">
        <v>4.7070321736525998E-2</v>
      </c>
      <c r="B206">
        <v>0.24016741018648421</v>
      </c>
      <c r="C206">
        <v>3.5510812003530448</v>
      </c>
      <c r="D206">
        <v>-3.1570665345528188</v>
      </c>
    </row>
    <row r="207" spans="1:4">
      <c r="A207">
        <v>0.15026066016830833</v>
      </c>
      <c r="B207">
        <v>0.32159828873717511</v>
      </c>
      <c r="C207">
        <v>1.889803879076823</v>
      </c>
      <c r="D207">
        <v>-3.1506219404717961</v>
      </c>
    </row>
    <row r="208" spans="1:4">
      <c r="A208">
        <v>4.3926204674635261E-2</v>
      </c>
      <c r="B208">
        <v>0.24179930675001965</v>
      </c>
      <c r="C208">
        <v>3.2777922901817367</v>
      </c>
      <c r="D208">
        <v>-3.1325230417214729</v>
      </c>
    </row>
    <row r="209" spans="1:4">
      <c r="A209">
        <v>6.3988985347926131E-2</v>
      </c>
      <c r="B209">
        <v>0.25859374579002109</v>
      </c>
      <c r="C209">
        <v>3.4164877629884072</v>
      </c>
      <c r="D209">
        <v>-3.1276320341145003</v>
      </c>
    </row>
    <row r="210" spans="1:4">
      <c r="A210">
        <v>3.1037395350157749E-2</v>
      </c>
      <c r="B210">
        <v>0.23407494685438276</v>
      </c>
      <c r="C210">
        <v>3.4256490554601475</v>
      </c>
      <c r="D210">
        <v>-3.1191436782275681</v>
      </c>
    </row>
    <row r="211" spans="1:4">
      <c r="A211">
        <v>5.4019846536524481E-2</v>
      </c>
      <c r="B211">
        <v>0.2525291589392914</v>
      </c>
      <c r="C211">
        <v>2.2570824155453297</v>
      </c>
      <c r="D211">
        <v>-3.1127014331225804</v>
      </c>
    </row>
    <row r="212" spans="1:4">
      <c r="A212">
        <v>4.2661518515364011E-2</v>
      </c>
      <c r="B212">
        <v>0.24896611115842865</v>
      </c>
      <c r="C212">
        <v>3.6922781406069918</v>
      </c>
      <c r="D212">
        <v>-3.0876391122785223</v>
      </c>
    </row>
    <row r="213" spans="1:4">
      <c r="A213">
        <v>7.599099739833072E-2</v>
      </c>
      <c r="B213">
        <v>0.27427995246332659</v>
      </c>
      <c r="C213">
        <v>1.9404385044996706</v>
      </c>
      <c r="D213">
        <v>-3.0863255132695251</v>
      </c>
    </row>
    <row r="214" spans="1:4">
      <c r="A214">
        <v>6.23836718740306E-2</v>
      </c>
      <c r="B214">
        <v>0.26301530774734977</v>
      </c>
      <c r="C214">
        <v>1.1378291812104124</v>
      </c>
      <c r="D214">
        <v>-3.0860905859980852</v>
      </c>
    </row>
    <row r="215" spans="1:4">
      <c r="A215">
        <v>7.5796591512197045E-2</v>
      </c>
      <c r="B215">
        <v>0.27693471979242423</v>
      </c>
      <c r="C215">
        <v>5.7523814956363015</v>
      </c>
      <c r="D215">
        <v>-3.0855662849706138</v>
      </c>
    </row>
    <row r="216" spans="1:4">
      <c r="A216">
        <v>0.13720224410882384</v>
      </c>
      <c r="B216">
        <v>0.32352341095169618</v>
      </c>
      <c r="C216">
        <v>2.7520397817795588</v>
      </c>
      <c r="D216">
        <v>-3.084334815192157</v>
      </c>
    </row>
    <row r="217" spans="1:4">
      <c r="A217">
        <v>5.9832335545904038E-2</v>
      </c>
      <c r="B217">
        <v>0.26322349844021681</v>
      </c>
      <c r="C217">
        <v>1.9820965722313142</v>
      </c>
      <c r="D217">
        <v>-3.0767999551362579</v>
      </c>
    </row>
    <row r="218" spans="1:4">
      <c r="A218">
        <v>0.10206510253700872</v>
      </c>
      <c r="B218">
        <v>0.29747530186608129</v>
      </c>
      <c r="C218">
        <v>2.0832884756545145</v>
      </c>
      <c r="D218">
        <v>-3.0720168946824935</v>
      </c>
    </row>
    <row r="219" spans="1:4">
      <c r="A219">
        <v>1.1741181801168208E-2</v>
      </c>
      <c r="B219">
        <v>0.22871172049683322</v>
      </c>
      <c r="C219">
        <v>3.9578271831308731</v>
      </c>
      <c r="D219">
        <v>-3.0650098200058307</v>
      </c>
    </row>
    <row r="220" spans="1:4">
      <c r="A220">
        <v>1.7423851072244267E-2</v>
      </c>
      <c r="B220">
        <v>0.23426829475978814</v>
      </c>
      <c r="C220">
        <v>3.8597820475253606</v>
      </c>
      <c r="D220">
        <v>-3.0585171778844082</v>
      </c>
    </row>
    <row r="221" spans="1:4">
      <c r="A221">
        <v>3.8267118533338779E-2</v>
      </c>
      <c r="B221">
        <v>0.25014086807398639</v>
      </c>
      <c r="C221">
        <v>2.3236507463956109</v>
      </c>
      <c r="D221">
        <v>-3.0556936883638843</v>
      </c>
    </row>
    <row r="222" spans="1:4">
      <c r="A222">
        <v>0.21075272295040873</v>
      </c>
      <c r="B222">
        <v>0.38653362550638382</v>
      </c>
      <c r="C222">
        <v>2.4179049821721113</v>
      </c>
      <c r="D222">
        <v>-3.0548172078191391</v>
      </c>
    </row>
    <row r="223" spans="1:4">
      <c r="A223">
        <v>8.3808191919402752E-2</v>
      </c>
      <c r="B223">
        <v>0.288845519630967</v>
      </c>
      <c r="C223">
        <v>5.9548802456317826</v>
      </c>
      <c r="D223">
        <v>-3.0545369227233268</v>
      </c>
    </row>
    <row r="224" spans="1:4">
      <c r="A224">
        <v>1.5774094527231369E-2</v>
      </c>
      <c r="B224">
        <v>0.23417953890817153</v>
      </c>
      <c r="C224">
        <v>4.5276784378781905</v>
      </c>
      <c r="D224">
        <v>-3.0542707673474756</v>
      </c>
    </row>
    <row r="225" spans="1:4">
      <c r="A225">
        <v>6.2090595171301791E-2</v>
      </c>
      <c r="B225">
        <v>0.27012886794089169</v>
      </c>
      <c r="C225">
        <v>3.1165185115718916</v>
      </c>
      <c r="D225">
        <v>-3.0521392050540626</v>
      </c>
    </row>
    <row r="226" spans="1:4">
      <c r="A226">
        <v>5.1719019060625857E-2</v>
      </c>
      <c r="B226">
        <v>0.26150466124339411</v>
      </c>
      <c r="C226">
        <v>2.0951068228807719</v>
      </c>
      <c r="D226">
        <v>-3.0505394439769922</v>
      </c>
    </row>
    <row r="227" spans="1:4">
      <c r="A227">
        <v>0.11727252008432568</v>
      </c>
      <c r="B227">
        <v>0.31288815452110991</v>
      </c>
      <c r="C227">
        <v>0.56672812735346823</v>
      </c>
      <c r="D227">
        <v>-3.0465307721185524</v>
      </c>
    </row>
    <row r="228" spans="1:4">
      <c r="A228">
        <v>2.6521848951755491E-2</v>
      </c>
      <c r="B228">
        <v>0.24318009598383428</v>
      </c>
      <c r="C228">
        <v>1.8676315789473683</v>
      </c>
      <c r="D228">
        <v>-3.040692299490833</v>
      </c>
    </row>
    <row r="229" spans="1:4">
      <c r="A229">
        <v>0.10545067079166169</v>
      </c>
      <c r="B229">
        <v>0.30584479431935524</v>
      </c>
      <c r="C229">
        <v>1.7671050149559406</v>
      </c>
      <c r="D229">
        <v>-3.038281111001977</v>
      </c>
    </row>
    <row r="230" spans="1:4">
      <c r="A230">
        <v>0.1993977919036467</v>
      </c>
      <c r="B230">
        <v>0.38084086093453773</v>
      </c>
      <c r="C230">
        <v>1.8320902180507479</v>
      </c>
      <c r="D230">
        <v>-3.0338255171117474</v>
      </c>
    </row>
    <row r="231" spans="1:4">
      <c r="A231">
        <v>2.628384343731607E-2</v>
      </c>
      <c r="B231">
        <v>0.24461080047086525</v>
      </c>
      <c r="C231">
        <v>2.0112114606041733</v>
      </c>
      <c r="D231">
        <v>-3.0320405786264066</v>
      </c>
    </row>
    <row r="232" spans="1:4">
      <c r="A232">
        <v>8.308285483302584E-2</v>
      </c>
      <c r="B232">
        <v>0.28983644617648885</v>
      </c>
      <c r="C232">
        <v>2.1068516664282648</v>
      </c>
      <c r="D232">
        <v>-3.0302325102083429</v>
      </c>
    </row>
    <row r="233" spans="1:4">
      <c r="A233">
        <v>0.10467176190717213</v>
      </c>
      <c r="B233">
        <v>0.30981424305309507</v>
      </c>
      <c r="C233">
        <v>5.4162118993744182</v>
      </c>
      <c r="D233">
        <v>-3.0267465907771305</v>
      </c>
    </row>
    <row r="234" spans="1:4">
      <c r="A234">
        <v>9.1889918373885604E-2</v>
      </c>
      <c r="B234">
        <v>0.29772855125754882</v>
      </c>
      <c r="C234">
        <v>1.7464339536676832</v>
      </c>
      <c r="D234">
        <v>-3.0234376263291276</v>
      </c>
    </row>
    <row r="235" spans="1:4">
      <c r="A235">
        <v>0.11719309905294248</v>
      </c>
      <c r="B235">
        <v>0.31988672011585895</v>
      </c>
      <c r="C235">
        <v>3.4771838611266275</v>
      </c>
      <c r="D235">
        <v>-3.0179233765223517</v>
      </c>
    </row>
    <row r="236" spans="1:4">
      <c r="A236">
        <v>0.1632107319067588</v>
      </c>
      <c r="B236">
        <v>0.35673755338604252</v>
      </c>
      <c r="C236">
        <v>2.7174587671901831</v>
      </c>
      <c r="D236">
        <v>-3.0119140743487329</v>
      </c>
    </row>
    <row r="237" spans="1:4">
      <c r="A237">
        <v>0.14402577322762861</v>
      </c>
      <c r="B237">
        <v>0.342000381916853</v>
      </c>
      <c r="C237">
        <v>2.7118896278061504</v>
      </c>
      <c r="D237">
        <v>-3.0095613611094909</v>
      </c>
    </row>
    <row r="238" spans="1:4">
      <c r="A238">
        <v>3.5768414671112463E-2</v>
      </c>
      <c r="B238">
        <v>0.2574113367687178</v>
      </c>
      <c r="C238">
        <v>3.3702036949313121</v>
      </c>
      <c r="D238">
        <v>-3.0071940612180392</v>
      </c>
    </row>
    <row r="239" spans="1:4">
      <c r="A239">
        <v>6.1000233798805495E-2</v>
      </c>
      <c r="B239">
        <v>0.27713660226572295</v>
      </c>
      <c r="C239">
        <v>2.6131840796019907</v>
      </c>
      <c r="D239">
        <v>-3.0052751554984116</v>
      </c>
    </row>
    <row r="240" spans="1:4">
      <c r="A240">
        <v>0.13899691181516641</v>
      </c>
      <c r="B240">
        <v>0.33852796522932627</v>
      </c>
      <c r="C240">
        <v>1.6126916524701875</v>
      </c>
      <c r="D240">
        <v>-3.0023274679709693</v>
      </c>
    </row>
    <row r="241" spans="1:4">
      <c r="A241">
        <v>5.23410173205782E-2</v>
      </c>
      <c r="B241">
        <v>0.27356820767836826</v>
      </c>
      <c r="C241">
        <v>2.8283605283605286</v>
      </c>
      <c r="D241">
        <v>-2.9875092362893447</v>
      </c>
    </row>
    <row r="242" spans="1:4">
      <c r="A242">
        <v>0.11678813225946706</v>
      </c>
      <c r="B242">
        <v>0.32471169175345249</v>
      </c>
      <c r="C242">
        <v>1.7533843931606705</v>
      </c>
      <c r="D242">
        <v>-2.981703489745565</v>
      </c>
    </row>
    <row r="243" spans="1:4">
      <c r="A243">
        <v>1.4900247143522331E-2</v>
      </c>
      <c r="B243">
        <v>0.24716143128335538</v>
      </c>
      <c r="C243">
        <v>3.8407643312101909</v>
      </c>
      <c r="D243">
        <v>-2.9735940111555648</v>
      </c>
    </row>
    <row r="244" spans="1:4">
      <c r="A244">
        <v>4.2777824838091134E-3</v>
      </c>
      <c r="B244">
        <v>0.2387972924062623</v>
      </c>
      <c r="C244">
        <v>3.3593415883435278</v>
      </c>
      <c r="D244">
        <v>-2.97154282081482</v>
      </c>
    </row>
    <row r="245" spans="1:4">
      <c r="A245">
        <v>-1.7913181677374171E-3</v>
      </c>
      <c r="B245">
        <v>0.23640589614972421</v>
      </c>
      <c r="C245">
        <v>4.2915336931277048</v>
      </c>
      <c r="D245">
        <v>-2.9615915949642639</v>
      </c>
    </row>
    <row r="246" spans="1:4">
      <c r="A246">
        <v>8.4065752215643733E-2</v>
      </c>
      <c r="B246">
        <v>0.3036393055699495</v>
      </c>
      <c r="C246">
        <v>2.1856448533240758</v>
      </c>
      <c r="D246">
        <v>-2.9562944226349805</v>
      </c>
    </row>
    <row r="247" spans="1:4">
      <c r="A247">
        <v>0.10864325236891668</v>
      </c>
      <c r="B247">
        <v>0.32535399568666867</v>
      </c>
      <c r="C247">
        <v>5.1740341106856942</v>
      </c>
      <c r="D247">
        <v>-2.9550729966888558</v>
      </c>
    </row>
    <row r="248" spans="1:4">
      <c r="A248">
        <v>9.3564050498808157E-2</v>
      </c>
      <c r="B248">
        <v>0.31551160942879841</v>
      </c>
      <c r="C248">
        <v>4.3869115958668194</v>
      </c>
      <c r="D248">
        <v>-2.9401696998839526</v>
      </c>
    </row>
    <row r="249" spans="1:4">
      <c r="A249">
        <v>7.806596299636788E-2</v>
      </c>
      <c r="B249">
        <v>0.3019099042000829</v>
      </c>
      <c r="C249">
        <v>2.0515591486553375</v>
      </c>
      <c r="D249">
        <v>-2.938616616137804</v>
      </c>
    </row>
    <row r="250" spans="1:4">
      <c r="A250">
        <v>7.183030583306696E-2</v>
      </c>
      <c r="B250">
        <v>0.29728443087302181</v>
      </c>
      <c r="C250">
        <v>2.0454784617848238</v>
      </c>
      <c r="D250">
        <v>-2.9368970341197165</v>
      </c>
    </row>
    <row r="251" spans="1:4">
      <c r="A251">
        <v>4.3978188715030821E-2</v>
      </c>
      <c r="B251">
        <v>0.27590090090090086</v>
      </c>
      <c r="C251">
        <v>1.8505971769815419</v>
      </c>
      <c r="D251">
        <v>-2.9326691027904292</v>
      </c>
    </row>
    <row r="252" spans="1:4">
      <c r="A252">
        <v>0.19021746127798736</v>
      </c>
      <c r="B252">
        <v>0.39136592462887382</v>
      </c>
      <c r="C252">
        <v>1.7264753137348561</v>
      </c>
      <c r="D252">
        <v>-2.9320987066213013</v>
      </c>
    </row>
    <row r="253" spans="1:4">
      <c r="A253">
        <v>7.9715107519517867E-2</v>
      </c>
      <c r="B253">
        <v>0.30645117107245584</v>
      </c>
      <c r="C253">
        <v>4.8890400791687281</v>
      </c>
      <c r="D253">
        <v>-2.9315024690415066</v>
      </c>
    </row>
    <row r="254" spans="1:4">
      <c r="A254">
        <v>-4.967197750702905E-2</v>
      </c>
      <c r="B254">
        <v>0.20423905990916297</v>
      </c>
      <c r="C254">
        <v>4.3085068831627256</v>
      </c>
      <c r="D254">
        <v>-2.929547487268791</v>
      </c>
    </row>
    <row r="255" spans="1:4">
      <c r="A255">
        <v>8.5000851901633756E-3</v>
      </c>
      <c r="B255">
        <v>0.24965450655964258</v>
      </c>
      <c r="C255">
        <v>3.548239597622314</v>
      </c>
      <c r="D255">
        <v>-2.9294126543562617</v>
      </c>
    </row>
    <row r="256" spans="1:4">
      <c r="A256">
        <v>0.12677744686972228</v>
      </c>
      <c r="B256">
        <v>0.34519097064981696</v>
      </c>
      <c r="C256">
        <v>2.869164599880702</v>
      </c>
      <c r="D256">
        <v>-2.9143866366093163</v>
      </c>
    </row>
    <row r="257" spans="1:4">
      <c r="A257">
        <v>0.10587987355110644</v>
      </c>
      <c r="B257">
        <v>0.32838777660695467</v>
      </c>
      <c r="C257">
        <v>1.624851196584705</v>
      </c>
      <c r="D257">
        <v>-2.9111485091066762</v>
      </c>
    </row>
    <row r="258" spans="1:4">
      <c r="A258">
        <v>0.1433404131410366</v>
      </c>
      <c r="B258">
        <v>0.35844952211298003</v>
      </c>
      <c r="C258">
        <v>1.7021940516821064</v>
      </c>
      <c r="D258">
        <v>-2.9086783592974061</v>
      </c>
    </row>
    <row r="259" spans="1:4">
      <c r="A259">
        <v>0.18917741149932069</v>
      </c>
      <c r="B259">
        <v>0.39467073389556789</v>
      </c>
      <c r="C259">
        <v>1.6598845539771563</v>
      </c>
      <c r="D259">
        <v>-2.908314706758115</v>
      </c>
    </row>
    <row r="260" spans="1:4">
      <c r="A260">
        <v>0.12788954635108482</v>
      </c>
      <c r="B260">
        <v>0.34743307974077203</v>
      </c>
      <c r="C260">
        <v>1.5727534118981088</v>
      </c>
      <c r="D260">
        <v>-2.9014254177050729</v>
      </c>
    </row>
    <row r="261" spans="1:4">
      <c r="A261">
        <v>2.9093401775893129E-2</v>
      </c>
      <c r="B261">
        <v>0.27064037367086996</v>
      </c>
      <c r="C261">
        <v>2.0707427696294989</v>
      </c>
      <c r="D261">
        <v>-2.8965531491460781</v>
      </c>
    </row>
    <row r="262" spans="1:4">
      <c r="A262">
        <v>3.9891887657174191E-2</v>
      </c>
      <c r="B262">
        <v>0.28197735908182853</v>
      </c>
      <c r="C262">
        <v>5.875303545410393</v>
      </c>
      <c r="D262">
        <v>-2.8957437618725033</v>
      </c>
    </row>
    <row r="263" spans="1:4">
      <c r="A263">
        <v>0.11237815018192014</v>
      </c>
      <c r="B263">
        <v>0.33738721794249876</v>
      </c>
      <c r="C263">
        <v>3.1033097723240868</v>
      </c>
      <c r="D263">
        <v>-2.8950077726356938</v>
      </c>
    </row>
    <row r="264" spans="1:4">
      <c r="A264">
        <v>0.10814021259471011</v>
      </c>
      <c r="B264">
        <v>0.33310760178734977</v>
      </c>
      <c r="C264">
        <v>1.6213495968420857</v>
      </c>
      <c r="D264">
        <v>-2.8944030248756696</v>
      </c>
    </row>
    <row r="265" spans="1:4">
      <c r="A265">
        <v>7.2675322492541702E-2</v>
      </c>
      <c r="B265">
        <v>0.30442455565359888</v>
      </c>
      <c r="C265">
        <v>0.4763563610686124</v>
      </c>
      <c r="D265">
        <v>-2.8937244094351984</v>
      </c>
    </row>
    <row r="266" spans="1:4">
      <c r="A266">
        <v>2.6118339823345046E-4</v>
      </c>
      <c r="B266">
        <v>0.25114564536043305</v>
      </c>
      <c r="C266">
        <v>3.7635187420682827</v>
      </c>
      <c r="D266">
        <v>-2.8846992217058545</v>
      </c>
    </row>
    <row r="267" spans="1:4">
      <c r="A267">
        <v>7.9893512680397932E-2</v>
      </c>
      <c r="B267">
        <v>0.31189575451870533</v>
      </c>
      <c r="C267">
        <v>0.4740544253132179</v>
      </c>
      <c r="D267">
        <v>-2.8836112240064229</v>
      </c>
    </row>
    <row r="268" spans="1:4">
      <c r="A268">
        <v>9.7979728332069235E-2</v>
      </c>
      <c r="B268">
        <v>0.32654372449587238</v>
      </c>
      <c r="C268">
        <v>0.90518615233962496</v>
      </c>
      <c r="D268">
        <v>-2.8832302924771978</v>
      </c>
    </row>
    <row r="269" spans="1:4">
      <c r="A269">
        <v>0.14127865093296266</v>
      </c>
      <c r="B269">
        <v>0.36128839148918895</v>
      </c>
      <c r="C269">
        <v>1.3854074479890992</v>
      </c>
      <c r="D269">
        <v>-2.8819517275019111</v>
      </c>
    </row>
    <row r="270" spans="1:4">
      <c r="A270">
        <v>5.6859676577986434E-2</v>
      </c>
      <c r="B270">
        <v>0.29562320157504168</v>
      </c>
      <c r="C270">
        <v>1.7219987172759605</v>
      </c>
      <c r="D270">
        <v>-2.8800140533310801</v>
      </c>
    </row>
    <row r="271" spans="1:4">
      <c r="A271">
        <v>0.10703996454162665</v>
      </c>
      <c r="B271">
        <v>0.33526630715815908</v>
      </c>
      <c r="C271">
        <v>1.1659138481877274</v>
      </c>
      <c r="D271">
        <v>-2.8753255450285642</v>
      </c>
    </row>
    <row r="272" spans="1:4">
      <c r="A272">
        <v>9.9206842537109333E-3</v>
      </c>
      <c r="B272">
        <v>0.26120738954225614</v>
      </c>
      <c r="C272">
        <v>2.0403456765311763</v>
      </c>
      <c r="D272">
        <v>-2.8639223414569637</v>
      </c>
    </row>
    <row r="273" spans="1:4">
      <c r="A273">
        <v>0.17156890641894998</v>
      </c>
      <c r="B273">
        <v>0.3893395437611904</v>
      </c>
      <c r="C273">
        <v>1.4840001074719902</v>
      </c>
      <c r="D273">
        <v>-2.8587606798763772</v>
      </c>
    </row>
    <row r="274" spans="1:4">
      <c r="A274">
        <v>8.180603456058938E-2</v>
      </c>
      <c r="B274">
        <v>0.32060634513641867</v>
      </c>
      <c r="C274">
        <v>3.6870175438596489</v>
      </c>
      <c r="D274">
        <v>-2.8554190584205044</v>
      </c>
    </row>
    <row r="275" spans="1:4">
      <c r="A275">
        <v>6.7168820988232888E-2</v>
      </c>
      <c r="B275">
        <v>0.30846277724286603</v>
      </c>
      <c r="C275">
        <v>1.9257924695806568</v>
      </c>
      <c r="D275">
        <v>-2.8517250340410336</v>
      </c>
    </row>
    <row r="276" spans="1:4">
      <c r="A276">
        <v>0.14654617027678982</v>
      </c>
      <c r="B276">
        <v>0.37179812250575922</v>
      </c>
      <c r="C276">
        <v>2.507102314189503</v>
      </c>
      <c r="D276">
        <v>-2.8502368772194839</v>
      </c>
    </row>
    <row r="277" spans="1:4">
      <c r="A277">
        <v>7.2633157140199398E-2</v>
      </c>
      <c r="B277">
        <v>0.31345962331877825</v>
      </c>
      <c r="C277">
        <v>2.3251136761105284</v>
      </c>
      <c r="D277">
        <v>-2.8494298089183032</v>
      </c>
    </row>
    <row r="278" spans="1:4">
      <c r="A278">
        <v>0.12627693684289015</v>
      </c>
      <c r="B278">
        <v>0.35614420997688462</v>
      </c>
      <c r="C278">
        <v>1.4687254645380792</v>
      </c>
      <c r="D278">
        <v>-2.844099120782916</v>
      </c>
    </row>
    <row r="279" spans="1:4">
      <c r="A279">
        <v>5.0345841776318602E-2</v>
      </c>
      <c r="B279">
        <v>0.29709903301100371</v>
      </c>
      <c r="C279">
        <v>1.764527916388354</v>
      </c>
      <c r="D279">
        <v>-2.8401499114962658</v>
      </c>
    </row>
    <row r="280" spans="1:4">
      <c r="A280">
        <v>3.3990337674416171E-2</v>
      </c>
      <c r="B280">
        <v>0.28660674404801967</v>
      </c>
      <c r="C280">
        <v>2.8843699501628079</v>
      </c>
      <c r="D280">
        <v>-2.8308355582618114</v>
      </c>
    </row>
    <row r="281" spans="1:4">
      <c r="A281">
        <v>1.5280033688263252E-2</v>
      </c>
      <c r="B281">
        <v>0.27170615584259333</v>
      </c>
      <c r="C281">
        <v>2.3063230426264942</v>
      </c>
      <c r="D281">
        <v>-2.8292603554649083</v>
      </c>
    </row>
    <row r="282" spans="1:4">
      <c r="A282">
        <v>8.6712483244324359E-2</v>
      </c>
      <c r="B282">
        <v>0.3293048788272091</v>
      </c>
      <c r="C282">
        <v>1.8539525354276931</v>
      </c>
      <c r="D282">
        <v>-2.8205841754260779</v>
      </c>
    </row>
    <row r="283" spans="1:4">
      <c r="A283">
        <v>7.9155133659044058E-2</v>
      </c>
      <c r="B283">
        <v>0.32542391441441004</v>
      </c>
      <c r="C283">
        <v>3.4485459983424018</v>
      </c>
      <c r="D283">
        <v>-2.8150759732969304</v>
      </c>
    </row>
    <row r="284" spans="1:4">
      <c r="A284">
        <v>1.8835466658891447E-2</v>
      </c>
      <c r="B284">
        <v>0.27791546393756494</v>
      </c>
      <c r="C284">
        <v>2.1810186728909637</v>
      </c>
      <c r="D284">
        <v>-2.8093655302124558</v>
      </c>
    </row>
    <row r="285" spans="1:4">
      <c r="A285">
        <v>0.15108755687646303</v>
      </c>
      <c r="B285">
        <v>0.38273585650035513</v>
      </c>
      <c r="C285">
        <v>1.9203987059543588</v>
      </c>
      <c r="D285">
        <v>-2.8059812187158766</v>
      </c>
    </row>
    <row r="286" spans="1:4">
      <c r="A286">
        <v>0.13205077257532902</v>
      </c>
      <c r="B286">
        <v>0.36817714299071974</v>
      </c>
      <c r="C286">
        <v>1.970483337367869</v>
      </c>
      <c r="D286">
        <v>-2.8035006948913495</v>
      </c>
    </row>
    <row r="287" spans="1:4">
      <c r="A287">
        <v>8.386978992345441E-2</v>
      </c>
      <c r="B287">
        <v>0.33118460916547493</v>
      </c>
      <c r="C287">
        <v>2.5501614639397201</v>
      </c>
      <c r="D287">
        <v>-2.7998624282680962</v>
      </c>
    </row>
    <row r="288" spans="1:4">
      <c r="A288">
        <v>7.9307858687815425E-2</v>
      </c>
      <c r="B288">
        <v>0.32837659216534487</v>
      </c>
      <c r="C288">
        <v>2.5271759787153174</v>
      </c>
      <c r="D288">
        <v>-2.7952474926675643</v>
      </c>
    </row>
    <row r="289" spans="1:4">
      <c r="A289">
        <v>6.9686399958888978E-2</v>
      </c>
      <c r="B289">
        <v>0.3205632210488451</v>
      </c>
      <c r="C289">
        <v>2.0156500480923372</v>
      </c>
      <c r="D289">
        <v>-2.7944410400289525</v>
      </c>
    </row>
    <row r="290" spans="1:4">
      <c r="A290">
        <v>7.5481234386056126E-2</v>
      </c>
      <c r="B290">
        <v>0.32539098037516789</v>
      </c>
      <c r="C290">
        <v>0.51869562174896788</v>
      </c>
      <c r="D290">
        <v>-2.7870117490857917</v>
      </c>
    </row>
    <row r="291" spans="1:4">
      <c r="A291">
        <v>8.8808571059765078E-3</v>
      </c>
      <c r="B291">
        <v>0.27498939681720114</v>
      </c>
      <c r="C291">
        <v>2.9637795716224349</v>
      </c>
      <c r="D291">
        <v>-2.784379413405337</v>
      </c>
    </row>
    <row r="292" spans="1:4">
      <c r="A292">
        <v>0.11736220717433486</v>
      </c>
      <c r="B292">
        <v>0.36155095067574067</v>
      </c>
      <c r="C292">
        <v>1.5762366420623555</v>
      </c>
      <c r="D292">
        <v>-2.7735944600010343</v>
      </c>
    </row>
    <row r="293" spans="1:4">
      <c r="A293">
        <v>9.3376494023904386E-4</v>
      </c>
      <c r="B293">
        <v>0.27085408366533864</v>
      </c>
      <c r="C293">
        <v>3.2470696391634108</v>
      </c>
      <c r="D293">
        <v>-2.7733219438952985</v>
      </c>
    </row>
    <row r="294" spans="1:4">
      <c r="A294">
        <v>0.11654838931455155</v>
      </c>
      <c r="B294">
        <v>0.36124118649117315</v>
      </c>
      <c r="C294">
        <v>1.3129713693391001</v>
      </c>
      <c r="D294">
        <v>-2.7706448743931515</v>
      </c>
    </row>
    <row r="295" spans="1:4">
      <c r="A295">
        <v>0.15115862833252047</v>
      </c>
      <c r="B295">
        <v>0.38898061151012647</v>
      </c>
      <c r="C295">
        <v>1.785559392906588</v>
      </c>
      <c r="D295">
        <v>-2.770166579460247</v>
      </c>
    </row>
    <row r="296" spans="1:4">
      <c r="A296">
        <v>3.1234514618200416E-2</v>
      </c>
      <c r="B296">
        <v>0.29604053773238059</v>
      </c>
      <c r="C296">
        <v>1.7263498920086395</v>
      </c>
      <c r="D296">
        <v>-2.7600296502753667</v>
      </c>
    </row>
    <row r="297" spans="1:4">
      <c r="A297">
        <v>0.13589718322161329</v>
      </c>
      <c r="B297">
        <v>0.38578464198448836</v>
      </c>
      <c r="C297">
        <v>9.1445373869474764</v>
      </c>
      <c r="D297">
        <v>-2.7491430147334652</v>
      </c>
    </row>
    <row r="298" spans="1:4">
      <c r="A298">
        <v>5.613355093159255E-2</v>
      </c>
      <c r="B298">
        <v>0.31789745682034543</v>
      </c>
      <c r="C298">
        <v>1.769090909090909</v>
      </c>
      <c r="D298">
        <v>-2.7476618389525611</v>
      </c>
    </row>
    <row r="299" spans="1:4">
      <c r="A299">
        <v>3.1085785237577882E-2</v>
      </c>
      <c r="B299">
        <v>0.30207016843676782</v>
      </c>
      <c r="C299">
        <v>7.0985832734869758</v>
      </c>
      <c r="D299">
        <v>-2.7464804065734714</v>
      </c>
    </row>
    <row r="300" spans="1:4">
      <c r="A300">
        <v>5.3173556718495468E-2</v>
      </c>
      <c r="B300">
        <v>0.31571353496319748</v>
      </c>
      <c r="C300">
        <v>1.6412175188831917</v>
      </c>
      <c r="D300">
        <v>-2.7462787260185371</v>
      </c>
    </row>
    <row r="301" spans="1:4">
      <c r="A301">
        <v>1.255028571848823E-2</v>
      </c>
      <c r="B301">
        <v>0.28486537768527576</v>
      </c>
      <c r="C301">
        <v>2.7936286907840517</v>
      </c>
      <c r="D301">
        <v>-2.7439181476902612</v>
      </c>
    </row>
    <row r="302" spans="1:4">
      <c r="A302">
        <v>3.4416755168070343E-2</v>
      </c>
      <c r="B302">
        <v>0.30229198053792389</v>
      </c>
      <c r="C302">
        <v>2.5902834671473047</v>
      </c>
      <c r="D302">
        <v>-2.742172243058739</v>
      </c>
    </row>
    <row r="303" spans="1:4">
      <c r="A303">
        <v>1.8727294034923236E-2</v>
      </c>
      <c r="B303">
        <v>0.29134731825461935</v>
      </c>
      <c r="C303">
        <v>3.0820247995916774</v>
      </c>
      <c r="D303">
        <v>-2.7359212083041906</v>
      </c>
    </row>
    <row r="304" spans="1:4">
      <c r="A304">
        <v>4.9651173326084985E-2</v>
      </c>
      <c r="B304">
        <v>0.31639032345746126</v>
      </c>
      <c r="C304">
        <v>2.3901040435091039</v>
      </c>
      <c r="D304">
        <v>-2.7295658524338893</v>
      </c>
    </row>
    <row r="305" spans="1:4">
      <c r="A305">
        <v>0.17034665181678965</v>
      </c>
      <c r="B305">
        <v>0.41156434173279499</v>
      </c>
      <c r="C305">
        <v>2.0741862713503063</v>
      </c>
      <c r="D305">
        <v>-2.7289399303840232</v>
      </c>
    </row>
    <row r="306" spans="1:4">
      <c r="A306">
        <v>0.11811498470635433</v>
      </c>
      <c r="B306">
        <v>0.37191667582326321</v>
      </c>
      <c r="C306">
        <v>1.633247753530167</v>
      </c>
      <c r="D306">
        <v>-2.7181253700001142</v>
      </c>
    </row>
    <row r="307" spans="1:4">
      <c r="A307">
        <v>7.9302712211718779E-2</v>
      </c>
      <c r="B307">
        <v>0.34062614780877265</v>
      </c>
      <c r="C307">
        <v>0.62503065979887173</v>
      </c>
      <c r="D307">
        <v>-2.717793285081926</v>
      </c>
    </row>
    <row r="308" spans="1:4">
      <c r="A308">
        <v>6.4225773925494375E-2</v>
      </c>
      <c r="B308">
        <v>0.33176394076932109</v>
      </c>
      <c r="C308">
        <v>2.1687861039794609</v>
      </c>
      <c r="D308">
        <v>-2.706636664695512</v>
      </c>
    </row>
    <row r="309" spans="1:4">
      <c r="A309">
        <v>3.0634897143702825E-2</v>
      </c>
      <c r="B309">
        <v>0.30886488086428887</v>
      </c>
      <c r="C309">
        <v>2.6759134444838599</v>
      </c>
      <c r="D309">
        <v>-2.6880308699981512</v>
      </c>
    </row>
    <row r="310" spans="1:4">
      <c r="A310">
        <v>3.5873639121898983E-2</v>
      </c>
      <c r="B310">
        <v>0.31378482306556554</v>
      </c>
      <c r="C310">
        <v>1.8887749363152149</v>
      </c>
      <c r="D310">
        <v>-2.6804129843200828</v>
      </c>
    </row>
    <row r="311" spans="1:4">
      <c r="A311">
        <v>1.6585353742256649E-2</v>
      </c>
      <c r="B311">
        <v>0.29915707670726105</v>
      </c>
      <c r="C311">
        <v>2.7109059914348679</v>
      </c>
      <c r="D311">
        <v>-2.680282378574506</v>
      </c>
    </row>
    <row r="312" spans="1:4">
      <c r="A312">
        <v>7.3636436112661297E-2</v>
      </c>
      <c r="B312">
        <v>0.34645171577280959</v>
      </c>
      <c r="C312">
        <v>2.0755217691776089</v>
      </c>
      <c r="D312">
        <v>-2.6648912696786713</v>
      </c>
    </row>
    <row r="313" spans="1:4">
      <c r="A313">
        <v>0.17028007546074589</v>
      </c>
      <c r="B313">
        <v>0.42290427127170699</v>
      </c>
      <c r="C313">
        <v>1.5567622927105873</v>
      </c>
      <c r="D313">
        <v>-2.6619330424954684</v>
      </c>
    </row>
    <row r="314" spans="1:4">
      <c r="A314">
        <v>6.7146202525157933E-2</v>
      </c>
      <c r="B314">
        <v>0.34353907900413844</v>
      </c>
      <c r="C314">
        <v>0.74665888841747996</v>
      </c>
      <c r="D314">
        <v>-2.6469717965932915</v>
      </c>
    </row>
    <row r="315" spans="1:4">
      <c r="A315">
        <v>0</v>
      </c>
      <c r="B315">
        <v>0.29308600755878539</v>
      </c>
      <c r="C315">
        <v>2.8580172672995148</v>
      </c>
      <c r="D315">
        <v>-2.6408418259841211</v>
      </c>
    </row>
    <row r="316" spans="1:4">
      <c r="A316">
        <v>4.2369768068379419E-3</v>
      </c>
      <c r="B316">
        <v>0.29623733601103736</v>
      </c>
      <c r="C316">
        <v>1.6560036484461529</v>
      </c>
      <c r="D316">
        <v>-2.6371375949616422</v>
      </c>
    </row>
    <row r="317" spans="1:4">
      <c r="A317">
        <v>4.4789080119659888E-2</v>
      </c>
      <c r="B317">
        <v>0.3294114417146099</v>
      </c>
      <c r="C317">
        <v>0.77721305745440383</v>
      </c>
      <c r="D317">
        <v>-2.6270144949950098</v>
      </c>
    </row>
    <row r="318" spans="1:4">
      <c r="A318">
        <v>9.0641601961585619E-2</v>
      </c>
      <c r="B318">
        <v>0.36798801253235253</v>
      </c>
      <c r="C318">
        <v>2.3296685787125559</v>
      </c>
      <c r="D318">
        <v>-2.6196742117075762</v>
      </c>
    </row>
    <row r="319" spans="1:4">
      <c r="A319">
        <v>0.16146522283639214</v>
      </c>
      <c r="B319">
        <v>0.42359787348546196</v>
      </c>
      <c r="C319">
        <v>1.8157960229959433</v>
      </c>
      <c r="D319">
        <v>-2.6193488079886156</v>
      </c>
    </row>
    <row r="320" spans="1:4">
      <c r="A320">
        <v>0.1062526912688249</v>
      </c>
      <c r="B320">
        <v>0.37981422555768679</v>
      </c>
      <c r="C320">
        <v>0.55533294048320569</v>
      </c>
      <c r="D320">
        <v>-2.6154173567928294</v>
      </c>
    </row>
    <row r="321" spans="1:4">
      <c r="A321">
        <v>0.10232449689708362</v>
      </c>
      <c r="B321">
        <v>0.37756932238045704</v>
      </c>
      <c r="C321">
        <v>1.0641299700726807</v>
      </c>
      <c r="D321">
        <v>-2.6125716183485617</v>
      </c>
    </row>
    <row r="322" spans="1:4">
      <c r="A322">
        <v>8.0583509207344126E-2</v>
      </c>
      <c r="B322">
        <v>0.36087988333439003</v>
      </c>
      <c r="C322">
        <v>1.0797116909085587</v>
      </c>
      <c r="D322">
        <v>-2.6099293031906594</v>
      </c>
    </row>
    <row r="323" spans="1:4">
      <c r="A323">
        <v>8.4748648283716588E-2</v>
      </c>
      <c r="B323">
        <v>0.36433230205648737</v>
      </c>
      <c r="C323">
        <v>1.1139505434591437</v>
      </c>
      <c r="D323">
        <v>-2.6091305977285835</v>
      </c>
    </row>
    <row r="324" spans="1:4">
      <c r="A324">
        <v>4.0183152878036497E-2</v>
      </c>
      <c r="B324">
        <v>0.33124135703713309</v>
      </c>
      <c r="C324">
        <v>1.8035612981888691</v>
      </c>
      <c r="D324">
        <v>-2.599962698032261</v>
      </c>
    </row>
    <row r="325" spans="1:4">
      <c r="A325">
        <v>2.8502224976060381E-2</v>
      </c>
      <c r="B325">
        <v>0.32270602151749</v>
      </c>
      <c r="C325">
        <v>1.6796583021890017</v>
      </c>
      <c r="D325">
        <v>-2.5955543229513349</v>
      </c>
    </row>
    <row r="326" spans="1:4">
      <c r="A326">
        <v>3.674878441586462E-2</v>
      </c>
      <c r="B326">
        <v>0.33039230040147027</v>
      </c>
      <c r="C326">
        <v>1.4112279530406722</v>
      </c>
      <c r="D326">
        <v>-2.5877783293951726</v>
      </c>
    </row>
    <row r="327" spans="1:4">
      <c r="A327">
        <v>-2.4479319195851782E-2</v>
      </c>
      <c r="B327">
        <v>0.281951454805423</v>
      </c>
      <c r="C327">
        <v>1.2071806527220428</v>
      </c>
      <c r="D327">
        <v>-2.5875484938386437</v>
      </c>
    </row>
    <row r="328" spans="1:4">
      <c r="A328">
        <v>6.1318746110255812E-2</v>
      </c>
      <c r="B328">
        <v>0.35162468472599817</v>
      </c>
      <c r="C328">
        <v>2.7363247067585181</v>
      </c>
      <c r="D328">
        <v>-2.5826189533849955</v>
      </c>
    </row>
    <row r="329" spans="1:4">
      <c r="A329">
        <v>0.14173966513109484</v>
      </c>
      <c r="B329">
        <v>0.41469512010725484</v>
      </c>
      <c r="C329">
        <v>1.8413897280966767</v>
      </c>
      <c r="D329">
        <v>-2.5814318673909606</v>
      </c>
    </row>
    <row r="330" spans="1:4">
      <c r="A330">
        <v>6.0629985839795023E-2</v>
      </c>
      <c r="B330">
        <v>0.35105549357652394</v>
      </c>
      <c r="C330">
        <v>0.64959419845992294</v>
      </c>
      <c r="D330">
        <v>-2.5744169996867305</v>
      </c>
    </row>
    <row r="331" spans="1:4">
      <c r="A331">
        <v>6.9086515732520878E-2</v>
      </c>
      <c r="B331">
        <v>0.35808163050900876</v>
      </c>
      <c r="C331">
        <v>1.0052816363913906</v>
      </c>
      <c r="D331">
        <v>-2.5738451534405589</v>
      </c>
    </row>
    <row r="332" spans="1:4">
      <c r="A332">
        <v>6.9991167553889844E-2</v>
      </c>
      <c r="B332">
        <v>0.36224964789572939</v>
      </c>
      <c r="C332">
        <v>2.1692783118991135</v>
      </c>
      <c r="D332">
        <v>-2.5588143742344429</v>
      </c>
    </row>
    <row r="333" spans="1:4">
      <c r="A333">
        <v>2.6371449945373425E-4</v>
      </c>
      <c r="B333">
        <v>0.32077370604982591</v>
      </c>
      <c r="C333">
        <v>20.550658186658779</v>
      </c>
      <c r="D333">
        <v>-2.5549792235101689</v>
      </c>
    </row>
    <row r="334" spans="1:4">
      <c r="A334">
        <v>1.8372841797424218E-2</v>
      </c>
      <c r="B334">
        <v>0.32296060401552223</v>
      </c>
      <c r="C334">
        <v>1.8678541839270917</v>
      </c>
      <c r="D334">
        <v>-2.5492737619356407</v>
      </c>
    </row>
    <row r="335" spans="1:4">
      <c r="A335">
        <v>9.585502070590024E-2</v>
      </c>
      <c r="B335">
        <v>0.3843319022833479</v>
      </c>
      <c r="C335">
        <v>1.519671807038355</v>
      </c>
      <c r="D335">
        <v>-2.5467344373896212</v>
      </c>
    </row>
    <row r="336" spans="1:4">
      <c r="A336">
        <v>6.3783993496896244E-2</v>
      </c>
      <c r="B336">
        <v>0.36435855749334911</v>
      </c>
      <c r="C336">
        <v>2.0942459184838453</v>
      </c>
      <c r="D336">
        <v>-2.5185611766978782</v>
      </c>
    </row>
    <row r="337" spans="1:4">
      <c r="A337">
        <v>0.19378132580232499</v>
      </c>
      <c r="B337">
        <v>0.46983984956624469</v>
      </c>
      <c r="C337">
        <v>5.0363966581910642</v>
      </c>
      <c r="D337">
        <v>-2.5140744102156325</v>
      </c>
    </row>
    <row r="338" spans="1:4">
      <c r="A338">
        <v>0.1225864697857315</v>
      </c>
      <c r="B338">
        <v>0.41151057967525351</v>
      </c>
      <c r="C338">
        <v>1.471801730450246</v>
      </c>
      <c r="D338">
        <v>-2.5119160168086472</v>
      </c>
    </row>
    <row r="339" spans="1:4">
      <c r="A339">
        <v>5.7518972646866909E-2</v>
      </c>
      <c r="B339">
        <v>0.36285560205091894</v>
      </c>
      <c r="C339">
        <v>5.0127599165845895</v>
      </c>
      <c r="D339">
        <v>-2.5106094848870013</v>
      </c>
    </row>
    <row r="340" spans="1:4">
      <c r="A340">
        <v>9.6686333009285641E-2</v>
      </c>
      <c r="B340">
        <v>0.39273742080386176</v>
      </c>
      <c r="C340">
        <v>2.0821900816194896</v>
      </c>
      <c r="D340">
        <v>-2.5048139602862509</v>
      </c>
    </row>
    <row r="341" spans="1:4">
      <c r="A341">
        <v>0.13696246037383636</v>
      </c>
      <c r="B341">
        <v>0.42498714043164315</v>
      </c>
      <c r="C341">
        <v>2.0762762507697392</v>
      </c>
      <c r="D341">
        <v>-2.5022094762249765</v>
      </c>
    </row>
    <row r="342" spans="1:4">
      <c r="A342">
        <v>6.3333574717686789E-2</v>
      </c>
      <c r="B342">
        <v>0.36827503698353126</v>
      </c>
      <c r="C342">
        <v>3.4203581596377099</v>
      </c>
      <c r="D342">
        <v>-2.4995148080620133</v>
      </c>
    </row>
    <row r="343" spans="1:4">
      <c r="A343">
        <v>0.10379489442107838</v>
      </c>
      <c r="B343">
        <v>0.3989219104437528</v>
      </c>
      <c r="C343">
        <v>1.2262848139394782</v>
      </c>
      <c r="D343">
        <v>-2.4981272746212198</v>
      </c>
    </row>
    <row r="344" spans="1:4">
      <c r="A344">
        <v>9.5483568625153777E-3</v>
      </c>
      <c r="B344">
        <v>0.32554084074205919</v>
      </c>
      <c r="C344">
        <v>0.98297227556409039</v>
      </c>
      <c r="D344">
        <v>-2.4913167027538381</v>
      </c>
    </row>
    <row r="345" spans="1:4">
      <c r="A345">
        <v>6.0088465103959737E-2</v>
      </c>
      <c r="B345">
        <v>0.36726049529863597</v>
      </c>
      <c r="C345">
        <v>2.9079869403718961</v>
      </c>
      <c r="D345">
        <v>-2.4886452175270808</v>
      </c>
    </row>
    <row r="346" spans="1:4">
      <c r="A346">
        <v>1.0478336544040104E-2</v>
      </c>
      <c r="B346">
        <v>0.32858672273917627</v>
      </c>
      <c r="C346">
        <v>2.0770205428513191</v>
      </c>
      <c r="D346">
        <v>-2.4825162770062805</v>
      </c>
    </row>
    <row r="347" spans="1:4">
      <c r="A347">
        <v>9.1672157140025815E-2</v>
      </c>
      <c r="B347">
        <v>0.3925929496965509</v>
      </c>
      <c r="C347">
        <v>0.84042472275887248</v>
      </c>
      <c r="D347">
        <v>-2.4781065927508119</v>
      </c>
    </row>
    <row r="348" spans="1:4">
      <c r="A348">
        <v>0.17636719833463257</v>
      </c>
      <c r="B348">
        <v>0.46045482282113936</v>
      </c>
      <c r="C348">
        <v>1.3333588506978999</v>
      </c>
      <c r="D348">
        <v>-2.4743933378281429</v>
      </c>
    </row>
    <row r="349" spans="1:4">
      <c r="A349">
        <v>9.5184770436730126E-2</v>
      </c>
      <c r="B349">
        <v>0.39776035834266521</v>
      </c>
      <c r="C349">
        <v>1.9296343344524092</v>
      </c>
      <c r="D349">
        <v>-2.4688159617499026</v>
      </c>
    </row>
    <row r="350" spans="1:4">
      <c r="A350">
        <v>7.178794944164929E-2</v>
      </c>
      <c r="B350">
        <v>0.37962589625370341</v>
      </c>
      <c r="C350">
        <v>0.54079453225117469</v>
      </c>
      <c r="D350">
        <v>-2.461341341970317</v>
      </c>
    </row>
    <row r="351" spans="1:4">
      <c r="A351">
        <v>9.2505206256369349E-2</v>
      </c>
      <c r="B351">
        <v>0.39737028667641455</v>
      </c>
      <c r="C351">
        <v>1.4854492503505556</v>
      </c>
      <c r="D351">
        <v>-2.4572045910995013</v>
      </c>
    </row>
    <row r="352" spans="1:4">
      <c r="A352">
        <v>4.4486482225900521E-2</v>
      </c>
      <c r="B352">
        <v>0.3629226767557342</v>
      </c>
      <c r="C352">
        <v>1.6394614875303466</v>
      </c>
      <c r="D352">
        <v>-2.4380877584589888</v>
      </c>
    </row>
    <row r="353" spans="1:4">
      <c r="A353">
        <v>7.9735310088777198E-2</v>
      </c>
      <c r="B353">
        <v>0.3910616641620468</v>
      </c>
      <c r="C353">
        <v>1.8656580544477197</v>
      </c>
      <c r="D353">
        <v>-2.4372200418936214</v>
      </c>
    </row>
    <row r="354" spans="1:4">
      <c r="A354">
        <v>5.2367232948085353E-2</v>
      </c>
      <c r="B354">
        <v>0.37131723901932862</v>
      </c>
      <c r="C354">
        <v>2.0704577968526467</v>
      </c>
      <c r="D354">
        <v>-2.4274261170436215</v>
      </c>
    </row>
    <row r="355" spans="1:4">
      <c r="A355">
        <v>0</v>
      </c>
      <c r="B355">
        <v>0.33026273800659506</v>
      </c>
      <c r="C355">
        <v>2.2104665490830899</v>
      </c>
      <c r="D355">
        <v>-2.4263442595587406</v>
      </c>
    </row>
    <row r="356" spans="1:4">
      <c r="A356">
        <v>5.1494878321386002E-2</v>
      </c>
      <c r="B356">
        <v>0.37167639989301426</v>
      </c>
      <c r="C356">
        <v>0.83069093463566279</v>
      </c>
      <c r="D356">
        <v>-2.4164942367945974</v>
      </c>
    </row>
    <row r="357" spans="1:4">
      <c r="A357">
        <v>5.5289503337089367E-2</v>
      </c>
      <c r="B357">
        <v>0.37756782525786597</v>
      </c>
      <c r="C357">
        <v>1.2976335450745482</v>
      </c>
      <c r="D357">
        <v>-2.4018566952273637</v>
      </c>
    </row>
    <row r="358" spans="1:4">
      <c r="A358">
        <v>0.19368067424154947</v>
      </c>
      <c r="B358">
        <v>0.49067300611176995</v>
      </c>
      <c r="C358">
        <v>1.2817279005577507</v>
      </c>
      <c r="D358">
        <v>-2.3798538108521146</v>
      </c>
    </row>
    <row r="359" spans="1:4">
      <c r="A359">
        <v>7.737550794730709E-2</v>
      </c>
      <c r="B359">
        <v>0.39991511087998977</v>
      </c>
      <c r="C359">
        <v>1.5434553899053143</v>
      </c>
      <c r="D359">
        <v>-2.3748474753065612</v>
      </c>
    </row>
    <row r="360" spans="1:4">
      <c r="A360">
        <v>5.6071325459491388E-2</v>
      </c>
      <c r="B360">
        <v>0.38415307638721502</v>
      </c>
      <c r="C360">
        <v>2.2073867721063984</v>
      </c>
      <c r="D360">
        <v>-2.371477976249011</v>
      </c>
    </row>
    <row r="361" spans="1:4">
      <c r="A361">
        <v>5.8567085412723E-2</v>
      </c>
      <c r="B361">
        <v>0.38668043366029936</v>
      </c>
      <c r="C361">
        <v>1.2736240913811008</v>
      </c>
      <c r="D361">
        <v>-2.3645679088590716</v>
      </c>
    </row>
    <row r="362" spans="1:4">
      <c r="A362">
        <v>9.2972753858181073E-2</v>
      </c>
      <c r="B362">
        <v>0.41568462808003009</v>
      </c>
      <c r="C362">
        <v>2.5984551095352666</v>
      </c>
      <c r="D362">
        <v>-2.3593688327437841</v>
      </c>
    </row>
    <row r="363" spans="1:4">
      <c r="A363">
        <v>4.1177501314175573E-3</v>
      </c>
      <c r="B363">
        <v>0.34635097248992464</v>
      </c>
      <c r="C363">
        <v>1.6870857731162732</v>
      </c>
      <c r="D363">
        <v>-2.3510776754912732</v>
      </c>
    </row>
    <row r="364" spans="1:4">
      <c r="A364">
        <v>0</v>
      </c>
      <c r="B364">
        <v>0.34509275352037738</v>
      </c>
      <c r="C364">
        <v>2.1509150568444406</v>
      </c>
      <c r="D364">
        <v>-2.3415749651612261</v>
      </c>
    </row>
    <row r="365" spans="1:4">
      <c r="A365">
        <v>6.4448818539422966E-3</v>
      </c>
      <c r="B365">
        <v>0.35010872894798295</v>
      </c>
      <c r="C365">
        <v>2.0248800348989384</v>
      </c>
      <c r="D365">
        <v>-2.3414817334788331</v>
      </c>
    </row>
    <row r="366" spans="1:4">
      <c r="A366">
        <v>0.12515463271793426</v>
      </c>
      <c r="B366">
        <v>0.44409733640249921</v>
      </c>
      <c r="C366">
        <v>1.6615116919088793</v>
      </c>
      <c r="D366">
        <v>-2.3384870765040944</v>
      </c>
    </row>
    <row r="367" spans="1:4">
      <c r="A367">
        <v>6.5891339503836499E-3</v>
      </c>
      <c r="B367">
        <v>0.35038106871279634</v>
      </c>
      <c r="C367">
        <v>0.99279798835652011</v>
      </c>
      <c r="D367">
        <v>-2.3364502030672125</v>
      </c>
    </row>
    <row r="368" spans="1:4">
      <c r="A368">
        <v>-0.28117990130103188</v>
      </c>
      <c r="B368">
        <v>0.12449528936742935</v>
      </c>
      <c r="C368">
        <v>2.5382409177820264</v>
      </c>
      <c r="D368">
        <v>-2.3352202584221371</v>
      </c>
    </row>
    <row r="369" spans="1:4">
      <c r="A369">
        <v>5.114387528437498E-2</v>
      </c>
      <c r="B369">
        <v>0.38999134292099241</v>
      </c>
      <c r="C369">
        <v>5.4570633263743904</v>
      </c>
      <c r="D369">
        <v>-2.3290250374355286</v>
      </c>
    </row>
    <row r="370" spans="1:4">
      <c r="A370">
        <v>5.7336004006009016E-2</v>
      </c>
      <c r="B370">
        <v>0.39346519779669509</v>
      </c>
      <c r="C370">
        <v>3.130883410157737</v>
      </c>
      <c r="D370">
        <v>-2.3277839242265093</v>
      </c>
    </row>
    <row r="371" spans="1:4">
      <c r="A371">
        <v>8.2849939753718668E-2</v>
      </c>
      <c r="B371">
        <v>0.41453819198003228</v>
      </c>
      <c r="C371">
        <v>3.0945357931334407</v>
      </c>
      <c r="D371">
        <v>-2.3223351777780836</v>
      </c>
    </row>
    <row r="372" spans="1:4">
      <c r="A372">
        <v>5.1149772828221744E-2</v>
      </c>
      <c r="B372">
        <v>0.39049999197272867</v>
      </c>
      <c r="C372">
        <v>2.3842762302143692</v>
      </c>
      <c r="D372">
        <v>-2.3138611284033019</v>
      </c>
    </row>
    <row r="373" spans="1:4">
      <c r="A373">
        <v>6.1816388939781898E-3</v>
      </c>
      <c r="B373">
        <v>0.35547253788301958</v>
      </c>
      <c r="C373">
        <v>2.0869060395233512</v>
      </c>
      <c r="D373">
        <v>-2.3099715332477837</v>
      </c>
    </row>
    <row r="374" spans="1:4">
      <c r="A374">
        <v>4.6753770412908173E-2</v>
      </c>
      <c r="B374">
        <v>0.38963209614796795</v>
      </c>
      <c r="C374">
        <v>5.0983504898921002</v>
      </c>
      <c r="D374">
        <v>-2.3098824207742377</v>
      </c>
    </row>
    <row r="375" spans="1:4">
      <c r="A375">
        <v>0</v>
      </c>
      <c r="B375">
        <v>0.35257383292056138</v>
      </c>
      <c r="C375">
        <v>2.4947964293490092</v>
      </c>
      <c r="D375">
        <v>-2.3003083380701961</v>
      </c>
    </row>
    <row r="376" spans="1:4">
      <c r="A376">
        <v>4.3257922792563464E-2</v>
      </c>
      <c r="B376">
        <v>0.38681237413325753</v>
      </c>
      <c r="C376">
        <v>2.4063628060714133</v>
      </c>
      <c r="D376">
        <v>-2.2994555712312534</v>
      </c>
    </row>
    <row r="377" spans="1:4">
      <c r="A377">
        <v>3.9169797376362628E-2</v>
      </c>
      <c r="B377">
        <v>0.38370836529363356</v>
      </c>
      <c r="C377">
        <v>1.5159574468085104</v>
      </c>
      <c r="D377">
        <v>-2.2951902358071545</v>
      </c>
    </row>
    <row r="378" spans="1:4">
      <c r="A378">
        <v>9.7913278762452691E-2</v>
      </c>
      <c r="B378">
        <v>0.4311327329625429</v>
      </c>
      <c r="C378">
        <v>1.8461870627860781</v>
      </c>
      <c r="D378">
        <v>-2.2905379247956863</v>
      </c>
    </row>
    <row r="379" spans="1:4">
      <c r="A379">
        <v>1.3118997020028731E-2</v>
      </c>
      <c r="B379">
        <v>0.36517114058103506</v>
      </c>
      <c r="C379">
        <v>1.0992187777002989</v>
      </c>
      <c r="D379">
        <v>-2.2819568603890308</v>
      </c>
    </row>
    <row r="380" spans="1:4">
      <c r="A380">
        <v>7.5917971612495916E-2</v>
      </c>
      <c r="B380">
        <v>0.4145161835830487</v>
      </c>
      <c r="C380">
        <v>0.58835837551313219</v>
      </c>
      <c r="D380">
        <v>-2.281242059334907</v>
      </c>
    </row>
    <row r="381" spans="1:4">
      <c r="A381">
        <v>0.17205440653808274</v>
      </c>
      <c r="B381">
        <v>0.49360291913649351</v>
      </c>
      <c r="C381">
        <v>2.7361051252055977</v>
      </c>
      <c r="D381">
        <v>-2.271652610844181</v>
      </c>
    </row>
    <row r="382" spans="1:4">
      <c r="A382">
        <v>0.19095893732235725</v>
      </c>
      <c r="B382">
        <v>0.50772143696260208</v>
      </c>
      <c r="C382">
        <v>1.4235799963266633</v>
      </c>
      <c r="D382">
        <v>-2.2709973472490819</v>
      </c>
    </row>
    <row r="383" spans="1:4">
      <c r="A383">
        <v>9.2372888350471694E-2</v>
      </c>
      <c r="B383">
        <v>0.43142807621517576</v>
      </c>
      <c r="C383">
        <v>2.6198244906326669</v>
      </c>
      <c r="D383">
        <v>-2.2670172611131516</v>
      </c>
    </row>
    <row r="384" spans="1:4">
      <c r="A384">
        <v>3.4748780888718432E-2</v>
      </c>
      <c r="B384">
        <v>0.38586926743740069</v>
      </c>
      <c r="C384">
        <v>2.5147836912542791</v>
      </c>
      <c r="D384">
        <v>-2.2669738243710658</v>
      </c>
    </row>
    <row r="385" spans="1:4">
      <c r="A385">
        <v>0.14112620641544213</v>
      </c>
      <c r="B385">
        <v>0.47045802186267982</v>
      </c>
      <c r="C385">
        <v>1.446797125133104</v>
      </c>
      <c r="D385">
        <v>-2.259244392752747</v>
      </c>
    </row>
    <row r="386" spans="1:4">
      <c r="A386">
        <v>6.021844587958692E-2</v>
      </c>
      <c r="B386">
        <v>0.40835689414005533</v>
      </c>
      <c r="C386">
        <v>2.4815510088182866</v>
      </c>
      <c r="D386">
        <v>-2.2532749138950985</v>
      </c>
    </row>
    <row r="387" spans="1:4">
      <c r="A387">
        <v>3.4419017029676473E-2</v>
      </c>
      <c r="B387">
        <v>0.3874335039646693</v>
      </c>
      <c r="C387">
        <v>1.6617764357338194</v>
      </c>
      <c r="D387">
        <v>-2.253161709777864</v>
      </c>
    </row>
    <row r="388" spans="1:4">
      <c r="A388">
        <v>9.2740932543352222E-2</v>
      </c>
      <c r="B388">
        <v>0.43432272301128211</v>
      </c>
      <c r="C388">
        <v>1.5545702541930453</v>
      </c>
      <c r="D388">
        <v>-2.2479129562975491</v>
      </c>
    </row>
    <row r="389" spans="1:4">
      <c r="A389">
        <v>8.4661466911579983E-2</v>
      </c>
      <c r="B389">
        <v>0.42847284644717526</v>
      </c>
      <c r="C389">
        <v>1.2773241736584267</v>
      </c>
      <c r="D389">
        <v>-2.2437906730478443</v>
      </c>
    </row>
    <row r="390" spans="1:4">
      <c r="A390">
        <v>3.0317260551871818E-2</v>
      </c>
      <c r="B390">
        <v>0.38694892649848789</v>
      </c>
      <c r="C390">
        <v>2.142287430456403</v>
      </c>
      <c r="D390">
        <v>-2.2393879411638675</v>
      </c>
    </row>
    <row r="391" spans="1:4">
      <c r="A391">
        <v>0.15616362631288006</v>
      </c>
      <c r="B391">
        <v>0.48699834162520733</v>
      </c>
      <c r="C391">
        <v>1.5422889566939673</v>
      </c>
      <c r="D391">
        <v>-2.233014926971054</v>
      </c>
    </row>
    <row r="392" spans="1:4">
      <c r="A392">
        <v>2.6296659551145216E-2</v>
      </c>
      <c r="B392">
        <v>0.38424277389949807</v>
      </c>
      <c r="C392">
        <v>0.37111692180108824</v>
      </c>
      <c r="D392">
        <v>-2.2296356244402191</v>
      </c>
    </row>
    <row r="393" spans="1:4">
      <c r="A393">
        <v>7.6583772779325071E-2</v>
      </c>
      <c r="B393">
        <v>0.42456844754216561</v>
      </c>
      <c r="C393">
        <v>0.67028847233135025</v>
      </c>
      <c r="D393">
        <v>-2.2272679804059443</v>
      </c>
    </row>
    <row r="394" spans="1:4">
      <c r="A394">
        <v>8.2032004777881223E-3</v>
      </c>
      <c r="B394">
        <v>0.37126947601398236</v>
      </c>
      <c r="C394">
        <v>1.2965909090909091</v>
      </c>
      <c r="D394">
        <v>-2.2258647525067112</v>
      </c>
    </row>
    <row r="395" spans="1:4">
      <c r="A395">
        <v>5.1768104857045985E-2</v>
      </c>
      <c r="B395">
        <v>0.40628248863550542</v>
      </c>
      <c r="C395">
        <v>2.0887469837212813</v>
      </c>
      <c r="D395">
        <v>-2.2255012745692113</v>
      </c>
    </row>
    <row r="396" spans="1:4">
      <c r="A396">
        <v>6.9264723324114458E-2</v>
      </c>
      <c r="B396">
        <v>0.42100332922122513</v>
      </c>
      <c r="C396">
        <v>2.6964006430938503</v>
      </c>
      <c r="D396">
        <v>-2.2227578809699073</v>
      </c>
    </row>
    <row r="397" spans="1:4">
      <c r="A397">
        <v>4.2046322519633646E-2</v>
      </c>
      <c r="B397">
        <v>0.39972809284557814</v>
      </c>
      <c r="C397">
        <v>1.287890909090909</v>
      </c>
      <c r="D397">
        <v>-2.2159098857549191</v>
      </c>
    </row>
    <row r="398" spans="1:4">
      <c r="A398">
        <v>9.3025635777516241E-2</v>
      </c>
      <c r="B398">
        <v>0.44187176994320215</v>
      </c>
      <c r="C398">
        <v>1.2334513042338444</v>
      </c>
      <c r="D398">
        <v>-2.2048800775395057</v>
      </c>
    </row>
    <row r="399" spans="1:4">
      <c r="A399">
        <v>5.5942674669973332E-2</v>
      </c>
      <c r="B399">
        <v>0.41237147340583136</v>
      </c>
      <c r="C399">
        <v>0.57661679105810093</v>
      </c>
      <c r="D399">
        <v>-2.2035311047658737</v>
      </c>
    </row>
    <row r="400" spans="1:4">
      <c r="A400">
        <v>8.516612168901741E-2</v>
      </c>
      <c r="B400">
        <v>0.4361341188116174</v>
      </c>
      <c r="C400">
        <v>1.2770030157839078</v>
      </c>
      <c r="D400">
        <v>-2.2023910824374946</v>
      </c>
    </row>
    <row r="401" spans="1:4">
      <c r="A401">
        <v>0.1265025072090861</v>
      </c>
      <c r="B401">
        <v>0.47185851910530674</v>
      </c>
      <c r="C401">
        <v>1.7492333248147203</v>
      </c>
      <c r="D401">
        <v>-2.1866646568398975</v>
      </c>
    </row>
    <row r="402" spans="1:4">
      <c r="A402">
        <v>0.13433726642486574</v>
      </c>
      <c r="B402">
        <v>0.479289288829714</v>
      </c>
      <c r="C402">
        <v>1.5080467282084797</v>
      </c>
      <c r="D402">
        <v>-2.1786009394953596</v>
      </c>
    </row>
    <row r="403" spans="1:4">
      <c r="A403">
        <v>0.12408017070881537</v>
      </c>
      <c r="B403">
        <v>0.47213556481574664</v>
      </c>
      <c r="C403">
        <v>2.3084007436683533</v>
      </c>
      <c r="D403">
        <v>-2.1764216517145867</v>
      </c>
    </row>
    <row r="404" spans="1:4">
      <c r="A404">
        <v>5.025028976924751E-2</v>
      </c>
      <c r="B404">
        <v>0.41323372357279153</v>
      </c>
      <c r="C404">
        <v>1.1810088265968002</v>
      </c>
      <c r="D404">
        <v>-2.1754181149030889</v>
      </c>
    </row>
    <row r="405" spans="1:4">
      <c r="A405">
        <v>9.2662725601604282E-2</v>
      </c>
      <c r="B405">
        <v>0.44805940842245989</v>
      </c>
      <c r="C405">
        <v>2.717553766135409</v>
      </c>
      <c r="D405">
        <v>-2.1739138522637393</v>
      </c>
    </row>
    <row r="406" spans="1:4">
      <c r="A406">
        <v>2.1197460334292113E-2</v>
      </c>
      <c r="B406">
        <v>0.39073075036782734</v>
      </c>
      <c r="C406">
        <v>0.6263009772137561</v>
      </c>
      <c r="D406">
        <v>-2.1707284983165538</v>
      </c>
    </row>
    <row r="407" spans="1:4">
      <c r="A407">
        <v>1.7818271622360601E-2</v>
      </c>
      <c r="B407">
        <v>0.38829402529591278</v>
      </c>
      <c r="C407">
        <v>0.77271013314787029</v>
      </c>
      <c r="D407">
        <v>-2.1699971186465112</v>
      </c>
    </row>
    <row r="408" spans="1:4">
      <c r="A408">
        <v>9.9703732494635849E-2</v>
      </c>
      <c r="B408">
        <v>0.45440507872043112</v>
      </c>
      <c r="C408">
        <v>0.82072795828591805</v>
      </c>
      <c r="D408">
        <v>-2.1618407593525473</v>
      </c>
    </row>
    <row r="409" spans="1:4">
      <c r="A409">
        <v>9.2806122791810303E-2</v>
      </c>
      <c r="B409">
        <v>0.44942918002163673</v>
      </c>
      <c r="C409">
        <v>1.4192516687484587</v>
      </c>
      <c r="D409">
        <v>-2.1615582331148109</v>
      </c>
    </row>
    <row r="410" spans="1:4">
      <c r="A410">
        <v>6.2578648840442994E-2</v>
      </c>
      <c r="B410">
        <v>0.42722177152331897</v>
      </c>
      <c r="C410">
        <v>3.4481772321407367</v>
      </c>
      <c r="D410">
        <v>-2.160232531027638</v>
      </c>
    </row>
    <row r="411" spans="1:4">
      <c r="A411">
        <v>2.5845677565311871E-2</v>
      </c>
      <c r="B411">
        <v>0.39691310479294811</v>
      </c>
      <c r="C411">
        <v>1.2352666233132825</v>
      </c>
      <c r="D411">
        <v>-2.1588419182173522</v>
      </c>
    </row>
    <row r="412" spans="1:4">
      <c r="A412">
        <v>1.3772958517570563E-3</v>
      </c>
      <c r="B412">
        <v>0.37785537819683274</v>
      </c>
      <c r="C412">
        <v>1.334229148138123</v>
      </c>
      <c r="D412">
        <v>-2.1577590922035124</v>
      </c>
    </row>
    <row r="413" spans="1:4">
      <c r="A413">
        <v>7.6942598637491796E-2</v>
      </c>
      <c r="B413">
        <v>0.43861961061880966</v>
      </c>
      <c r="C413">
        <v>0.9886598908338039</v>
      </c>
      <c r="D413">
        <v>-2.150064552904833</v>
      </c>
    </row>
    <row r="414" spans="1:4">
      <c r="A414">
        <v>4.7836955409696076E-2</v>
      </c>
      <c r="B414">
        <v>0.41824263308757742</v>
      </c>
      <c r="C414">
        <v>3.7789838489859848</v>
      </c>
      <c r="D414">
        <v>-2.1463992261403848</v>
      </c>
    </row>
    <row r="415" spans="1:4">
      <c r="A415">
        <v>4.8539399730793339E-2</v>
      </c>
      <c r="B415">
        <v>0.41732170196150958</v>
      </c>
      <c r="C415">
        <v>0.60966819221967961</v>
      </c>
      <c r="D415">
        <v>-2.1421322703768437</v>
      </c>
    </row>
    <row r="416" spans="1:4">
      <c r="A416">
        <v>-9.0862946291860505E-3</v>
      </c>
      <c r="B416">
        <v>0.37237028118851756</v>
      </c>
      <c r="C416">
        <v>1.1234536050811434</v>
      </c>
      <c r="D416">
        <v>-2.1410948858144376</v>
      </c>
    </row>
    <row r="417" spans="1:4">
      <c r="A417">
        <v>3.9263291870327392E-2</v>
      </c>
      <c r="B417">
        <v>0.4138635464239494</v>
      </c>
      <c r="C417">
        <v>1.8645063184940485</v>
      </c>
      <c r="D417">
        <v>-2.1251206240739378</v>
      </c>
    </row>
    <row r="418" spans="1:4">
      <c r="A418">
        <v>3.7220085796393222E-2</v>
      </c>
      <c r="B418">
        <v>0.4131461916859871</v>
      </c>
      <c r="C418">
        <v>0.68829176346819798</v>
      </c>
      <c r="D418">
        <v>-2.1153102605275151</v>
      </c>
    </row>
    <row r="419" spans="1:4">
      <c r="A419">
        <v>0.10315141173191712</v>
      </c>
      <c r="B419">
        <v>0.46601259470393208</v>
      </c>
      <c r="C419">
        <v>1.542241099469273</v>
      </c>
      <c r="D419">
        <v>-2.1140785273790912</v>
      </c>
    </row>
    <row r="420" spans="1:4">
      <c r="A420">
        <v>5.9748390611925557E-2</v>
      </c>
      <c r="B420">
        <v>0.4316822581566353</v>
      </c>
      <c r="C420">
        <v>1.3943925293999884</v>
      </c>
      <c r="D420">
        <v>-2.1138564563784437</v>
      </c>
    </row>
    <row r="421" spans="1:4">
      <c r="A421">
        <v>4.5087445069709256E-2</v>
      </c>
      <c r="B421">
        <v>0.42131012149036445</v>
      </c>
      <c r="C421">
        <v>1.7369390796034156</v>
      </c>
      <c r="D421">
        <v>-2.1083735666370274</v>
      </c>
    </row>
    <row r="422" spans="1:4">
      <c r="A422">
        <v>5.2223920420692696E-2</v>
      </c>
      <c r="B422">
        <v>0.42833458539491753</v>
      </c>
      <c r="C422">
        <v>1.8156431446038523</v>
      </c>
      <c r="D422">
        <v>-2.1007630777205017</v>
      </c>
    </row>
    <row r="423" spans="1:4">
      <c r="A423">
        <v>4.9274857806999327E-2</v>
      </c>
      <c r="B423">
        <v>0.42636002762446451</v>
      </c>
      <c r="C423">
        <v>1.9319240196078433</v>
      </c>
      <c r="D423">
        <v>-2.0992123987504798</v>
      </c>
    </row>
    <row r="424" spans="1:4">
      <c r="A424">
        <v>2.3631012247788487E-2</v>
      </c>
      <c r="B424">
        <v>0.40676527554857655</v>
      </c>
      <c r="C424">
        <v>2.2366354960196722</v>
      </c>
      <c r="D424">
        <v>-2.0967240264722404</v>
      </c>
    </row>
    <row r="425" spans="1:4">
      <c r="A425">
        <v>7.773925256204875E-2</v>
      </c>
      <c r="B425">
        <v>0.45028418442362134</v>
      </c>
      <c r="C425">
        <v>2.411480994730328</v>
      </c>
      <c r="D425">
        <v>-2.0928527092934992</v>
      </c>
    </row>
    <row r="426" spans="1:4">
      <c r="A426">
        <v>7.1226725082146766E-2</v>
      </c>
      <c r="B426">
        <v>0.44499452354874036</v>
      </c>
      <c r="C426">
        <v>2.1262263633872296</v>
      </c>
      <c r="D426">
        <v>-2.0925563840953889</v>
      </c>
    </row>
    <row r="427" spans="1:4">
      <c r="A427">
        <v>7.5109831496117191E-2</v>
      </c>
      <c r="B427">
        <v>0.44919074547769539</v>
      </c>
      <c r="C427">
        <v>2.1188499103778762</v>
      </c>
      <c r="D427">
        <v>-2.0860823921511753</v>
      </c>
    </row>
    <row r="428" spans="1:4">
      <c r="A428">
        <v>0.1012869466836374</v>
      </c>
      <c r="B428">
        <v>0.47037194173384245</v>
      </c>
      <c r="C428">
        <v>1.7869371964770764</v>
      </c>
      <c r="D428">
        <v>-2.0818189409793741</v>
      </c>
    </row>
    <row r="429" spans="1:4">
      <c r="A429">
        <v>7.9410370242661968E-2</v>
      </c>
      <c r="B429">
        <v>0.45358389724580833</v>
      </c>
      <c r="C429">
        <v>1.6535207423580787</v>
      </c>
      <c r="D429">
        <v>-2.0785325347603032</v>
      </c>
    </row>
    <row r="430" spans="1:4">
      <c r="A430">
        <v>4.2604929711914305E-3</v>
      </c>
      <c r="B430">
        <v>0.39666797294988893</v>
      </c>
      <c r="C430">
        <v>1.627948051948052</v>
      </c>
      <c r="D430">
        <v>-2.0646765647637864</v>
      </c>
    </row>
    <row r="431" spans="1:4">
      <c r="A431">
        <v>0.10994910576823878</v>
      </c>
      <c r="B431">
        <v>0.4806777443107853</v>
      </c>
      <c r="C431">
        <v>1.1180668974185097</v>
      </c>
      <c r="D431">
        <v>-2.0593801009752721</v>
      </c>
    </row>
    <row r="432" spans="1:4">
      <c r="A432">
        <v>3.9213499309559009E-2</v>
      </c>
      <c r="B432">
        <v>0.4272343639989683</v>
      </c>
      <c r="C432">
        <v>4.1282337306216697</v>
      </c>
      <c r="D432">
        <v>-2.0577378070213825</v>
      </c>
    </row>
    <row r="433" spans="1:4">
      <c r="A433">
        <v>3.2625459722387E-2</v>
      </c>
      <c r="B433">
        <v>0.42137593757002945</v>
      </c>
      <c r="C433">
        <v>1.8403827266102715</v>
      </c>
      <c r="D433">
        <v>-2.0523332555080147</v>
      </c>
    </row>
    <row r="434" spans="1:4">
      <c r="A434">
        <v>0.10352102816146615</v>
      </c>
      <c r="B434">
        <v>0.47707445190631836</v>
      </c>
      <c r="C434">
        <v>1.0679883934099821</v>
      </c>
      <c r="D434">
        <v>-2.0507922044342224</v>
      </c>
    </row>
    <row r="435" spans="1:4">
      <c r="A435">
        <v>4.1987821135114803E-2</v>
      </c>
      <c r="B435">
        <v>0.42909178739473547</v>
      </c>
      <c r="C435">
        <v>1.8571867392121302</v>
      </c>
      <c r="D435">
        <v>-2.0505507539148722</v>
      </c>
    </row>
    <row r="436" spans="1:4">
      <c r="A436">
        <v>4.2246914304142603E-2</v>
      </c>
      <c r="B436">
        <v>0.4301210824122666</v>
      </c>
      <c r="C436">
        <v>1.1346730863163772</v>
      </c>
      <c r="D436">
        <v>-2.0429596369639875</v>
      </c>
    </row>
    <row r="437" spans="1:4">
      <c r="A437">
        <v>6.221171363231133E-2</v>
      </c>
      <c r="B437">
        <v>0.44871506647544479</v>
      </c>
      <c r="C437">
        <v>1.7079015936496396</v>
      </c>
      <c r="D437">
        <v>-2.0291084388099638</v>
      </c>
    </row>
    <row r="438" spans="1:4">
      <c r="A438">
        <v>2.1728363615780837E-2</v>
      </c>
      <c r="B438">
        <v>0.4172822210901681</v>
      </c>
      <c r="C438">
        <v>1.9747379641144074</v>
      </c>
      <c r="D438">
        <v>-2.0271679279135126</v>
      </c>
    </row>
    <row r="439" spans="1:4">
      <c r="A439">
        <v>2.9358840799318118E-3</v>
      </c>
      <c r="B439">
        <v>0.40416285212193914</v>
      </c>
      <c r="C439">
        <v>1.1487893462469734</v>
      </c>
      <c r="D439">
        <v>-2.0140783786496277</v>
      </c>
    </row>
    <row r="440" spans="1:4">
      <c r="A440">
        <v>8.1097444946113789E-2</v>
      </c>
      <c r="B440">
        <v>0.46621948898922272</v>
      </c>
      <c r="C440">
        <v>1.1693747308249482</v>
      </c>
      <c r="D440">
        <v>-2.0121649139422422</v>
      </c>
    </row>
    <row r="441" spans="1:4">
      <c r="A441">
        <v>6.586263177283716E-2</v>
      </c>
      <c r="B441">
        <v>0.45475260496083109</v>
      </c>
      <c r="C441">
        <v>1.8973966035662109</v>
      </c>
      <c r="D441">
        <v>-2.0118815811152944</v>
      </c>
    </row>
    <row r="442" spans="1:4">
      <c r="A442">
        <v>4.1391597899474865E-2</v>
      </c>
      <c r="B442">
        <v>0.43510877719429852</v>
      </c>
      <c r="C442">
        <v>0.81718410124579799</v>
      </c>
      <c r="D442">
        <v>-2.0094108969451177</v>
      </c>
    </row>
    <row r="443" spans="1:4">
      <c r="A443">
        <v>8.592803603876438E-2</v>
      </c>
      <c r="B443">
        <v>0.47080367958812841</v>
      </c>
      <c r="C443">
        <v>1.577269614733124</v>
      </c>
      <c r="D443">
        <v>-2.0094042669810399</v>
      </c>
    </row>
    <row r="444" spans="1:4">
      <c r="A444">
        <v>8.704910186205618E-2</v>
      </c>
      <c r="B444">
        <v>0.47227619176070834</v>
      </c>
      <c r="C444">
        <v>0.7913395697007759</v>
      </c>
      <c r="D444">
        <v>-2.0029120236220179</v>
      </c>
    </row>
    <row r="445" spans="1:4">
      <c r="A445">
        <v>0.11713754740349809</v>
      </c>
      <c r="B445">
        <v>0.49693928519238084</v>
      </c>
      <c r="C445">
        <v>1.1786656034618743</v>
      </c>
      <c r="D445">
        <v>-1.999279700133018</v>
      </c>
    </row>
    <row r="446" spans="1:4">
      <c r="A446">
        <v>1.7314665572010193E-3</v>
      </c>
      <c r="B446">
        <v>0.40769904396618023</v>
      </c>
      <c r="C446">
        <v>2.2470778518732994</v>
      </c>
      <c r="D446">
        <v>-1.9928953603076702</v>
      </c>
    </row>
    <row r="447" spans="1:4">
      <c r="A447">
        <v>5.9417172754633527E-2</v>
      </c>
      <c r="B447">
        <v>0.45360750954618495</v>
      </c>
      <c r="C447">
        <v>1.2701541042037949</v>
      </c>
      <c r="D447">
        <v>-1.9868950893994117</v>
      </c>
    </row>
    <row r="448" spans="1:4">
      <c r="A448">
        <v>0.13382125190842742</v>
      </c>
      <c r="B448">
        <v>0.51617702620216577</v>
      </c>
      <c r="C448">
        <v>3.0337911856408524</v>
      </c>
      <c r="D448">
        <v>-1.9721217489781417</v>
      </c>
    </row>
    <row r="449" spans="1:4">
      <c r="A449">
        <v>1.6809615062605816E-2</v>
      </c>
      <c r="B449">
        <v>0.42516139835159728</v>
      </c>
      <c r="C449">
        <v>1.7523270021104076</v>
      </c>
      <c r="D449">
        <v>-1.9592326051860629</v>
      </c>
    </row>
    <row r="450" spans="1:4">
      <c r="A450">
        <v>2.9739796648245977E-2</v>
      </c>
      <c r="B450">
        <v>0.43606182147644607</v>
      </c>
      <c r="C450">
        <v>1.4457298732296602</v>
      </c>
      <c r="D450">
        <v>-1.9540596219942823</v>
      </c>
    </row>
    <row r="451" spans="1:4">
      <c r="A451">
        <v>1.0327501268433199E-2</v>
      </c>
      <c r="B451">
        <v>0.42079248432871247</v>
      </c>
      <c r="C451">
        <v>1.1725925925925926</v>
      </c>
      <c r="D451">
        <v>-1.9526469654046585</v>
      </c>
    </row>
    <row r="452" spans="1:4">
      <c r="A452">
        <v>4.2946318821435778E-2</v>
      </c>
      <c r="B452">
        <v>0.44779110939879274</v>
      </c>
      <c r="C452">
        <v>2.328240951082841</v>
      </c>
      <c r="D452">
        <v>-1.9501620749276736</v>
      </c>
    </row>
    <row r="453" spans="1:4">
      <c r="A453">
        <v>7.0607293848038252E-2</v>
      </c>
      <c r="B453">
        <v>0.46927970287249593</v>
      </c>
      <c r="C453">
        <v>1.5786845730027548</v>
      </c>
      <c r="D453">
        <v>-1.9491532542349559</v>
      </c>
    </row>
    <row r="454" spans="1:4">
      <c r="A454">
        <v>2.0825546003097131E-2</v>
      </c>
      <c r="B454">
        <v>0.43044134137875795</v>
      </c>
      <c r="C454">
        <v>1.896867970237065</v>
      </c>
      <c r="D454">
        <v>-1.9477867830359645</v>
      </c>
    </row>
    <row r="455" spans="1:4">
      <c r="A455">
        <v>6.5414181798560594E-2</v>
      </c>
      <c r="B455">
        <v>0.46670219353578851</v>
      </c>
      <c r="C455">
        <v>0.79567554839452337</v>
      </c>
      <c r="D455">
        <v>-1.937344017133106</v>
      </c>
    </row>
    <row r="456" spans="1:4">
      <c r="A456">
        <v>9.8101892019422501E-2</v>
      </c>
      <c r="B456">
        <v>0.4937668386684323</v>
      </c>
      <c r="C456">
        <v>1.7552138100245356</v>
      </c>
      <c r="D456">
        <v>-1.9340083889174347</v>
      </c>
    </row>
    <row r="457" spans="1:4">
      <c r="A457">
        <v>8.5178892598074027E-2</v>
      </c>
      <c r="B457">
        <v>0.48413327846983945</v>
      </c>
      <c r="C457">
        <v>2.2978300271875942</v>
      </c>
      <c r="D457">
        <v>-1.932936649521998</v>
      </c>
    </row>
    <row r="458" spans="1:4">
      <c r="A458">
        <v>1.6782478867547513E-2</v>
      </c>
      <c r="B458">
        <v>0.43026571322728757</v>
      </c>
      <c r="C458">
        <v>1.9542038174493099</v>
      </c>
      <c r="D458">
        <v>-1.9308234047782216</v>
      </c>
    </row>
    <row r="459" spans="1:4">
      <c r="A459">
        <v>8.4400660040073863E-2</v>
      </c>
      <c r="B459">
        <v>0.48341059992928143</v>
      </c>
      <c r="C459">
        <v>1.2039244908097368</v>
      </c>
      <c r="D459">
        <v>-1.9291782485466671</v>
      </c>
    </row>
    <row r="460" spans="1:4">
      <c r="A460">
        <v>3.6756647922569136E-2</v>
      </c>
      <c r="B460">
        <v>0.44621115153955676</v>
      </c>
      <c r="C460">
        <v>1.5822915631521415</v>
      </c>
      <c r="D460">
        <v>-1.9283305181286963</v>
      </c>
    </row>
    <row r="461" spans="1:4">
      <c r="A461">
        <v>0.10924598279212205</v>
      </c>
      <c r="B461">
        <v>0.5036989449040481</v>
      </c>
      <c r="C461">
        <v>1.02518903975933</v>
      </c>
      <c r="D461">
        <v>-1.924623692770512</v>
      </c>
    </row>
    <row r="462" spans="1:4">
      <c r="A462">
        <v>0</v>
      </c>
      <c r="B462">
        <v>0.41832259171483416</v>
      </c>
      <c r="C462">
        <v>2.2204687176759168</v>
      </c>
      <c r="D462">
        <v>-1.9244431020961486</v>
      </c>
    </row>
    <row r="463" spans="1:4">
      <c r="A463">
        <v>0.1086800548575515</v>
      </c>
      <c r="B463">
        <v>0.50348034937579544</v>
      </c>
      <c r="C463">
        <v>1.2736764894143373</v>
      </c>
      <c r="D463">
        <v>-1.9243169613746045</v>
      </c>
    </row>
    <row r="464" spans="1:4">
      <c r="A464">
        <v>6.8395554288971219E-2</v>
      </c>
      <c r="B464">
        <v>0.47366201196922197</v>
      </c>
      <c r="C464">
        <v>1.7040873581078164</v>
      </c>
      <c r="D464">
        <v>-1.9147228755082366</v>
      </c>
    </row>
    <row r="465" spans="1:4">
      <c r="A465">
        <v>4.250386398763524E-2</v>
      </c>
      <c r="B465">
        <v>0.45336430377968245</v>
      </c>
      <c r="C465">
        <v>0.21175247755416568</v>
      </c>
      <c r="D465">
        <v>-1.9079378663103845</v>
      </c>
    </row>
    <row r="466" spans="1:4">
      <c r="A466">
        <v>5.4499028164183084E-3</v>
      </c>
      <c r="B466">
        <v>0.42554975418270513</v>
      </c>
      <c r="C466">
        <v>2.0034031882500449</v>
      </c>
      <c r="D466">
        <v>-1.9069045765854626</v>
      </c>
    </row>
    <row r="467" spans="1:4">
      <c r="A467">
        <v>4.9759059537888541E-2</v>
      </c>
      <c r="B467">
        <v>0.46158191093145995</v>
      </c>
      <c r="C467">
        <v>1.1725780338115142</v>
      </c>
      <c r="D467">
        <v>-1.8975891877464226</v>
      </c>
    </row>
    <row r="468" spans="1:4">
      <c r="A468">
        <v>3.8192738555235403E-2</v>
      </c>
      <c r="B468">
        <v>0.4531122058309322</v>
      </c>
      <c r="C468">
        <v>1.0528332621234777</v>
      </c>
      <c r="D468">
        <v>-1.8933390833107393</v>
      </c>
    </row>
    <row r="469" spans="1:4">
      <c r="A469">
        <v>2.2738466102952083E-2</v>
      </c>
      <c r="B469">
        <v>0.44202541660485584</v>
      </c>
      <c r="C469">
        <v>0.57772181854037397</v>
      </c>
      <c r="D469">
        <v>-1.8850891100897675</v>
      </c>
    </row>
    <row r="470" spans="1:4">
      <c r="A470">
        <v>9.8878933067844774E-2</v>
      </c>
      <c r="B470">
        <v>0.50353120527658524</v>
      </c>
      <c r="C470">
        <v>1.9845831747240197</v>
      </c>
      <c r="D470">
        <v>-1.8827656614276613</v>
      </c>
    </row>
    <row r="471" spans="1:4">
      <c r="A471">
        <v>6.1000852307317666E-2</v>
      </c>
      <c r="B471">
        <v>0.47394971625567311</v>
      </c>
      <c r="C471">
        <v>0.94290843092575904</v>
      </c>
      <c r="D471">
        <v>-1.8767620864492953</v>
      </c>
    </row>
    <row r="472" spans="1:4">
      <c r="A472">
        <v>9.2269928775501997E-2</v>
      </c>
      <c r="B472">
        <v>0.49985916059715907</v>
      </c>
      <c r="C472">
        <v>1.885036496350365</v>
      </c>
      <c r="D472">
        <v>-1.8735576100713536</v>
      </c>
    </row>
    <row r="473" spans="1:4">
      <c r="A473">
        <v>-2.6348655152456667E-2</v>
      </c>
      <c r="B473">
        <v>0.40604343720491026</v>
      </c>
      <c r="C473">
        <v>1.0038530560540484</v>
      </c>
      <c r="D473">
        <v>-1.8709988719701725</v>
      </c>
    </row>
    <row r="474" spans="1:4">
      <c r="A474">
        <v>3.4981686122565941E-2</v>
      </c>
      <c r="B474">
        <v>0.45573211905266175</v>
      </c>
      <c r="C474">
        <v>1.6560963447810086</v>
      </c>
      <c r="D474">
        <v>-1.8663688943304986</v>
      </c>
    </row>
    <row r="475" spans="1:4">
      <c r="A475">
        <v>3.8023233354488005E-2</v>
      </c>
      <c r="B475">
        <v>0.45825446317706459</v>
      </c>
      <c r="C475">
        <v>1.619661449111127</v>
      </c>
      <c r="D475">
        <v>-1.865532755782372</v>
      </c>
    </row>
    <row r="476" spans="1:4">
      <c r="A476">
        <v>3.8285723807354996E-2</v>
      </c>
      <c r="B476">
        <v>0.46067840103087626</v>
      </c>
      <c r="C476">
        <v>4.1976250072763257</v>
      </c>
      <c r="D476">
        <v>-1.8632093712862077</v>
      </c>
    </row>
    <row r="477" spans="1:4">
      <c r="A477">
        <v>2.9184905223779863E-2</v>
      </c>
      <c r="B477">
        <v>0.45242870090051868</v>
      </c>
      <c r="C477">
        <v>1.5137606592777031</v>
      </c>
      <c r="D477">
        <v>-1.8585435210111638</v>
      </c>
    </row>
    <row r="478" spans="1:4">
      <c r="A478">
        <v>3.2383138868658165E-2</v>
      </c>
      <c r="B478">
        <v>0.45508030846603187</v>
      </c>
      <c r="C478">
        <v>1.6313392275023304</v>
      </c>
      <c r="D478">
        <v>-1.8582917235625891</v>
      </c>
    </row>
    <row r="479" spans="1:4">
      <c r="A479">
        <v>3.7954186736888586E-2</v>
      </c>
      <c r="B479">
        <v>0.46153468706809841</v>
      </c>
      <c r="C479">
        <v>1.8463658095950655</v>
      </c>
      <c r="D479">
        <v>-1.8474315872662177</v>
      </c>
    </row>
    <row r="480" spans="1:4">
      <c r="A480">
        <v>1.9457142089527035E-2</v>
      </c>
      <c r="B480">
        <v>0.44628992082042784</v>
      </c>
      <c r="C480">
        <v>0.80543316040082447</v>
      </c>
      <c r="D480">
        <v>-1.8469263233680362</v>
      </c>
    </row>
    <row r="481" spans="1:4">
      <c r="A481">
        <v>2.9394070375695778E-2</v>
      </c>
      <c r="B481">
        <v>0.45545195522348569</v>
      </c>
      <c r="C481">
        <v>1.6950454188258699</v>
      </c>
      <c r="D481">
        <v>-1.8429773535920655</v>
      </c>
    </row>
    <row r="482" spans="1:4">
      <c r="A482">
        <v>0.11418613580648018</v>
      </c>
      <c r="B482">
        <v>0.52373585964497738</v>
      </c>
      <c r="C482">
        <v>1.5258303495130547</v>
      </c>
      <c r="D482">
        <v>-1.8346465325508419</v>
      </c>
    </row>
    <row r="483" spans="1:4">
      <c r="A483">
        <v>3.7686881158918786E-2</v>
      </c>
      <c r="B483">
        <v>0.46364615856487851</v>
      </c>
      <c r="C483">
        <v>1.7641424143275357</v>
      </c>
      <c r="D483">
        <v>-1.8338644310526373</v>
      </c>
    </row>
    <row r="484" spans="1:4">
      <c r="A484">
        <v>7.0367035815363743E-2</v>
      </c>
      <c r="B484">
        <v>0.48938377872072419</v>
      </c>
      <c r="C484">
        <v>0.32807711595252687</v>
      </c>
      <c r="D484">
        <v>-1.8284764309248183</v>
      </c>
    </row>
    <row r="485" spans="1:4">
      <c r="A485">
        <v>0.10446263338642703</v>
      </c>
      <c r="B485">
        <v>0.51759918241831082</v>
      </c>
      <c r="C485">
        <v>0.88104496958819423</v>
      </c>
      <c r="D485">
        <v>-1.823290690332902</v>
      </c>
    </row>
    <row r="486" spans="1:4">
      <c r="A486">
        <v>8.1332903791708433E-2</v>
      </c>
      <c r="B486">
        <v>0.49968235999000415</v>
      </c>
      <c r="C486">
        <v>1.3577292369931568</v>
      </c>
      <c r="D486">
        <v>-1.8232395320676367</v>
      </c>
    </row>
    <row r="487" spans="1:4">
      <c r="A487">
        <v>9.122366401562719E-2</v>
      </c>
      <c r="B487">
        <v>0.5088908961394697</v>
      </c>
      <c r="C487">
        <v>2.4784634734736799</v>
      </c>
      <c r="D487">
        <v>-1.8197422339692397</v>
      </c>
    </row>
    <row r="488" spans="1:4">
      <c r="A488">
        <v>8.0055014109221972E-2</v>
      </c>
      <c r="B488">
        <v>0.49972730075170146</v>
      </c>
      <c r="C488">
        <v>1.1818550020251115</v>
      </c>
      <c r="D488">
        <v>-1.8165293692149007</v>
      </c>
    </row>
    <row r="489" spans="1:4">
      <c r="A489">
        <v>2.333821429217058E-3</v>
      </c>
      <c r="B489">
        <v>0.43879819946851784</v>
      </c>
      <c r="C489">
        <v>1.6784402116926329</v>
      </c>
      <c r="D489">
        <v>-1.8160662203076958</v>
      </c>
    </row>
    <row r="490" spans="1:4">
      <c r="A490">
        <v>3.4491473349675256E-2</v>
      </c>
      <c r="B490">
        <v>0.46474869341720138</v>
      </c>
      <c r="C490">
        <v>1.9291393210402568</v>
      </c>
      <c r="D490">
        <v>-1.8138606348796518</v>
      </c>
    </row>
    <row r="491" spans="1:4">
      <c r="A491">
        <v>7.0633099352051837E-2</v>
      </c>
      <c r="B491">
        <v>0.49312519284171558</v>
      </c>
      <c r="C491">
        <v>1.686908023483366</v>
      </c>
      <c r="D491">
        <v>-1.8137829799803873</v>
      </c>
    </row>
    <row r="492" spans="1:4">
      <c r="A492">
        <v>1.1437897027340049E-2</v>
      </c>
      <c r="B492">
        <v>0.44682553609658515</v>
      </c>
      <c r="C492">
        <v>1.1728265887059548</v>
      </c>
      <c r="D492">
        <v>-1.8092562872273186</v>
      </c>
    </row>
    <row r="493" spans="1:4">
      <c r="A493">
        <v>2.7921714818266542E-2</v>
      </c>
      <c r="B493">
        <v>0.45994408201304754</v>
      </c>
      <c r="C493">
        <v>1.1585346085265036</v>
      </c>
      <c r="D493">
        <v>-1.8086005876419342</v>
      </c>
    </row>
    <row r="494" spans="1:4">
      <c r="A494">
        <v>0.11063407818081428</v>
      </c>
      <c r="B494">
        <v>0.52715143729646285</v>
      </c>
      <c r="C494">
        <v>1.6619270844904577</v>
      </c>
      <c r="D494">
        <v>-1.7997378675617879</v>
      </c>
    </row>
    <row r="495" spans="1:4">
      <c r="A495">
        <v>-4.5192174613900397E-2</v>
      </c>
      <c r="B495">
        <v>0.40673364215873847</v>
      </c>
      <c r="C495">
        <v>3.0722124165451614</v>
      </c>
      <c r="D495">
        <v>-1.7905423035988195</v>
      </c>
    </row>
    <row r="496" spans="1:4">
      <c r="A496">
        <v>-3.3124197736929727E-2</v>
      </c>
      <c r="B496">
        <v>0.41698192339790974</v>
      </c>
      <c r="C496">
        <v>4.0307410955325267</v>
      </c>
      <c r="D496">
        <v>-1.790267111197861</v>
      </c>
    </row>
    <row r="497" spans="1:4">
      <c r="A497">
        <v>5.0803809701775796E-2</v>
      </c>
      <c r="B497">
        <v>0.48354131751213159</v>
      </c>
      <c r="C497">
        <v>4.2143578754018058</v>
      </c>
      <c r="D497">
        <v>-1.7892890653404478</v>
      </c>
    </row>
    <row r="498" spans="1:4">
      <c r="A498">
        <v>0.10002789036913824</v>
      </c>
      <c r="B498">
        <v>0.52090441619779115</v>
      </c>
      <c r="C498">
        <v>1.3623258969861578</v>
      </c>
      <c r="D498">
        <v>-1.7864196379216564</v>
      </c>
    </row>
    <row r="499" spans="1:4">
      <c r="A499">
        <v>4.3886862474175614E-2</v>
      </c>
      <c r="B499">
        <v>0.47715242961314375</v>
      </c>
      <c r="C499">
        <v>1.9100991494086534</v>
      </c>
      <c r="D499">
        <v>-1.7853624289365051</v>
      </c>
    </row>
    <row r="500" spans="1:4">
      <c r="A500">
        <v>5.3287742709015623E-2</v>
      </c>
      <c r="B500">
        <v>0.48415984842597626</v>
      </c>
      <c r="C500">
        <v>1.0688079722788024</v>
      </c>
      <c r="D500">
        <v>-1.7843589380516209</v>
      </c>
    </row>
    <row r="501" spans="1:4">
      <c r="A501">
        <v>-3.7622567186937461E-2</v>
      </c>
      <c r="B501">
        <v>0.41199517143522735</v>
      </c>
      <c r="C501">
        <v>0.33863516915161407</v>
      </c>
      <c r="D501">
        <v>-1.7836805111545913</v>
      </c>
    </row>
    <row r="502" spans="1:4">
      <c r="A502">
        <v>7.4489420046658206E-2</v>
      </c>
      <c r="B502">
        <v>0.50291424318355105</v>
      </c>
      <c r="C502">
        <v>1.8093580553257973</v>
      </c>
      <c r="D502">
        <v>-1.775828636285024</v>
      </c>
    </row>
    <row r="503" spans="1:4">
      <c r="A503">
        <v>0.12071640673069206</v>
      </c>
      <c r="B503">
        <v>0.53925122388379121</v>
      </c>
      <c r="C503">
        <v>1.4863707506417079</v>
      </c>
      <c r="D503">
        <v>-1.7754373371530709</v>
      </c>
    </row>
    <row r="504" spans="1:4">
      <c r="A504">
        <v>3.1166861303660507E-2</v>
      </c>
      <c r="B504">
        <v>0.47159291046458668</v>
      </c>
      <c r="C504">
        <v>3.9446700414060869</v>
      </c>
      <c r="D504">
        <v>-1.7679499663839526</v>
      </c>
    </row>
    <row r="505" spans="1:4">
      <c r="A505">
        <v>5.8049636925067184E-2</v>
      </c>
      <c r="B505">
        <v>0.49165659194689787</v>
      </c>
      <c r="C505">
        <v>1.139282176775622</v>
      </c>
      <c r="D505">
        <v>-1.763337920772587</v>
      </c>
    </row>
    <row r="506" spans="1:4">
      <c r="A506">
        <v>4.0647473245410883E-2</v>
      </c>
      <c r="B506">
        <v>0.4790619438824017</v>
      </c>
      <c r="C506">
        <v>1.6728950074841915</v>
      </c>
      <c r="D506">
        <v>-1.758952129504596</v>
      </c>
    </row>
    <row r="507" spans="1:4">
      <c r="A507">
        <v>0.125488119422728</v>
      </c>
      <c r="B507">
        <v>0.54845793960248268</v>
      </c>
      <c r="C507">
        <v>2.3088363168107113</v>
      </c>
      <c r="D507">
        <v>-1.7477216269353673</v>
      </c>
    </row>
    <row r="508" spans="1:4">
      <c r="A508">
        <v>7.4906897095512862E-2</v>
      </c>
      <c r="B508">
        <v>0.50787482764337444</v>
      </c>
      <c r="C508">
        <v>0.99114823588081291</v>
      </c>
      <c r="D508">
        <v>-1.7461591123060967</v>
      </c>
    </row>
    <row r="509" spans="1:4">
      <c r="A509">
        <v>6.1792809428794511E-2</v>
      </c>
      <c r="B509">
        <v>0.49834815508575253</v>
      </c>
      <c r="C509">
        <v>1.9535112227548082</v>
      </c>
      <c r="D509">
        <v>-1.7452972033318048</v>
      </c>
    </row>
    <row r="510" spans="1:4">
      <c r="A510">
        <v>0.10150730327797161</v>
      </c>
      <c r="B510">
        <v>0.5301897977628548</v>
      </c>
      <c r="C510">
        <v>1.5318620586642768</v>
      </c>
      <c r="D510">
        <v>-1.7408284657372568</v>
      </c>
    </row>
    <row r="511" spans="1:4">
      <c r="A511">
        <v>8.1321921847782849E-2</v>
      </c>
      <c r="B511">
        <v>0.51552620389800985</v>
      </c>
      <c r="C511">
        <v>1.5409255982866188</v>
      </c>
      <c r="D511">
        <v>-1.7336129884895126</v>
      </c>
    </row>
    <row r="512" spans="1:4">
      <c r="A512">
        <v>5.246681138232992E-2</v>
      </c>
      <c r="B512">
        <v>0.49286020171591421</v>
      </c>
      <c r="C512">
        <v>0.6592645703165011</v>
      </c>
      <c r="D512">
        <v>-1.7294345597210397</v>
      </c>
    </row>
    <row r="513" spans="1:4">
      <c r="A513">
        <v>5.807073527456455E-2</v>
      </c>
      <c r="B513">
        <v>0.49895847183441916</v>
      </c>
      <c r="C513">
        <v>1.8003332679866693</v>
      </c>
      <c r="D513">
        <v>-1.7244563523512975</v>
      </c>
    </row>
    <row r="514" spans="1:4">
      <c r="A514">
        <v>9.5644419709206355E-2</v>
      </c>
      <c r="B514">
        <v>0.52912047255548034</v>
      </c>
      <c r="C514">
        <v>2.2147162894641403</v>
      </c>
      <c r="D514">
        <v>-1.7232720602830467</v>
      </c>
    </row>
    <row r="515" spans="1:4">
      <c r="A515">
        <v>3.7767661206304169E-2</v>
      </c>
      <c r="B515">
        <v>0.48236511648527036</v>
      </c>
      <c r="C515">
        <v>0.68934705672262087</v>
      </c>
      <c r="D515">
        <v>-1.7232306996892177</v>
      </c>
    </row>
    <row r="516" spans="1:4">
      <c r="A516">
        <v>7.4192555084165862E-2</v>
      </c>
      <c r="B516">
        <v>0.51236485561790057</v>
      </c>
      <c r="C516">
        <v>1.2201508232183633</v>
      </c>
      <c r="D516">
        <v>-1.7182674241495866</v>
      </c>
    </row>
    <row r="517" spans="1:4">
      <c r="A517">
        <v>8.9781936830639786E-2</v>
      </c>
      <c r="B517">
        <v>0.52669178337996858</v>
      </c>
      <c r="C517">
        <v>1.7311959095154967</v>
      </c>
      <c r="D517">
        <v>-1.7088003341101203</v>
      </c>
    </row>
    <row r="518" spans="1:4">
      <c r="A518">
        <v>3.8884658210028428E-2</v>
      </c>
      <c r="B518">
        <v>0.48765181142161934</v>
      </c>
      <c r="C518">
        <v>1.7483130175131862</v>
      </c>
      <c r="D518">
        <v>-1.7023588889119499</v>
      </c>
    </row>
    <row r="519" spans="1:4">
      <c r="A519">
        <v>1.6285318785115219E-4</v>
      </c>
      <c r="B519">
        <v>0.45722841969075989</v>
      </c>
      <c r="C519">
        <v>1.5593980727060575</v>
      </c>
      <c r="D519">
        <v>-1.7007684393988229</v>
      </c>
    </row>
    <row r="520" spans="1:4">
      <c r="A520">
        <v>4.6920909761435502E-2</v>
      </c>
      <c r="B520">
        <v>0.49433515108279025</v>
      </c>
      <c r="C520">
        <v>1.4686947092060954</v>
      </c>
      <c r="D520">
        <v>-1.6993085115913793</v>
      </c>
    </row>
    <row r="521" spans="1:4">
      <c r="A521">
        <v>0.10409056491782807</v>
      </c>
      <c r="B521">
        <v>0.53980338492936908</v>
      </c>
      <c r="C521">
        <v>1.6733083582085715</v>
      </c>
      <c r="D521">
        <v>-1.6982214814656564</v>
      </c>
    </row>
    <row r="522" spans="1:4">
      <c r="A522">
        <v>6.494682732929595E-2</v>
      </c>
      <c r="B522">
        <v>0.50932883810950869</v>
      </c>
      <c r="C522">
        <v>2.1521220190969723</v>
      </c>
      <c r="D522">
        <v>-1.6976948338340194</v>
      </c>
    </row>
    <row r="523" spans="1:4">
      <c r="A523">
        <v>6.2328525637501644E-2</v>
      </c>
      <c r="B523">
        <v>0.50740432069581487</v>
      </c>
      <c r="C523">
        <v>2.1557261091112241</v>
      </c>
      <c r="D523">
        <v>-1.696896641839057</v>
      </c>
    </row>
    <row r="524" spans="1:4">
      <c r="A524">
        <v>8.2904370887108059E-2</v>
      </c>
      <c r="B524">
        <v>0.52362931055782957</v>
      </c>
      <c r="C524">
        <v>1.332340474281132</v>
      </c>
      <c r="D524">
        <v>-1.6937119607094819</v>
      </c>
    </row>
    <row r="525" spans="1:4">
      <c r="A525">
        <v>6.4676981293295494E-2</v>
      </c>
      <c r="B525">
        <v>0.51002471848393294</v>
      </c>
      <c r="C525">
        <v>2.4344577004476244</v>
      </c>
      <c r="D525">
        <v>-1.6936433512632025</v>
      </c>
    </row>
    <row r="526" spans="1:4">
      <c r="A526">
        <v>4.3155552475765906E-2</v>
      </c>
      <c r="B526">
        <v>0.49370567990206271</v>
      </c>
      <c r="C526">
        <v>1.6474966581601651</v>
      </c>
      <c r="D526">
        <v>-1.6866675973318299</v>
      </c>
    </row>
    <row r="527" spans="1:4">
      <c r="A527">
        <v>6.0497506359546739E-2</v>
      </c>
      <c r="B527">
        <v>0.50742856145525628</v>
      </c>
      <c r="C527">
        <v>1.2107074460483063</v>
      </c>
      <c r="D527">
        <v>-1.6847388081071923</v>
      </c>
    </row>
    <row r="528" spans="1:4">
      <c r="A528">
        <v>9.4877799977062971E-2</v>
      </c>
      <c r="B528">
        <v>0.53583608477041855</v>
      </c>
      <c r="C528">
        <v>2.3453559226999494</v>
      </c>
      <c r="D528">
        <v>-1.682065840396197</v>
      </c>
    </row>
    <row r="529" spans="1:4">
      <c r="A529">
        <v>8.4821192052980138E-2</v>
      </c>
      <c r="B529">
        <v>0.52805298013245039</v>
      </c>
      <c r="C529">
        <v>1</v>
      </c>
      <c r="D529">
        <v>-1.6757933774834433</v>
      </c>
    </row>
    <row r="530" spans="1:4">
      <c r="A530">
        <v>0.10574607380850319</v>
      </c>
      <c r="B530">
        <v>0.54660379564319406</v>
      </c>
      <c r="C530">
        <v>2.3721800778723829</v>
      </c>
      <c r="D530">
        <v>-1.6697044172835469</v>
      </c>
    </row>
    <row r="531" spans="1:4">
      <c r="A531">
        <v>5.1490989197312813E-2</v>
      </c>
      <c r="B531">
        <v>0.50598579337452321</v>
      </c>
      <c r="C531">
        <v>1.9160703749608963</v>
      </c>
      <c r="D531">
        <v>-1.6552547106529687</v>
      </c>
    </row>
    <row r="532" spans="1:4">
      <c r="A532">
        <v>7.4277220844474245E-2</v>
      </c>
      <c r="B532">
        <v>0.52427843254465112</v>
      </c>
      <c r="C532">
        <v>0.6381023592609355</v>
      </c>
      <c r="D532">
        <v>-1.6484128377326657</v>
      </c>
    </row>
    <row r="533" spans="1:4">
      <c r="A533">
        <v>4.4201418744625968E-3</v>
      </c>
      <c r="B533">
        <v>0.46960312768701634</v>
      </c>
      <c r="C533">
        <v>0.62591755087841361</v>
      </c>
      <c r="D533">
        <v>-1.6456564808226022</v>
      </c>
    </row>
    <row r="534" spans="1:4">
      <c r="A534">
        <v>2.8712486615053681E-3</v>
      </c>
      <c r="B534">
        <v>0.4698897933269528</v>
      </c>
      <c r="C534">
        <v>0.6106093278294622</v>
      </c>
      <c r="D534">
        <v>-1.6369912343244606</v>
      </c>
    </row>
    <row r="535" spans="1:4">
      <c r="A535">
        <v>3.3995833305599743E-2</v>
      </c>
      <c r="B535">
        <v>0.49549384647128908</v>
      </c>
      <c r="C535">
        <v>1.6785215468691335</v>
      </c>
      <c r="D535">
        <v>-1.6353804111763279</v>
      </c>
    </row>
    <row r="536" spans="1:4">
      <c r="A536">
        <v>0.10269951440722681</v>
      </c>
      <c r="B536">
        <v>0.5496986079460926</v>
      </c>
      <c r="C536">
        <v>1.0918137527845</v>
      </c>
      <c r="D536">
        <v>-1.6332330045509302</v>
      </c>
    </row>
    <row r="537" spans="1:4">
      <c r="A537">
        <v>2.9895968303928683E-2</v>
      </c>
      <c r="B537">
        <v>0.49356507728858146</v>
      </c>
      <c r="C537">
        <v>1.749666849022991</v>
      </c>
      <c r="D537">
        <v>-1.6282095842188564</v>
      </c>
    </row>
    <row r="538" spans="1:4">
      <c r="A538">
        <v>-0.27766811422555604</v>
      </c>
      <c r="B538">
        <v>0.25042768785366498</v>
      </c>
      <c r="C538">
        <v>0.81017505470459517</v>
      </c>
      <c r="D538">
        <v>-1.6262963654379254</v>
      </c>
    </row>
    <row r="539" spans="1:4">
      <c r="A539">
        <v>0.10599789334054083</v>
      </c>
      <c r="B539">
        <v>0.5541880160021776</v>
      </c>
      <c r="C539">
        <v>1.1297231218289887</v>
      </c>
      <c r="D539">
        <v>-1.6226377213073373</v>
      </c>
    </row>
    <row r="540" spans="1:4">
      <c r="A540">
        <v>7.4460066874292505E-2</v>
      </c>
      <c r="B540">
        <v>0.53047254839867497</v>
      </c>
      <c r="C540">
        <v>1.1279541361241021</v>
      </c>
      <c r="D540">
        <v>-1.6158885916063652</v>
      </c>
    </row>
    <row r="541" spans="1:4">
      <c r="A541">
        <v>0.13862572343618937</v>
      </c>
      <c r="B541">
        <v>0.58352171721756596</v>
      </c>
      <c r="C541">
        <v>1.0936648345255766</v>
      </c>
      <c r="D541">
        <v>-1.6021166266608278</v>
      </c>
    </row>
    <row r="542" spans="1:4">
      <c r="A542">
        <v>4.5359225006496098E-2</v>
      </c>
      <c r="B542">
        <v>0.51087745494514614</v>
      </c>
      <c r="C542">
        <v>2.1810457416385018</v>
      </c>
      <c r="D542">
        <v>-1.600839202308453</v>
      </c>
    </row>
    <row r="543" spans="1:4">
      <c r="A543">
        <v>6.067010403192013E-3</v>
      </c>
      <c r="B543">
        <v>0.47994971486873028</v>
      </c>
      <c r="C543">
        <v>1.0576418217098507</v>
      </c>
      <c r="D543">
        <v>-1.5958187393494407</v>
      </c>
    </row>
    <row r="544" spans="1:4">
      <c r="A544">
        <v>7.4007857678894631E-2</v>
      </c>
      <c r="B544">
        <v>0.53539818125634575</v>
      </c>
      <c r="C544">
        <v>1.3704090302221144</v>
      </c>
      <c r="D544">
        <v>-1.586747362514743</v>
      </c>
    </row>
    <row r="545" spans="1:4">
      <c r="A545">
        <v>3.2022777213335539E-2</v>
      </c>
      <c r="B545">
        <v>0.50209342437917914</v>
      </c>
      <c r="C545">
        <v>0.76777030766151344</v>
      </c>
      <c r="D545">
        <v>-1.5852410597293347</v>
      </c>
    </row>
    <row r="546" spans="1:4">
      <c r="A546">
        <v>0.17672721171190067</v>
      </c>
      <c r="B546">
        <v>0.6168505390326775</v>
      </c>
      <c r="C546">
        <v>1.464362704095858</v>
      </c>
      <c r="D546">
        <v>-1.5850818310336738</v>
      </c>
    </row>
    <row r="547" spans="1:4">
      <c r="A547">
        <v>0.17877782034494655</v>
      </c>
      <c r="B547">
        <v>0.62016854692839762</v>
      </c>
      <c r="C547">
        <v>2.1901762246617125</v>
      </c>
      <c r="D547">
        <v>-1.5783001789590394</v>
      </c>
    </row>
    <row r="548" spans="1:4">
      <c r="A548">
        <v>3.9983565717565117E-2</v>
      </c>
      <c r="B548">
        <v>0.51029099114374776</v>
      </c>
      <c r="C548">
        <v>1.6348413779189994</v>
      </c>
      <c r="D548">
        <v>-1.5778067617213563</v>
      </c>
    </row>
    <row r="549" spans="1:4">
      <c r="A549">
        <v>5.3981169514322622E-2</v>
      </c>
      <c r="B549">
        <v>0.52322515348044374</v>
      </c>
      <c r="C549">
        <v>3.3438284115035706</v>
      </c>
      <c r="D549">
        <v>-1.5739072016219364</v>
      </c>
    </row>
    <row r="550" spans="1:4">
      <c r="A550">
        <v>7.4419780488667542E-2</v>
      </c>
      <c r="B550">
        <v>0.53816921588102851</v>
      </c>
      <c r="C550">
        <v>1.1871348798509342</v>
      </c>
      <c r="D550">
        <v>-1.5720730211965452</v>
      </c>
    </row>
    <row r="551" spans="1:4">
      <c r="A551">
        <v>0.11693771040772342</v>
      </c>
      <c r="B551">
        <v>0.57277212732227789</v>
      </c>
      <c r="C551">
        <v>1.0712775951150777</v>
      </c>
      <c r="D551">
        <v>-1.5657036814782312</v>
      </c>
    </row>
    <row r="552" spans="1:4">
      <c r="A552">
        <v>0.11004082585882968</v>
      </c>
      <c r="B552">
        <v>0.56776866449122243</v>
      </c>
      <c r="C552">
        <v>1.2341931082158177</v>
      </c>
      <c r="D552">
        <v>-1.5638391011976287</v>
      </c>
    </row>
    <row r="553" spans="1:4">
      <c r="A553">
        <v>5.6454187468986755E-2</v>
      </c>
      <c r="B553">
        <v>0.52638771206686752</v>
      </c>
      <c r="C553">
        <v>1.9050745584126392</v>
      </c>
      <c r="D553">
        <v>-1.5612541830629458</v>
      </c>
    </row>
    <row r="554" spans="1:4">
      <c r="A554">
        <v>5.9273422562141492E-2</v>
      </c>
      <c r="B554">
        <v>0.53007514218557805</v>
      </c>
      <c r="C554">
        <v>1.8657475131655938</v>
      </c>
      <c r="D554">
        <v>-1.5527650811245044</v>
      </c>
    </row>
    <row r="555" spans="1:4">
      <c r="A555">
        <v>4.62689947569285E-2</v>
      </c>
      <c r="B555">
        <v>0.52094349886650593</v>
      </c>
      <c r="C555">
        <v>1.804086499267473</v>
      </c>
      <c r="D555">
        <v>-1.5460488788641638</v>
      </c>
    </row>
    <row r="556" spans="1:4">
      <c r="A556">
        <v>4.1821815112699827E-2</v>
      </c>
      <c r="B556">
        <v>0.51718424188263334</v>
      </c>
      <c r="C556">
        <v>1.1901761016507126</v>
      </c>
      <c r="D556">
        <v>-1.5450086936827421</v>
      </c>
    </row>
    <row r="557" spans="1:4">
      <c r="A557">
        <v>4.8692245963848045E-2</v>
      </c>
      <c r="B557">
        <v>0.52255756701984413</v>
      </c>
      <c r="C557">
        <v>0.67956055280543237</v>
      </c>
      <c r="D557">
        <v>-1.5432552170354261</v>
      </c>
    </row>
    <row r="558" spans="1:4">
      <c r="A558">
        <v>0.11912936804574117</v>
      </c>
      <c r="B558">
        <v>0.57795527752469644</v>
      </c>
      <c r="C558">
        <v>1.3861462412165233E-3</v>
      </c>
      <c r="D558">
        <v>-1.5417426189000301</v>
      </c>
    </row>
    <row r="559" spans="1:4">
      <c r="A559">
        <v>0.10171458247117343</v>
      </c>
      <c r="B559">
        <v>0.56563369767196547</v>
      </c>
      <c r="C559">
        <v>1.3254589769105409</v>
      </c>
      <c r="D559">
        <v>-1.5389053802977186</v>
      </c>
    </row>
    <row r="560" spans="1:4">
      <c r="A560">
        <v>1.5659550796189418E-2</v>
      </c>
      <c r="B560">
        <v>0.49922814825116479</v>
      </c>
      <c r="C560">
        <v>1.5601110701838892</v>
      </c>
      <c r="D560">
        <v>-1.531107977831949</v>
      </c>
    </row>
    <row r="561" spans="1:4">
      <c r="A561">
        <v>1.4169649347184014E-3</v>
      </c>
      <c r="B561">
        <v>0.48774877395728866</v>
      </c>
      <c r="C561">
        <v>0.63745096623589159</v>
      </c>
      <c r="D561">
        <v>-1.5287581345146308</v>
      </c>
    </row>
    <row r="562" spans="1:4">
      <c r="A562">
        <v>0.10857942458728657</v>
      </c>
      <c r="B562">
        <v>0.57287293845494325</v>
      </c>
      <c r="C562">
        <v>0.58714618714618705</v>
      </c>
      <c r="D562">
        <v>-1.525580246198198</v>
      </c>
    </row>
    <row r="563" spans="1:4">
      <c r="A563">
        <v>3.2520535146263761E-2</v>
      </c>
      <c r="B563">
        <v>0.51371083415301755</v>
      </c>
      <c r="C563">
        <v>1.2333322451822111</v>
      </c>
      <c r="D563">
        <v>-1.5231239824667155</v>
      </c>
    </row>
    <row r="564" spans="1:4">
      <c r="A564">
        <v>8.3322088441218814E-2</v>
      </c>
      <c r="B564">
        <v>0.55569979383415513</v>
      </c>
      <c r="C564">
        <v>1.8486559420452815</v>
      </c>
      <c r="D564">
        <v>-1.5148551968989814</v>
      </c>
    </row>
    <row r="565" spans="1:4">
      <c r="A565">
        <v>4.8730187306703206E-2</v>
      </c>
      <c r="B565">
        <v>0.52878978822062295</v>
      </c>
      <c r="C565">
        <v>1.8795306536418714</v>
      </c>
      <c r="D565">
        <v>-1.5127021726371805</v>
      </c>
    </row>
    <row r="566" spans="1:4">
      <c r="A566">
        <v>9.2029826769297815E-3</v>
      </c>
      <c r="B566">
        <v>0.49712366142129172</v>
      </c>
      <c r="C566">
        <v>0.45472380869337747</v>
      </c>
      <c r="D566">
        <v>-1.5096274471795947</v>
      </c>
    </row>
    <row r="567" spans="1:4">
      <c r="A567">
        <v>5.5340920956458185E-2</v>
      </c>
      <c r="B567">
        <v>0.53411619183781656</v>
      </c>
      <c r="C567">
        <v>0.66200521922747457</v>
      </c>
      <c r="D567">
        <v>-1.5072198717054175</v>
      </c>
    </row>
    <row r="568" spans="1:4">
      <c r="A568">
        <v>0.17851031449563465</v>
      </c>
      <c r="B568">
        <v>0.63259934028005327</v>
      </c>
      <c r="C568">
        <v>1.5022147023219983</v>
      </c>
      <c r="D568">
        <v>-1.5034890344433396</v>
      </c>
    </row>
    <row r="569" spans="1:4">
      <c r="A569">
        <v>1.2400017627746071E-2</v>
      </c>
      <c r="B569">
        <v>0.50175175726593657</v>
      </c>
      <c r="C569">
        <v>0.8051879736327322</v>
      </c>
      <c r="D569">
        <v>-1.4990358148035496</v>
      </c>
    </row>
    <row r="570" spans="1:4">
      <c r="A570">
        <v>8.455318812715637E-2</v>
      </c>
      <c r="B570">
        <v>0.55938792172561824</v>
      </c>
      <c r="C570">
        <v>1.457451126612987</v>
      </c>
      <c r="D570">
        <v>-1.4978079972426315</v>
      </c>
    </row>
    <row r="571" spans="1:4">
      <c r="A571">
        <v>0.20952502205287232</v>
      </c>
      <c r="B571">
        <v>0.65992197375480832</v>
      </c>
      <c r="C571">
        <v>1.0441468757707206</v>
      </c>
      <c r="D571">
        <v>-1.4854839363386008</v>
      </c>
    </row>
    <row r="572" spans="1:4">
      <c r="A572">
        <v>3.9834848699114626E-2</v>
      </c>
      <c r="B572">
        <v>0.52624924093068137</v>
      </c>
      <c r="C572">
        <v>1.3379044280820749</v>
      </c>
      <c r="D572">
        <v>-1.4849877635534596</v>
      </c>
    </row>
    <row r="573" spans="1:4">
      <c r="A573">
        <v>2.8749045234660105E-2</v>
      </c>
      <c r="B573">
        <v>0.51754646524654169</v>
      </c>
      <c r="C573">
        <v>1.1837412372401919</v>
      </c>
      <c r="D573">
        <v>-1.4840908165996436</v>
      </c>
    </row>
    <row r="574" spans="1:4">
      <c r="A574">
        <v>1.9467213114754099E-2</v>
      </c>
      <c r="B574">
        <v>0.51005379098360659</v>
      </c>
      <c r="C574">
        <v>0.89529634483762921</v>
      </c>
      <c r="D574">
        <v>-1.4838770357891859</v>
      </c>
    </row>
    <row r="575" spans="1:4">
      <c r="A575">
        <v>6.1406232251713308E-2</v>
      </c>
      <c r="B575">
        <v>0.54372041952216876</v>
      </c>
      <c r="C575">
        <v>0.55968798904538342</v>
      </c>
      <c r="D575">
        <v>-1.4793604058125287</v>
      </c>
    </row>
    <row r="576" spans="1:4">
      <c r="A576">
        <v>5.6852963248438602E-2</v>
      </c>
      <c r="B576">
        <v>0.54178809738319778</v>
      </c>
      <c r="C576">
        <v>1.0146638663412235</v>
      </c>
      <c r="D576">
        <v>-1.4717048349991113</v>
      </c>
    </row>
    <row r="577" spans="1:4">
      <c r="A577">
        <v>3.3270154177961378E-2</v>
      </c>
      <c r="B577">
        <v>0.52483138069742563</v>
      </c>
      <c r="C577">
        <v>2.9917583101114649</v>
      </c>
      <c r="D577">
        <v>-1.4701438570659455</v>
      </c>
    </row>
    <row r="578" spans="1:4">
      <c r="A578">
        <v>6.5303193397918914E-3</v>
      </c>
      <c r="B578">
        <v>0.50288721444803253</v>
      </c>
      <c r="C578">
        <v>1.7017341810705855</v>
      </c>
      <c r="D578">
        <v>-1.46973625139956</v>
      </c>
    </row>
    <row r="579" spans="1:4">
      <c r="A579">
        <v>5.8760958989487681E-2</v>
      </c>
      <c r="B579">
        <v>0.54463551157779766</v>
      </c>
      <c r="C579">
        <v>2.4011964637089092</v>
      </c>
      <c r="D579">
        <v>-1.4696066853140828</v>
      </c>
    </row>
    <row r="580" spans="1:4">
      <c r="A580">
        <v>3.8294325468615324E-2</v>
      </c>
      <c r="B580">
        <v>0.53036172651240332</v>
      </c>
      <c r="C580">
        <v>1.6941842921802497</v>
      </c>
      <c r="D580">
        <v>-1.4560393606567907</v>
      </c>
    </row>
    <row r="581" spans="1:4">
      <c r="A581">
        <v>6.5846510265762354E-2</v>
      </c>
      <c r="B581">
        <v>0.55258382694598196</v>
      </c>
      <c r="C581">
        <v>1.5631595738428861</v>
      </c>
      <c r="D581">
        <v>-1.4528341208992051</v>
      </c>
    </row>
    <row r="582" spans="1:4">
      <c r="A582">
        <v>0.10548765055308253</v>
      </c>
      <c r="B582">
        <v>0.58405663326832313</v>
      </c>
      <c r="C582">
        <v>1.2400810593798193</v>
      </c>
      <c r="D582">
        <v>-1.4505319420969485</v>
      </c>
    </row>
    <row r="583" spans="1:4">
      <c r="A583">
        <v>6.344278956547926E-2</v>
      </c>
      <c r="B583">
        <v>0.55133819340753099</v>
      </c>
      <c r="C583">
        <v>1.7058828307112517</v>
      </c>
      <c r="D583">
        <v>-1.4496883819445752</v>
      </c>
    </row>
    <row r="584" spans="1:4">
      <c r="A584">
        <v>1.1801730920535013E-2</v>
      </c>
      <c r="B584">
        <v>0.51018095987411494</v>
      </c>
      <c r="C584">
        <v>0.69102469590858828</v>
      </c>
      <c r="D584">
        <v>-1.4478404166435863</v>
      </c>
    </row>
    <row r="585" spans="1:4">
      <c r="A585">
        <v>8.3221758166018359E-2</v>
      </c>
      <c r="B585">
        <v>0.56740141150622569</v>
      </c>
      <c r="C585">
        <v>1.3539980884997711</v>
      </c>
      <c r="D585">
        <v>-1.4457258585155954</v>
      </c>
    </row>
    <row r="586" spans="1:4">
      <c r="A586">
        <v>2.6396401199053551E-2</v>
      </c>
      <c r="B586">
        <v>0.52316912642141566</v>
      </c>
      <c r="C586">
        <v>2.0916491192029172</v>
      </c>
      <c r="D586">
        <v>-1.4450863812704831</v>
      </c>
    </row>
    <row r="587" spans="1:4">
      <c r="A587">
        <v>8.7798077433745805E-2</v>
      </c>
      <c r="B587">
        <v>0.57235116044399592</v>
      </c>
      <c r="C587">
        <v>1.5124307470919773</v>
      </c>
      <c r="D587">
        <v>-1.4387394569094463</v>
      </c>
    </row>
    <row r="588" spans="1:4">
      <c r="A588">
        <v>4.6372125718582603E-2</v>
      </c>
      <c r="B588">
        <v>0.54028649603772483</v>
      </c>
      <c r="C588">
        <v>1.5212308035485336</v>
      </c>
      <c r="D588">
        <v>-1.4351264615327846</v>
      </c>
    </row>
    <row r="589" spans="1:4">
      <c r="A589">
        <v>7.7977130328965222E-2</v>
      </c>
      <c r="B589">
        <v>0.56521979624470742</v>
      </c>
      <c r="C589">
        <v>1.3113662822515648</v>
      </c>
      <c r="D589">
        <v>-1.4343897130145176</v>
      </c>
    </row>
    <row r="590" spans="1:4">
      <c r="A590">
        <v>3.3044281928394141E-2</v>
      </c>
      <c r="B590">
        <v>0.53042741565638707</v>
      </c>
      <c r="C590">
        <v>1.1916916479141653</v>
      </c>
      <c r="D590">
        <v>-1.4300297660280241</v>
      </c>
    </row>
    <row r="591" spans="1:4">
      <c r="A591">
        <v>6.3567771395729444E-2</v>
      </c>
      <c r="B591">
        <v>0.55502209574941563</v>
      </c>
      <c r="C591">
        <v>1.69382082837863</v>
      </c>
      <c r="D591">
        <v>-1.4292043088226283</v>
      </c>
    </row>
    <row r="592" spans="1:4">
      <c r="A592">
        <v>8.0008115950531825E-2</v>
      </c>
      <c r="B592">
        <v>0.5681312046075131</v>
      </c>
      <c r="C592">
        <v>1.7505743557901272</v>
      </c>
      <c r="D592">
        <v>-1.4286909529377285</v>
      </c>
    </row>
    <row r="593" spans="1:4">
      <c r="A593">
        <v>8.4149983722038482E-2</v>
      </c>
      <c r="B593">
        <v>0.5710875093775214</v>
      </c>
      <c r="C593">
        <v>0.93293354830477992</v>
      </c>
      <c r="D593">
        <v>-1.4272078574905203</v>
      </c>
    </row>
    <row r="594" spans="1:4">
      <c r="A594">
        <v>5.4006828680457926E-2</v>
      </c>
      <c r="B594">
        <v>0.54757983530829479</v>
      </c>
      <c r="C594">
        <v>0.5517929706993655</v>
      </c>
      <c r="D594">
        <v>-1.4240328396875774</v>
      </c>
    </row>
    <row r="595" spans="1:4">
      <c r="A595">
        <v>-5.400987065143692E-2</v>
      </c>
      <c r="B595">
        <v>0.464929523287957</v>
      </c>
      <c r="C595">
        <v>0.13105127824753995</v>
      </c>
      <c r="D595">
        <v>-1.4073815044401692</v>
      </c>
    </row>
    <row r="596" spans="1:4">
      <c r="A596">
        <v>7.6368504128955308E-2</v>
      </c>
      <c r="B596">
        <v>0.56861682804983071</v>
      </c>
      <c r="C596">
        <v>1.0900611365938226</v>
      </c>
      <c r="D596">
        <v>-1.4069025932426387</v>
      </c>
    </row>
    <row r="597" spans="1:4">
      <c r="A597">
        <v>2.0559649294627887E-2</v>
      </c>
      <c r="B597">
        <v>0.52581686782915538</v>
      </c>
      <c r="C597">
        <v>1.9088227018770851</v>
      </c>
      <c r="D597">
        <v>-1.4029975660071483</v>
      </c>
    </row>
    <row r="598" spans="1:4">
      <c r="A598">
        <v>0.12176590525060442</v>
      </c>
      <c r="B598">
        <v>0.60585769539214551</v>
      </c>
      <c r="C598">
        <v>1.3578047324514539</v>
      </c>
      <c r="D598">
        <v>-1.3999889288222962</v>
      </c>
    </row>
    <row r="599" spans="1:4">
      <c r="A599">
        <v>7.7160370377777343E-2</v>
      </c>
      <c r="B599">
        <v>0.57307061576305429</v>
      </c>
      <c r="C599">
        <v>1.2441347018205886</v>
      </c>
      <c r="D599">
        <v>-1.3856956956578705</v>
      </c>
    </row>
    <row r="600" spans="1:4">
      <c r="A600">
        <v>0.14451692176605674</v>
      </c>
      <c r="B600">
        <v>0.62831278510344246</v>
      </c>
      <c r="C600">
        <v>1.2726982899900918</v>
      </c>
      <c r="D600">
        <v>-1.3740340660175931</v>
      </c>
    </row>
    <row r="601" spans="1:4">
      <c r="A601">
        <v>4.1247101196214213E-2</v>
      </c>
      <c r="B601">
        <v>0.54713644051839705</v>
      </c>
      <c r="C601">
        <v>1.6876947167978875</v>
      </c>
      <c r="D601">
        <v>-1.3736850232952915</v>
      </c>
    </row>
    <row r="602" spans="1:4">
      <c r="A602">
        <v>8.8357197322714562E-2</v>
      </c>
      <c r="B602">
        <v>0.58389336044508466</v>
      </c>
      <c r="C602">
        <v>0.79702708377073272</v>
      </c>
      <c r="D602">
        <v>-1.3726033417503158</v>
      </c>
    </row>
    <row r="603" spans="1:4">
      <c r="A603">
        <v>5.0745825976736839E-2</v>
      </c>
      <c r="B603">
        <v>0.55515045697172183</v>
      </c>
      <c r="C603">
        <v>1.5265771324476067</v>
      </c>
      <c r="D603">
        <v>-1.3701049206862914</v>
      </c>
    </row>
    <row r="604" spans="1:4">
      <c r="A604">
        <v>7.5331190718821037E-2</v>
      </c>
      <c r="B604">
        <v>0.57477687320126758</v>
      </c>
      <c r="C604">
        <v>1.55551034524851</v>
      </c>
      <c r="D604">
        <v>-1.3689842223684627</v>
      </c>
    </row>
    <row r="605" spans="1:4">
      <c r="A605">
        <v>3.8206700105269678E-2</v>
      </c>
      <c r="B605">
        <v>0.54491299770883639</v>
      </c>
      <c r="C605">
        <v>0.69481852720071136</v>
      </c>
      <c r="D605">
        <v>-1.3687053376421485</v>
      </c>
    </row>
    <row r="606" spans="1:4">
      <c r="A606">
        <v>6.2887895225529011E-2</v>
      </c>
      <c r="B606">
        <v>0.56820847383081663</v>
      </c>
      <c r="C606">
        <v>5.1383037042838122</v>
      </c>
      <c r="D606">
        <v>-1.3647604424963604</v>
      </c>
    </row>
    <row r="607" spans="1:4">
      <c r="A607">
        <v>4.5273280033865361E-2</v>
      </c>
      <c r="B607">
        <v>0.55566379003473121</v>
      </c>
      <c r="C607">
        <v>1.6631438148520441</v>
      </c>
      <c r="D607">
        <v>-1.3430987322138346</v>
      </c>
    </row>
    <row r="608" spans="1:4">
      <c r="A608">
        <v>9.3218442256042977E-2</v>
      </c>
      <c r="B608">
        <v>0.59409504625484932</v>
      </c>
      <c r="C608">
        <v>2.0589089400539309</v>
      </c>
      <c r="D608">
        <v>-1.3413768622597677</v>
      </c>
    </row>
    <row r="609" spans="1:4">
      <c r="A609">
        <v>7.5718547899928129E-2</v>
      </c>
      <c r="B609">
        <v>0.58027350292839919</v>
      </c>
      <c r="C609">
        <v>1.1340282148953271</v>
      </c>
      <c r="D609">
        <v>-1.3377106117173818</v>
      </c>
    </row>
    <row r="610" spans="1:4">
      <c r="A610">
        <v>9.7286801205866122E-2</v>
      </c>
      <c r="B610">
        <v>0.59737822338745628</v>
      </c>
      <c r="C610">
        <v>1.1989750073903664</v>
      </c>
      <c r="D610">
        <v>-1.3375306321474578</v>
      </c>
    </row>
    <row r="611" spans="1:4">
      <c r="A611">
        <v>8.8935751813745037E-2</v>
      </c>
      <c r="B611">
        <v>0.59168662727568233</v>
      </c>
      <c r="C611">
        <v>1.073045998684923</v>
      </c>
      <c r="D611">
        <v>-1.3318892916852028</v>
      </c>
    </row>
    <row r="612" spans="1:4">
      <c r="A612">
        <v>9.9618346625587495E-2</v>
      </c>
      <c r="B612">
        <v>0.6011396340343782</v>
      </c>
      <c r="C612">
        <v>1.1800087429534718</v>
      </c>
      <c r="D612">
        <v>-1.3265066807910013</v>
      </c>
    </row>
    <row r="613" spans="1:4">
      <c r="A613">
        <v>3.7946201713342537E-2</v>
      </c>
      <c r="B613">
        <v>0.55385682178690376</v>
      </c>
      <c r="C613">
        <v>1.6159700652098887</v>
      </c>
      <c r="D613">
        <v>-1.3202379037855294</v>
      </c>
    </row>
    <row r="614" spans="1:4">
      <c r="A614">
        <v>7.1585517816926361E-2</v>
      </c>
      <c r="B614">
        <v>0.58153944645776412</v>
      </c>
      <c r="C614">
        <v>0.8130136075934864</v>
      </c>
      <c r="D614">
        <v>-1.3106120397972869</v>
      </c>
    </row>
    <row r="615" spans="1:4">
      <c r="A615">
        <v>2.3522897865757942E-2</v>
      </c>
      <c r="B615">
        <v>0.54573579693020757</v>
      </c>
      <c r="C615">
        <v>3.2063032658007273</v>
      </c>
      <c r="D615">
        <v>-1.30798421095693</v>
      </c>
    </row>
    <row r="616" spans="1:4">
      <c r="A616">
        <v>4.8212227455439967E-2</v>
      </c>
      <c r="B616">
        <v>0.56382699266135372</v>
      </c>
      <c r="C616">
        <v>1.173163416800423</v>
      </c>
      <c r="D616">
        <v>-1.3078338190469654</v>
      </c>
    </row>
    <row r="617" spans="1:4">
      <c r="A617">
        <v>1.0173062174873184E-2</v>
      </c>
      <c r="B617">
        <v>0.53345591519060243</v>
      </c>
      <c r="C617">
        <v>0.5017024041585445</v>
      </c>
      <c r="D617">
        <v>-1.3070868728171294</v>
      </c>
    </row>
    <row r="618" spans="1:4">
      <c r="A618">
        <v>5.2192378416799225E-2</v>
      </c>
      <c r="B618">
        <v>0.56799526765531805</v>
      </c>
      <c r="C618">
        <v>1.4824708726530551</v>
      </c>
      <c r="D618">
        <v>-1.3032225607308963</v>
      </c>
    </row>
    <row r="619" spans="1:4">
      <c r="A619">
        <v>0.1126268230818009</v>
      </c>
      <c r="B619">
        <v>0.61619372225745084</v>
      </c>
      <c r="C619">
        <v>1.5059843333730962</v>
      </c>
      <c r="D619">
        <v>-1.3005404243341259</v>
      </c>
    </row>
    <row r="620" spans="1:4">
      <c r="A620">
        <v>7.3370962430600881E-3</v>
      </c>
      <c r="B620">
        <v>0.53485698439567164</v>
      </c>
      <c r="C620">
        <v>3.6488495989696155</v>
      </c>
      <c r="D620">
        <v>-1.29892752043432</v>
      </c>
    </row>
    <row r="621" spans="1:4">
      <c r="A621">
        <v>3.6509141889129039E-3</v>
      </c>
      <c r="B621">
        <v>0.5305800572463345</v>
      </c>
      <c r="C621">
        <v>1.3410404624277457</v>
      </c>
      <c r="D621">
        <v>-1.2974869493957126</v>
      </c>
    </row>
    <row r="622" spans="1:4">
      <c r="A622">
        <v>4.9211112706666213E-2</v>
      </c>
      <c r="B622">
        <v>0.56746737369258526</v>
      </c>
      <c r="C622">
        <v>1.6652319333414645</v>
      </c>
      <c r="D622">
        <v>-1.2935469048656274</v>
      </c>
    </row>
    <row r="623" spans="1:4">
      <c r="A623">
        <v>1.928565073672828E-2</v>
      </c>
      <c r="B623">
        <v>0.54401549422046414</v>
      </c>
      <c r="C623">
        <v>1.3846095784428427</v>
      </c>
      <c r="D623">
        <v>-1.2914355495724028</v>
      </c>
    </row>
    <row r="624" spans="1:4">
      <c r="A624">
        <v>0.11912889469361909</v>
      </c>
      <c r="B624">
        <v>0.62342802299464717</v>
      </c>
      <c r="C624">
        <v>1.2774295185270275</v>
      </c>
      <c r="D624">
        <v>-1.2876500131259045</v>
      </c>
    </row>
    <row r="625" spans="1:4">
      <c r="A625">
        <v>8.3508923907920043E-2</v>
      </c>
      <c r="B625">
        <v>0.59642534109583811</v>
      </c>
      <c r="C625">
        <v>1.6993238424010728</v>
      </c>
      <c r="D625">
        <v>-1.2829630087089667</v>
      </c>
    </row>
    <row r="626" spans="1:4">
      <c r="A626">
        <v>7.3815381947553729E-2</v>
      </c>
      <c r="B626">
        <v>0.589712332933924</v>
      </c>
      <c r="C626">
        <v>1.0985054530680851</v>
      </c>
      <c r="D626">
        <v>-1.2752029428528977</v>
      </c>
    </row>
    <row r="627" spans="1:4">
      <c r="A627">
        <v>9.0532350325128394E-2</v>
      </c>
      <c r="B627">
        <v>0.60370973361074509</v>
      </c>
      <c r="C627">
        <v>1.7565870324366608</v>
      </c>
      <c r="D627">
        <v>-1.2732764430115768</v>
      </c>
    </row>
    <row r="628" spans="1:4">
      <c r="A628">
        <v>1.0432756830670279E-2</v>
      </c>
      <c r="B628">
        <v>0.53976855486060116</v>
      </c>
      <c r="C628">
        <v>0.58892106631023988</v>
      </c>
      <c r="D628">
        <v>-1.2726223272978299</v>
      </c>
    </row>
    <row r="629" spans="1:4">
      <c r="A629">
        <v>2.872644256097899E-2</v>
      </c>
      <c r="B629">
        <v>0.55511601181838632</v>
      </c>
      <c r="C629">
        <v>1.4593670239918326</v>
      </c>
      <c r="D629">
        <v>-1.2709451922555703</v>
      </c>
    </row>
    <row r="630" spans="1:4">
      <c r="A630">
        <v>2.320022257678047E-2</v>
      </c>
      <c r="B630">
        <v>0.55181439821938572</v>
      </c>
      <c r="C630">
        <v>2.4118185875002935</v>
      </c>
      <c r="D630">
        <v>-1.2687062060950147</v>
      </c>
    </row>
    <row r="631" spans="1:4">
      <c r="A631">
        <v>4.4602793893277093E-4</v>
      </c>
      <c r="B631">
        <v>0.5346095164778375</v>
      </c>
      <c r="C631">
        <v>0.92572826563664135</v>
      </c>
      <c r="D631">
        <v>-1.2584357948640696</v>
      </c>
    </row>
    <row r="632" spans="1:4">
      <c r="A632">
        <v>3.0862224881521422E-2</v>
      </c>
      <c r="B632">
        <v>0.55954299338877067</v>
      </c>
      <c r="C632">
        <v>1.1923051910695794</v>
      </c>
      <c r="D632">
        <v>-1.2542541704151315</v>
      </c>
    </row>
    <row r="633" spans="1:4">
      <c r="A633">
        <v>6.4933324585491128E-2</v>
      </c>
      <c r="B633">
        <v>0.58653602791127601</v>
      </c>
      <c r="C633">
        <v>1.2372643087690345</v>
      </c>
      <c r="D633">
        <v>-1.253893658775513</v>
      </c>
    </row>
    <row r="634" spans="1:4">
      <c r="A634">
        <v>3.7461088701823478E-2</v>
      </c>
      <c r="B634">
        <v>0.56514433037152989</v>
      </c>
      <c r="C634">
        <v>1.6055196715873872</v>
      </c>
      <c r="D634">
        <v>-1.2536742947268342</v>
      </c>
    </row>
    <row r="635" spans="1:4">
      <c r="A635">
        <v>4.2679119268047676E-2</v>
      </c>
      <c r="B635">
        <v>0.56967936361415039</v>
      </c>
      <c r="C635">
        <v>1.3336033932230853</v>
      </c>
      <c r="D635">
        <v>-1.2502180776784497</v>
      </c>
    </row>
    <row r="636" spans="1:4">
      <c r="A636">
        <v>6.5806248524435354E-2</v>
      </c>
      <c r="B636">
        <v>0.59004223393929867</v>
      </c>
      <c r="C636">
        <v>1.2462815870420123</v>
      </c>
      <c r="D636">
        <v>-1.2378725112541238</v>
      </c>
    </row>
    <row r="637" spans="1:4">
      <c r="A637">
        <v>6.9200125473529606E-2</v>
      </c>
      <c r="B637">
        <v>0.59326518586968124</v>
      </c>
      <c r="C637">
        <v>1.1564668750569027</v>
      </c>
      <c r="D637">
        <v>-1.2344148726739275</v>
      </c>
    </row>
    <row r="638" spans="1:4">
      <c r="A638">
        <v>2.7518200060101399E-2</v>
      </c>
      <c r="B638">
        <v>0.561191946412819</v>
      </c>
      <c r="C638">
        <v>1.244459296749046</v>
      </c>
      <c r="D638">
        <v>-1.230015642904384</v>
      </c>
    </row>
    <row r="639" spans="1:4">
      <c r="A639">
        <v>1.3445371792004331E-2</v>
      </c>
      <c r="B639">
        <v>0.55212924642687167</v>
      </c>
      <c r="C639">
        <v>3.0742121743127173</v>
      </c>
      <c r="D639">
        <v>-1.2256643171281021</v>
      </c>
    </row>
    <row r="640" spans="1:4">
      <c r="A640">
        <v>3.8781991617448795E-2</v>
      </c>
      <c r="B640">
        <v>0.57154783864435077</v>
      </c>
      <c r="C640">
        <v>1.1180378795470489</v>
      </c>
      <c r="D640">
        <v>-1.2211684335239086</v>
      </c>
    </row>
    <row r="641" spans="1:4">
      <c r="A641">
        <v>8.2409290207790559E-2</v>
      </c>
      <c r="B641">
        <v>0.60708839041748741</v>
      </c>
      <c r="C641">
        <v>1.8176137871888591</v>
      </c>
      <c r="D641">
        <v>-1.2177084357041348</v>
      </c>
    </row>
    <row r="642" spans="1:4">
      <c r="A642">
        <v>4.5085662759242551E-3</v>
      </c>
      <c r="B642">
        <v>0.54561166215810031</v>
      </c>
      <c r="C642">
        <v>1.5831487122680696</v>
      </c>
      <c r="D642">
        <v>-1.2166346687895593</v>
      </c>
    </row>
    <row r="643" spans="1:4">
      <c r="A643">
        <v>0.1066612462976944</v>
      </c>
      <c r="B643">
        <v>0.62638945351065678</v>
      </c>
      <c r="C643">
        <v>1.2078125000000002</v>
      </c>
      <c r="D643">
        <v>-1.2143869733288808</v>
      </c>
    </row>
    <row r="644" spans="1:4">
      <c r="A644">
        <v>8.0201273045856142E-2</v>
      </c>
      <c r="B644">
        <v>0.60693862342293514</v>
      </c>
      <c r="C644">
        <v>1.1129040791492515</v>
      </c>
      <c r="D644">
        <v>-1.2058071915122193</v>
      </c>
    </row>
    <row r="645" spans="1:4">
      <c r="A645">
        <v>6.1475189203062303E-2</v>
      </c>
      <c r="B645">
        <v>0.59245691678821155</v>
      </c>
      <c r="C645">
        <v>1.5359584755843232</v>
      </c>
      <c r="D645">
        <v>-1.2057777596233112</v>
      </c>
    </row>
    <row r="646" spans="1:4">
      <c r="A646">
        <v>2.960902314909895E-2</v>
      </c>
      <c r="B646">
        <v>0.56699837568379985</v>
      </c>
      <c r="C646">
        <v>0.79302731855081054</v>
      </c>
      <c r="D646">
        <v>-1.2045219720474889</v>
      </c>
    </row>
    <row r="647" spans="1:4">
      <c r="A647">
        <v>8.8536918869644474E-2</v>
      </c>
      <c r="B647">
        <v>0.61534705039718707</v>
      </c>
      <c r="C647">
        <v>1.3133738709278278</v>
      </c>
      <c r="D647">
        <v>-1.1961914431331444</v>
      </c>
    </row>
    <row r="648" spans="1:4">
      <c r="A648">
        <v>8.2457923867615499E-3</v>
      </c>
      <c r="B648">
        <v>0.552648819609172</v>
      </c>
      <c r="C648">
        <v>1.1567866578599737</v>
      </c>
      <c r="D648">
        <v>-1.1916349405995861</v>
      </c>
    </row>
    <row r="649" spans="1:4">
      <c r="A649">
        <v>6.1042637677826105E-2</v>
      </c>
      <c r="B649">
        <v>0.59495474439716689</v>
      </c>
      <c r="C649">
        <v>1.2192357675231265</v>
      </c>
      <c r="D649">
        <v>-1.1883267695564586</v>
      </c>
    </row>
    <row r="650" spans="1:4">
      <c r="A650">
        <v>9.6507390023804082E-2</v>
      </c>
      <c r="B650">
        <v>0.62356603951208356</v>
      </c>
      <c r="C650">
        <v>1.2170365641197667</v>
      </c>
      <c r="D650">
        <v>-1.1848249761447209</v>
      </c>
    </row>
    <row r="651" spans="1:4">
      <c r="A651">
        <v>2.8290338158825711E-2</v>
      </c>
      <c r="B651">
        <v>0.56990599836030598</v>
      </c>
      <c r="C651">
        <v>0.70690627997517352</v>
      </c>
      <c r="D651">
        <v>-1.1816699561808721</v>
      </c>
    </row>
    <row r="652" spans="1:4">
      <c r="A652">
        <v>5.2654422272799449E-2</v>
      </c>
      <c r="B652">
        <v>0.59049171650875987</v>
      </c>
      <c r="C652">
        <v>1.6806971830013304</v>
      </c>
      <c r="D652">
        <v>-1.1778649048596717</v>
      </c>
    </row>
    <row r="653" spans="1:4">
      <c r="A653">
        <v>4.3193412227775327E-2</v>
      </c>
      <c r="B653">
        <v>0.5834218090478287</v>
      </c>
      <c r="C653">
        <v>1.5283177984909009</v>
      </c>
      <c r="D653">
        <v>-1.1749793146463288</v>
      </c>
    </row>
    <row r="654" spans="1:4">
      <c r="A654">
        <v>2.5098241688896537E-2</v>
      </c>
      <c r="B654">
        <v>0.57017468376215474</v>
      </c>
      <c r="C654">
        <v>1.2788509910453769</v>
      </c>
      <c r="D654">
        <v>-1.1680617941199334</v>
      </c>
    </row>
    <row r="655" spans="1:4">
      <c r="A655">
        <v>6.0692700228004777E-2</v>
      </c>
      <c r="B655">
        <v>0.59775252433860515</v>
      </c>
      <c r="C655">
        <v>0.49434592649704451</v>
      </c>
      <c r="D655">
        <v>-1.1679051460019607</v>
      </c>
    </row>
    <row r="656" spans="1:4">
      <c r="A656">
        <v>1.2611760466635139E-3</v>
      </c>
      <c r="B656">
        <v>0.55275544445195146</v>
      </c>
      <c r="C656">
        <v>1.0355355080037407</v>
      </c>
      <c r="D656">
        <v>-1.1591114008658776</v>
      </c>
    </row>
    <row r="657" spans="1:4">
      <c r="A657">
        <v>3.8741028041549642E-2</v>
      </c>
      <c r="B657">
        <v>0.58300984473097472</v>
      </c>
      <c r="C657">
        <v>1.4205806656082014</v>
      </c>
      <c r="D657">
        <v>-1.1568608338828501</v>
      </c>
    </row>
    <row r="658" spans="1:4">
      <c r="A658">
        <v>4.8689263650025044E-2</v>
      </c>
      <c r="B658">
        <v>0.59154510542054373</v>
      </c>
      <c r="C658">
        <v>1.3846482898975299</v>
      </c>
      <c r="D658">
        <v>-1.1528331786876029</v>
      </c>
    </row>
    <row r="659" spans="1:4">
      <c r="A659">
        <v>8.7116985780160056E-2</v>
      </c>
      <c r="B659">
        <v>0.62245625191752318</v>
      </c>
      <c r="C659">
        <v>1.5019309317519878</v>
      </c>
      <c r="D659">
        <v>-1.1500335238078461</v>
      </c>
    </row>
    <row r="660" spans="1:4">
      <c r="A660">
        <v>5.2791333334615692E-2</v>
      </c>
      <c r="B660">
        <v>0.59593839824932959</v>
      </c>
      <c r="C660">
        <v>1.147442382074932</v>
      </c>
      <c r="D660">
        <v>-1.1453018995128914</v>
      </c>
    </row>
    <row r="661" spans="1:4">
      <c r="A661">
        <v>3.9578426147206983E-2</v>
      </c>
      <c r="B661">
        <v>0.58625185541781999</v>
      </c>
      <c r="C661">
        <v>1.6688842011296674</v>
      </c>
      <c r="D661">
        <v>-1.1431428785853757</v>
      </c>
    </row>
    <row r="662" spans="1:4">
      <c r="A662">
        <v>9.0131719059573664E-2</v>
      </c>
      <c r="B662">
        <v>0.62718536827771365</v>
      </c>
      <c r="C662">
        <v>0.58527280328896947</v>
      </c>
      <c r="D662">
        <v>-1.1329772277982693</v>
      </c>
    </row>
    <row r="663" spans="1:4">
      <c r="A663">
        <v>0.11296029715855938</v>
      </c>
      <c r="B663">
        <v>0.64750394404802591</v>
      </c>
      <c r="C663">
        <v>2.505719153078608</v>
      </c>
      <c r="D663">
        <v>-1.1275717327520836</v>
      </c>
    </row>
    <row r="664" spans="1:4">
      <c r="A664">
        <v>4.5776462542258062E-2</v>
      </c>
      <c r="B664">
        <v>0.59431772877697142</v>
      </c>
      <c r="C664">
        <v>1.2260433146036769</v>
      </c>
      <c r="D664">
        <v>-1.1232872006698382</v>
      </c>
    </row>
    <row r="665" spans="1:4">
      <c r="A665">
        <v>2.7116565863780518E-3</v>
      </c>
      <c r="B665">
        <v>0.56073521262924575</v>
      </c>
      <c r="C665">
        <v>1.2296933775351886</v>
      </c>
      <c r="D665">
        <v>-1.120930516162141</v>
      </c>
    </row>
    <row r="666" spans="1:4">
      <c r="A666">
        <v>3.8035112307083903E-2</v>
      </c>
      <c r="B666">
        <v>0.59023790784339736</v>
      </c>
      <c r="C666">
        <v>1.0962132562872442</v>
      </c>
      <c r="D666">
        <v>-1.111186783699661</v>
      </c>
    </row>
    <row r="667" spans="1:4">
      <c r="A667">
        <v>4.0093745061593689E-2</v>
      </c>
      <c r="B667">
        <v>0.59189762730741158</v>
      </c>
      <c r="C667">
        <v>1.094964951653399</v>
      </c>
      <c r="D667">
        <v>-1.1109852369315387</v>
      </c>
    </row>
    <row r="668" spans="1:4">
      <c r="A668">
        <v>1.8955032210819015E-2</v>
      </c>
      <c r="B668">
        <v>0.57516742196703574</v>
      </c>
      <c r="C668">
        <v>0.74510642406853078</v>
      </c>
      <c r="D668">
        <v>-1.1098237654328553</v>
      </c>
    </row>
    <row r="669" spans="1:4">
      <c r="A669">
        <v>1.3276402695309896E-2</v>
      </c>
      <c r="B669">
        <v>0.57125101617729557</v>
      </c>
      <c r="C669">
        <v>1.3590383714156824</v>
      </c>
      <c r="D669">
        <v>-1.1090491734039725</v>
      </c>
    </row>
    <row r="670" spans="1:4">
      <c r="A670">
        <v>2.5362449835496587E-2</v>
      </c>
      <c r="B670">
        <v>0.58153464212974681</v>
      </c>
      <c r="C670">
        <v>1.3682285406391179</v>
      </c>
      <c r="D670">
        <v>-1.1048564782827346</v>
      </c>
    </row>
    <row r="671" spans="1:4">
      <c r="A671">
        <v>6.7848754516862023E-2</v>
      </c>
      <c r="B671">
        <v>0.61545647175544538</v>
      </c>
      <c r="C671">
        <v>1.5501063635870818</v>
      </c>
      <c r="D671">
        <v>-1.1034179317741888</v>
      </c>
    </row>
    <row r="672" spans="1:4">
      <c r="A672">
        <v>2.1312875596388493E-2</v>
      </c>
      <c r="B672">
        <v>0.57967024689361457</v>
      </c>
      <c r="C672">
        <v>1.3262928096387319</v>
      </c>
      <c r="D672">
        <v>-1.0970927041287</v>
      </c>
    </row>
    <row r="673" spans="1:4">
      <c r="A673">
        <v>7.6269901440485219E-2</v>
      </c>
      <c r="B673">
        <v>0.62358689242692278</v>
      </c>
      <c r="C673">
        <v>0.95213140187253065</v>
      </c>
      <c r="D673">
        <v>-1.0925777952562137</v>
      </c>
    </row>
    <row r="674" spans="1:4">
      <c r="A674">
        <v>3.1149808856186463E-2</v>
      </c>
      <c r="B674">
        <v>0.58849209152162196</v>
      </c>
      <c r="C674">
        <v>1.4301512593245389</v>
      </c>
      <c r="D674">
        <v>-1.0914898232168913</v>
      </c>
    </row>
    <row r="675" spans="1:4">
      <c r="A675">
        <v>6.0625995785578451E-2</v>
      </c>
      <c r="B675">
        <v>0.61329084648198584</v>
      </c>
      <c r="C675">
        <v>1.4518801682634634</v>
      </c>
      <c r="D675">
        <v>-1.0828666767608368</v>
      </c>
    </row>
    <row r="676" spans="1:4">
      <c r="A676">
        <v>4.137520885842938E-2</v>
      </c>
      <c r="B676">
        <v>0.59800062303531476</v>
      </c>
      <c r="C676">
        <v>0.76186991869918697</v>
      </c>
      <c r="D676">
        <v>-1.0806323682364347</v>
      </c>
    </row>
    <row r="677" spans="1:4">
      <c r="A677">
        <v>7.8501614258546723E-2</v>
      </c>
      <c r="B677">
        <v>0.6275043120605015</v>
      </c>
      <c r="C677">
        <v>1.0014404033129276</v>
      </c>
      <c r="D677">
        <v>-1.080488447031853</v>
      </c>
    </row>
    <row r="678" spans="1:4">
      <c r="A678">
        <v>5.9769213338214021E-2</v>
      </c>
      <c r="B678">
        <v>0.61286583346406598</v>
      </c>
      <c r="C678">
        <v>1.1239542550999382</v>
      </c>
      <c r="D678">
        <v>-1.080122026297186</v>
      </c>
    </row>
    <row r="679" spans="1:4">
      <c r="A679">
        <v>7.0718066939890717E-2</v>
      </c>
      <c r="B679">
        <v>0.62261996243169393</v>
      </c>
      <c r="C679">
        <v>1.2920763338764349</v>
      </c>
      <c r="D679">
        <v>-1.074465820704358</v>
      </c>
    </row>
    <row r="680" spans="1:4">
      <c r="A680">
        <v>5.0350258271250524E-2</v>
      </c>
      <c r="B680">
        <v>0.60645223245423396</v>
      </c>
      <c r="C680">
        <v>0.83722486208968261</v>
      </c>
      <c r="D680">
        <v>-1.0731473366798525</v>
      </c>
    </row>
    <row r="681" spans="1:4">
      <c r="A681">
        <v>5.4242351966457866E-2</v>
      </c>
      <c r="B681">
        <v>0.61009465108396832</v>
      </c>
      <c r="C681">
        <v>1.3957661641307755</v>
      </c>
      <c r="D681">
        <v>-1.0721341373269639</v>
      </c>
    </row>
    <row r="682" spans="1:4">
      <c r="A682">
        <v>5.173421150475381E-2</v>
      </c>
      <c r="B682">
        <v>0.60785042757741536</v>
      </c>
      <c r="C682">
        <v>0.78855109961190173</v>
      </c>
      <c r="D682">
        <v>-1.0712107189785718</v>
      </c>
    </row>
    <row r="683" spans="1:4">
      <c r="A683">
        <v>0.1167915959194379</v>
      </c>
      <c r="B683">
        <v>0.65960574812606121</v>
      </c>
      <c r="C683">
        <v>1.1208934349805297</v>
      </c>
      <c r="D683">
        <v>-1.070292991058843</v>
      </c>
    </row>
    <row r="684" spans="1:4">
      <c r="A684">
        <v>5.3911682892906813E-2</v>
      </c>
      <c r="B684">
        <v>0.61062239221140469</v>
      </c>
      <c r="C684">
        <v>1.2585301837270342</v>
      </c>
      <c r="D684">
        <v>-1.0670890581479817</v>
      </c>
    </row>
    <row r="685" spans="1:4">
      <c r="A685">
        <v>1.8970433659082908E-2</v>
      </c>
      <c r="B685">
        <v>0.58397296216768646</v>
      </c>
      <c r="C685">
        <v>1.3399969386936967</v>
      </c>
      <c r="D685">
        <v>-1.0620810548648345</v>
      </c>
    </row>
    <row r="686" spans="1:4">
      <c r="A686">
        <v>7.6151661808130267E-2</v>
      </c>
      <c r="B686">
        <v>0.62966631760676994</v>
      </c>
      <c r="C686">
        <v>1.4129472576451654</v>
      </c>
      <c r="D686">
        <v>-1.0592362568085778</v>
      </c>
    </row>
    <row r="687" spans="1:4">
      <c r="A687">
        <v>3.2750348769947944E-2</v>
      </c>
      <c r="B687">
        <v>0.59586920276293853</v>
      </c>
      <c r="C687">
        <v>1.8076931668416467</v>
      </c>
      <c r="D687">
        <v>-1.0581528863833822</v>
      </c>
    </row>
    <row r="688" spans="1:4">
      <c r="A688">
        <v>7.7872833823598858E-2</v>
      </c>
      <c r="B688">
        <v>0.6315226972223823</v>
      </c>
      <c r="C688">
        <v>1.3994055854674796</v>
      </c>
      <c r="D688">
        <v>-1.0563460003804854</v>
      </c>
    </row>
    <row r="689" spans="1:4">
      <c r="A689">
        <v>1.9036082028208014E-3</v>
      </c>
      <c r="B689">
        <v>0.57168815436531972</v>
      </c>
      <c r="C689">
        <v>1.5672771303163311</v>
      </c>
      <c r="D689">
        <v>-1.0562128655516365</v>
      </c>
    </row>
    <row r="690" spans="1:4">
      <c r="A690">
        <v>6.118147924757239E-2</v>
      </c>
      <c r="B690">
        <v>0.61864702707850538</v>
      </c>
      <c r="C690">
        <v>1.6622888770541693</v>
      </c>
      <c r="D690">
        <v>-1.0556777577748118</v>
      </c>
    </row>
    <row r="691" spans="1:4">
      <c r="A691">
        <v>3.0175807387465885E-2</v>
      </c>
      <c r="B691">
        <v>0.59547108916964753</v>
      </c>
      <c r="C691">
        <v>1.9250153833531607</v>
      </c>
      <c r="D691">
        <v>-1.0493059865100183</v>
      </c>
    </row>
    <row r="692" spans="1:4">
      <c r="A692">
        <v>6.3327173831040973E-2</v>
      </c>
      <c r="B692">
        <v>0.62142891603012906</v>
      </c>
      <c r="C692">
        <v>1.1333577942037245</v>
      </c>
      <c r="D692">
        <v>-1.0473608920447635</v>
      </c>
    </row>
    <row r="693" spans="1:4">
      <c r="A693">
        <v>2.5621281064053203E-2</v>
      </c>
      <c r="B693">
        <v>0.59141757087854396</v>
      </c>
      <c r="C693">
        <v>0.71115942395361964</v>
      </c>
      <c r="D693">
        <v>-1.0470602484763529</v>
      </c>
    </row>
    <row r="694" spans="1:4">
      <c r="A694">
        <v>6.4979539464558186E-2</v>
      </c>
      <c r="B694">
        <v>0.6241243584408378</v>
      </c>
      <c r="C694">
        <v>1.2578880942364326</v>
      </c>
      <c r="D694">
        <v>-1.0399306368546819</v>
      </c>
    </row>
    <row r="695" spans="1:4">
      <c r="A695">
        <v>3.639549985135114E-2</v>
      </c>
      <c r="B695">
        <v>0.60496174247758527</v>
      </c>
      <c r="C695">
        <v>0.52017155877228261</v>
      </c>
      <c r="D695">
        <v>-1.0175785034439326</v>
      </c>
    </row>
    <row r="696" spans="1:4">
      <c r="A696">
        <v>8.7524289431215631E-3</v>
      </c>
      <c r="B696">
        <v>0.58392616012910459</v>
      </c>
      <c r="C696">
        <v>1.2186325801764921</v>
      </c>
      <c r="D696">
        <v>-1.0158813478288571</v>
      </c>
    </row>
    <row r="697" spans="1:4">
      <c r="A697">
        <v>8.0732567585632464E-2</v>
      </c>
      <c r="B697">
        <v>0.64073956008925725</v>
      </c>
      <c r="C697">
        <v>1.1090224870408973</v>
      </c>
      <c r="D697">
        <v>-1.0155171515747434</v>
      </c>
    </row>
    <row r="698" spans="1:4">
      <c r="A698">
        <v>5.229957682031685E-2</v>
      </c>
      <c r="B698">
        <v>0.61861985040248957</v>
      </c>
      <c r="C698">
        <v>1.1601731163716069</v>
      </c>
      <c r="D698">
        <v>-1.0138556408627211</v>
      </c>
    </row>
    <row r="699" spans="1:4">
      <c r="A699">
        <v>5.2010833461086411E-2</v>
      </c>
      <c r="B699">
        <v>0.61891767591598956</v>
      </c>
      <c r="C699">
        <v>0.61149351292463106</v>
      </c>
      <c r="D699">
        <v>-1.0086639719054464</v>
      </c>
    </row>
    <row r="700" spans="1:4">
      <c r="A700">
        <v>6.6321389487826815E-2</v>
      </c>
      <c r="B700">
        <v>0.63192224762441362</v>
      </c>
      <c r="C700">
        <v>1.1838411819021237</v>
      </c>
      <c r="D700">
        <v>-1.0012248059636712</v>
      </c>
    </row>
    <row r="701" spans="1:4">
      <c r="A701">
        <v>5.1012344333324244E-2</v>
      </c>
      <c r="B701">
        <v>0.61947843147941251</v>
      </c>
      <c r="C701">
        <v>0.62247173116738341</v>
      </c>
      <c r="D701">
        <v>-1.0010183769919765</v>
      </c>
    </row>
    <row r="702" spans="1:4">
      <c r="A702">
        <v>4.349862615549064E-2</v>
      </c>
      <c r="B702">
        <v>0.6141505317225302</v>
      </c>
      <c r="C702">
        <v>1.2072559733962294</v>
      </c>
      <c r="D702">
        <v>-0.99991481077487088</v>
      </c>
    </row>
    <row r="703" spans="1:4">
      <c r="A703">
        <v>3.1674644300821272E-2</v>
      </c>
      <c r="B703">
        <v>0.60573059714513355</v>
      </c>
      <c r="C703">
        <v>1.3023745880216364</v>
      </c>
      <c r="D703">
        <v>-0.99508099397852101</v>
      </c>
    </row>
    <row r="704" spans="1:4">
      <c r="A704">
        <v>6.8201145544133465E-2</v>
      </c>
      <c r="B704">
        <v>0.63798429253895594</v>
      </c>
      <c r="C704">
        <v>5.7001788036410925</v>
      </c>
      <c r="D704">
        <v>-0.99319540269111628</v>
      </c>
    </row>
    <row r="705" spans="1:4">
      <c r="A705">
        <v>2.2290439447993585E-3</v>
      </c>
      <c r="B705">
        <v>0.58336237174700634</v>
      </c>
      <c r="C705">
        <v>1.2333505362832651</v>
      </c>
      <c r="D705">
        <v>-0.98979858093879391</v>
      </c>
    </row>
    <row r="706" spans="1:4">
      <c r="A706">
        <v>2.1604938271604936E-3</v>
      </c>
      <c r="B706">
        <v>0.58350480109739367</v>
      </c>
      <c r="C706">
        <v>1.376911721287275</v>
      </c>
      <c r="D706">
        <v>-0.98925250285222699</v>
      </c>
    </row>
    <row r="707" spans="1:4">
      <c r="A707">
        <v>2.8177076623319704E-2</v>
      </c>
      <c r="B707">
        <v>0.60417283711219161</v>
      </c>
      <c r="C707">
        <v>1.2443061663703565</v>
      </c>
      <c r="D707">
        <v>-0.98798889793092737</v>
      </c>
    </row>
    <row r="708" spans="1:4">
      <c r="A708">
        <v>2.256728081107481E-2</v>
      </c>
      <c r="B708">
        <v>0.59995284448785746</v>
      </c>
      <c r="C708">
        <v>1.0620540046811668</v>
      </c>
      <c r="D708">
        <v>-0.9860697660877733</v>
      </c>
    </row>
    <row r="709" spans="1:4">
      <c r="A709">
        <v>3.2511957102121042E-2</v>
      </c>
      <c r="B709">
        <v>0.6096412301330334</v>
      </c>
      <c r="C709">
        <v>1.2736745279481336</v>
      </c>
      <c r="D709">
        <v>-0.97644349331304703</v>
      </c>
    </row>
    <row r="710" spans="1:4">
      <c r="A710">
        <v>3.1098460889732241E-2</v>
      </c>
      <c r="B710">
        <v>0.6087128399746996</v>
      </c>
      <c r="C710">
        <v>1.2020608737065419</v>
      </c>
      <c r="D710">
        <v>-0.97508812964283276</v>
      </c>
    </row>
    <row r="711" spans="1:4">
      <c r="A711">
        <v>1.3559248959882732E-2</v>
      </c>
      <c r="B711">
        <v>0.59486085063269312</v>
      </c>
      <c r="C711">
        <v>0.83738445737761036</v>
      </c>
      <c r="D711">
        <v>-0.97365930954263213</v>
      </c>
    </row>
    <row r="712" spans="1:4">
      <c r="A712">
        <v>4.2955870132865705E-2</v>
      </c>
      <c r="B712">
        <v>0.61857961148683616</v>
      </c>
      <c r="C712">
        <v>1.423213495773604</v>
      </c>
      <c r="D712">
        <v>-0.97309048410602339</v>
      </c>
    </row>
    <row r="713" spans="1:4">
      <c r="A713">
        <v>3.4303808744806805E-2</v>
      </c>
      <c r="B713">
        <v>0.61158739542756257</v>
      </c>
      <c r="C713">
        <v>1.176831434343006</v>
      </c>
      <c r="D713">
        <v>-0.97302631115189531</v>
      </c>
    </row>
    <row r="714" spans="1:4">
      <c r="A714">
        <v>3.7671976709236221E-2</v>
      </c>
      <c r="B714">
        <v>0.6145432712524197</v>
      </c>
      <c r="C714">
        <v>1.1021806882082434</v>
      </c>
      <c r="D714">
        <v>-0.97103597180560375</v>
      </c>
    </row>
    <row r="715" spans="1:4">
      <c r="A715">
        <v>7.6720963508230877E-2</v>
      </c>
      <c r="B715">
        <v>0.64562732521818023</v>
      </c>
      <c r="C715">
        <v>1.1300787295698276</v>
      </c>
      <c r="D715">
        <v>-0.9696888969616908</v>
      </c>
    </row>
    <row r="716" spans="1:4">
      <c r="A716">
        <v>-0.15310294287808077</v>
      </c>
      <c r="B716">
        <v>0.46416862729972619</v>
      </c>
      <c r="C716">
        <v>1.0033378401216833</v>
      </c>
      <c r="D716">
        <v>-0.96928893280068418</v>
      </c>
    </row>
    <row r="717" spans="1:4">
      <c r="A717">
        <v>4.1883016170580059E-2</v>
      </c>
      <c r="B717">
        <v>0.62019366933254216</v>
      </c>
      <c r="C717">
        <v>0.57369940200803771</v>
      </c>
      <c r="D717">
        <v>-0.95566445518015197</v>
      </c>
    </row>
    <row r="718" spans="1:4">
      <c r="A718">
        <v>6.6114637123986741E-2</v>
      </c>
      <c r="B718">
        <v>0.63973247799085509</v>
      </c>
      <c r="C718">
        <v>0.48593374636490066</v>
      </c>
      <c r="D718">
        <v>-0.95298447749552539</v>
      </c>
    </row>
    <row r="719" spans="1:4">
      <c r="A719">
        <v>2.0498243959165524E-2</v>
      </c>
      <c r="B719">
        <v>0.60517269848678223</v>
      </c>
      <c r="C719">
        <v>1.0677164313349725</v>
      </c>
      <c r="D719">
        <v>-0.94702858216692531</v>
      </c>
    </row>
    <row r="720" spans="1:4">
      <c r="A720">
        <v>7.1410612223292902E-3</v>
      </c>
      <c r="B720">
        <v>0.59678026680332841</v>
      </c>
      <c r="C720">
        <v>1.8742675933871711</v>
      </c>
      <c r="D720">
        <v>-0.93798432509505814</v>
      </c>
    </row>
    <row r="721" spans="1:4">
      <c r="A721">
        <v>3.0649319016786084E-3</v>
      </c>
      <c r="B721">
        <v>0.59404875474455521</v>
      </c>
      <c r="C721">
        <v>1.251153175931937</v>
      </c>
      <c r="D721">
        <v>-0.93271890421731651</v>
      </c>
    </row>
    <row r="722" spans="1:4">
      <c r="A722">
        <v>4.2480528218020119E-2</v>
      </c>
      <c r="B722">
        <v>0.62665666584633062</v>
      </c>
      <c r="C722">
        <v>0.82053676338990444</v>
      </c>
      <c r="D722">
        <v>-0.92250152871056523</v>
      </c>
    </row>
    <row r="723" spans="1:4">
      <c r="A723">
        <v>8.2627840452543941E-2</v>
      </c>
      <c r="B723">
        <v>0.65893356474785447</v>
      </c>
      <c r="C723">
        <v>1.2069932756964457</v>
      </c>
      <c r="D723">
        <v>-0.92073193607646275</v>
      </c>
    </row>
    <row r="724" spans="1:4">
      <c r="A724">
        <v>8.4552535500020759E-2</v>
      </c>
      <c r="B724">
        <v>0.66080505728205063</v>
      </c>
      <c r="C724">
        <v>0.95882130978002633</v>
      </c>
      <c r="D724">
        <v>-0.91773286848152513</v>
      </c>
    </row>
    <row r="725" spans="1:4">
      <c r="A725">
        <v>3.9528358777414549E-2</v>
      </c>
      <c r="B725">
        <v>0.6258939283333862</v>
      </c>
      <c r="C725">
        <v>1.2893247049403325</v>
      </c>
      <c r="D725">
        <v>-0.9154395218178254</v>
      </c>
    </row>
    <row r="726" spans="1:4">
      <c r="A726">
        <v>4.0292978943059637E-2</v>
      </c>
      <c r="B726">
        <v>0.62637748406041005</v>
      </c>
      <c r="C726">
        <v>1.0300279940754919</v>
      </c>
      <c r="D726">
        <v>-0.91508685807573287</v>
      </c>
    </row>
    <row r="727" spans="1:4">
      <c r="A727">
        <v>7.0102635452584036E-2</v>
      </c>
      <c r="B727">
        <v>0.65022079728994009</v>
      </c>
      <c r="C727">
        <v>1.1713699366207668</v>
      </c>
      <c r="D727">
        <v>-0.91388879473045281</v>
      </c>
    </row>
    <row r="728" spans="1:4">
      <c r="A728">
        <v>2.5280481385955362E-2</v>
      </c>
      <c r="B728">
        <v>0.61502918747233781</v>
      </c>
      <c r="C728">
        <v>0.84991086578319985</v>
      </c>
      <c r="D728">
        <v>-0.91149544110760583</v>
      </c>
    </row>
    <row r="729" spans="1:4">
      <c r="A729">
        <v>6.449553001277139E-2</v>
      </c>
      <c r="B729">
        <v>0.64737746069493995</v>
      </c>
      <c r="C729">
        <v>1.211642265601893</v>
      </c>
      <c r="D729">
        <v>-0.9050249281587206</v>
      </c>
    </row>
    <row r="730" spans="1:4">
      <c r="A730">
        <v>6.3458281994346666E-2</v>
      </c>
      <c r="B730">
        <v>0.6469568884291258</v>
      </c>
      <c r="C730">
        <v>0.98774032106340726</v>
      </c>
      <c r="D730">
        <v>-0.90185896621279582</v>
      </c>
    </row>
    <row r="731" spans="1:4">
      <c r="A731">
        <v>8.9740214147797093E-3</v>
      </c>
      <c r="B731">
        <v>0.60507723363173593</v>
      </c>
      <c r="C731">
        <v>1.4501469507714917</v>
      </c>
      <c r="D731">
        <v>-0.89724345246869985</v>
      </c>
    </row>
    <row r="732" spans="1:4">
      <c r="A732">
        <v>6.8107288983179276E-2</v>
      </c>
      <c r="B732">
        <v>0.65195332626155478</v>
      </c>
      <c r="C732">
        <v>1.2568289647298827</v>
      </c>
      <c r="D732">
        <v>-0.89537615659236325</v>
      </c>
    </row>
    <row r="733" spans="1:4">
      <c r="A733">
        <v>3.4610509258654262E-2</v>
      </c>
      <c r="B733">
        <v>0.62543941037335182</v>
      </c>
      <c r="C733">
        <v>1.0806089450896552</v>
      </c>
      <c r="D733">
        <v>-0.89506508831619724</v>
      </c>
    </row>
    <row r="734" spans="1:4">
      <c r="A734">
        <v>1.6471041956966389E-3</v>
      </c>
      <c r="B734">
        <v>0.60031495846083571</v>
      </c>
      <c r="C734">
        <v>1.6042150496863989</v>
      </c>
      <c r="D734">
        <v>-0.89203356585261617</v>
      </c>
    </row>
    <row r="735" spans="1:4">
      <c r="A735">
        <v>5.7550435299465061E-2</v>
      </c>
      <c r="B735">
        <v>0.64490533547778051</v>
      </c>
      <c r="C735">
        <v>1.0763110307414103</v>
      </c>
      <c r="D735">
        <v>-0.88732179074720929</v>
      </c>
    </row>
    <row r="736" spans="1:4">
      <c r="A736">
        <v>1.3888384731462707E-2</v>
      </c>
      <c r="B736">
        <v>0.61124838597601128</v>
      </c>
      <c r="C736">
        <v>1.2720555658437902</v>
      </c>
      <c r="D736">
        <v>-0.88347015349169278</v>
      </c>
    </row>
    <row r="737" spans="1:4">
      <c r="A737">
        <v>8.0110254718186433E-2</v>
      </c>
      <c r="B737">
        <v>0.66424391366182567</v>
      </c>
      <c r="C737">
        <v>1.2628916887423354</v>
      </c>
      <c r="D737">
        <v>-0.87935740511440108</v>
      </c>
    </row>
    <row r="738" spans="1:4">
      <c r="A738">
        <v>5.9839276626466105E-2</v>
      </c>
      <c r="B738">
        <v>0.64942066206668014</v>
      </c>
      <c r="C738">
        <v>2.8356311274509807</v>
      </c>
      <c r="D738">
        <v>-0.87892149554882415</v>
      </c>
    </row>
    <row r="739" spans="1:4">
      <c r="A739">
        <v>5.8743196437407226E-2</v>
      </c>
      <c r="B739">
        <v>0.65155863433943595</v>
      </c>
      <c r="C739">
        <v>7.0603566529492463</v>
      </c>
      <c r="D739">
        <v>-0.87870159484534405</v>
      </c>
    </row>
    <row r="740" spans="1:4">
      <c r="A740">
        <v>5.1828326392407406E-2</v>
      </c>
      <c r="B740">
        <v>0.6421365694113188</v>
      </c>
      <c r="C740">
        <v>1.2400468620599108</v>
      </c>
      <c r="D740">
        <v>-0.87800921056955561</v>
      </c>
    </row>
    <row r="741" spans="1:4">
      <c r="A741">
        <v>4.3162313904671987E-3</v>
      </c>
      <c r="B741">
        <v>0.6057898197636189</v>
      </c>
      <c r="C741">
        <v>2.6646619397315776</v>
      </c>
      <c r="D741">
        <v>-0.87707971636340076</v>
      </c>
    </row>
    <row r="742" spans="1:4">
      <c r="A742">
        <v>9.4427471750470268E-3</v>
      </c>
      <c r="B742">
        <v>0.60921861867470695</v>
      </c>
      <c r="C742">
        <v>1.5042787358712575</v>
      </c>
      <c r="D742">
        <v>-0.87596335078536713</v>
      </c>
    </row>
    <row r="743" spans="1:4">
      <c r="A743">
        <v>1.4738680504672336E-2</v>
      </c>
      <c r="B743">
        <v>0.6138132471469151</v>
      </c>
      <c r="C743">
        <v>1.9473702462644189</v>
      </c>
      <c r="D743">
        <v>-0.87537803451866691</v>
      </c>
    </row>
    <row r="744" spans="1:4">
      <c r="A744">
        <v>4.6262881561290832E-2</v>
      </c>
      <c r="B744">
        <v>0.63858410307854663</v>
      </c>
      <c r="C744">
        <v>1.5885493126918457</v>
      </c>
      <c r="D744">
        <v>-0.8746077767288597</v>
      </c>
    </row>
    <row r="745" spans="1:4">
      <c r="A745">
        <v>-8.6598076965491936E-4</v>
      </c>
      <c r="B745">
        <v>0.60182877493902731</v>
      </c>
      <c r="C745">
        <v>1.300554799084509</v>
      </c>
      <c r="D745">
        <v>-0.87088128858043479</v>
      </c>
    </row>
    <row r="746" spans="1:4">
      <c r="A746">
        <v>6.9405932274598764E-2</v>
      </c>
      <c r="B746">
        <v>0.65725269185062474</v>
      </c>
      <c r="C746">
        <v>1.2192898161441208</v>
      </c>
      <c r="D746">
        <v>-0.87086351095170955</v>
      </c>
    </row>
    <row r="747" spans="1:4">
      <c r="A747">
        <v>6.2151029236693696E-2</v>
      </c>
      <c r="B747">
        <v>0.65190952330384144</v>
      </c>
      <c r="C747">
        <v>1.2122976939861545</v>
      </c>
      <c r="D747">
        <v>-0.86864453950916964</v>
      </c>
    </row>
    <row r="748" spans="1:4">
      <c r="A748">
        <v>2.7540776818094224E-2</v>
      </c>
      <c r="B748">
        <v>0.62453792112685935</v>
      </c>
      <c r="C748">
        <v>0.99236465928009654</v>
      </c>
      <c r="D748">
        <v>-0.8680368038954458</v>
      </c>
    </row>
    <row r="749" spans="1:4">
      <c r="A749">
        <v>2.7285263987391648E-2</v>
      </c>
      <c r="B749">
        <v>0.62519700551615442</v>
      </c>
      <c r="C749">
        <v>0.99091870922235936</v>
      </c>
      <c r="D749">
        <v>-0.86312443133807126</v>
      </c>
    </row>
    <row r="750" spans="1:4">
      <c r="A750">
        <v>2.9717986730295173E-2</v>
      </c>
      <c r="B750">
        <v>0.62696791944186925</v>
      </c>
      <c r="C750">
        <v>0.73825399286711124</v>
      </c>
      <c r="D750">
        <v>-0.86296681543914222</v>
      </c>
    </row>
    <row r="751" spans="1:4">
      <c r="A751">
        <v>1.6817688589506913E-2</v>
      </c>
      <c r="B751">
        <v>0.61743774749510283</v>
      </c>
      <c r="C751">
        <v>1.2943856584145641</v>
      </c>
      <c r="D751">
        <v>-0.86146198056435264</v>
      </c>
    </row>
    <row r="752" spans="1:4">
      <c r="A752">
        <v>7.8133554111448122E-2</v>
      </c>
      <c r="B752">
        <v>0.66740622212660283</v>
      </c>
      <c r="C752">
        <v>2.4916740001732682</v>
      </c>
      <c r="D752">
        <v>-0.85735222338057293</v>
      </c>
    </row>
    <row r="753" spans="1:4">
      <c r="A753">
        <v>-6.1035804133450803E-3</v>
      </c>
      <c r="B753">
        <v>0.60021371377215416</v>
      </c>
      <c r="C753">
        <v>1.1981669541556328</v>
      </c>
      <c r="D753">
        <v>-0.85610838745529039</v>
      </c>
    </row>
    <row r="754" spans="1:4">
      <c r="A754">
        <v>6.5449551380085694E-2</v>
      </c>
      <c r="B754">
        <v>0.65724658715270401</v>
      </c>
      <c r="C754">
        <v>1.1166670325087253</v>
      </c>
      <c r="D754">
        <v>-0.85268410257000737</v>
      </c>
    </row>
    <row r="755" spans="1:4">
      <c r="A755">
        <v>6.5517329061459059E-2</v>
      </c>
      <c r="B755">
        <v>0.65951636280418036</v>
      </c>
      <c r="C755">
        <v>0.69570591851923758</v>
      </c>
      <c r="D755">
        <v>-0.83836753646681406</v>
      </c>
    </row>
    <row r="756" spans="1:4">
      <c r="A756">
        <v>8.3380268883876812E-2</v>
      </c>
      <c r="B756">
        <v>0.67435146855654871</v>
      </c>
      <c r="C756">
        <v>1.4202742835067725</v>
      </c>
      <c r="D756">
        <v>-0.8370889363391445</v>
      </c>
    </row>
    <row r="757" spans="1:4">
      <c r="A757">
        <v>3.5555067530471066E-2</v>
      </c>
      <c r="B757">
        <v>0.63746568573624673</v>
      </c>
      <c r="C757">
        <v>1.3988355668860029</v>
      </c>
      <c r="D757">
        <v>-0.83203873745805745</v>
      </c>
    </row>
    <row r="758" spans="1:4">
      <c r="A758">
        <v>2.4466483873050174E-2</v>
      </c>
      <c r="B758">
        <v>0.6288236313412906</v>
      </c>
      <c r="C758">
        <v>1.4969448902368998</v>
      </c>
      <c r="D758">
        <v>-0.8317922583443168</v>
      </c>
    </row>
    <row r="759" spans="1:4">
      <c r="A759">
        <v>6.054145706433519E-2</v>
      </c>
      <c r="B759">
        <v>0.6587309750727246</v>
      </c>
      <c r="C759">
        <v>3.1875966630735344</v>
      </c>
      <c r="D759">
        <v>-0.83042038552727238</v>
      </c>
    </row>
    <row r="760" spans="1:4">
      <c r="A760">
        <v>8.6973325067029525E-2</v>
      </c>
      <c r="B760">
        <v>0.67862865240460879</v>
      </c>
      <c r="C760">
        <v>1.1139185198577715</v>
      </c>
      <c r="D760">
        <v>-0.82765231817479323</v>
      </c>
    </row>
    <row r="761" spans="1:4">
      <c r="A761">
        <v>3.6630690813607751E-2</v>
      </c>
      <c r="B761">
        <v>0.64063887709001033</v>
      </c>
      <c r="C761">
        <v>0.51159659015762704</v>
      </c>
      <c r="D761">
        <v>-0.81524289560880658</v>
      </c>
    </row>
    <row r="762" spans="1:4">
      <c r="A762">
        <v>6.1722270953691663E-2</v>
      </c>
      <c r="B762">
        <v>0.66543056773842291</v>
      </c>
      <c r="C762">
        <v>5.0003490096850189</v>
      </c>
      <c r="D762">
        <v>-0.80479737922134198</v>
      </c>
    </row>
    <row r="763" spans="1:4">
      <c r="A763">
        <v>1.9703220154245287E-2</v>
      </c>
      <c r="B763">
        <v>0.63084522227515483</v>
      </c>
      <c r="C763">
        <v>1.4264069875182555</v>
      </c>
      <c r="D763">
        <v>-0.79855235167579364</v>
      </c>
    </row>
    <row r="764" spans="1:4">
      <c r="A764">
        <v>3.3500085513938772E-2</v>
      </c>
      <c r="B764">
        <v>0.64216692320848301</v>
      </c>
      <c r="C764">
        <v>1.435348558492576</v>
      </c>
      <c r="D764">
        <v>-0.79614031675834118</v>
      </c>
    </row>
    <row r="765" spans="1:4">
      <c r="A765">
        <v>-7.4671523797553386E-3</v>
      </c>
      <c r="B765">
        <v>0.61031820012757687</v>
      </c>
      <c r="C765">
        <v>1.9114214053953473</v>
      </c>
      <c r="D765">
        <v>-0.79522975918549399</v>
      </c>
    </row>
    <row r="766" spans="1:4">
      <c r="A766">
        <v>4.8444879407329521E-2</v>
      </c>
      <c r="B766">
        <v>0.65345437300514553</v>
      </c>
      <c r="C766">
        <v>0.40629678165529531</v>
      </c>
      <c r="D766">
        <v>-0.79493721833027398</v>
      </c>
    </row>
    <row r="767" spans="1:4">
      <c r="A767">
        <v>4.9259308707473269E-2</v>
      </c>
      <c r="B767">
        <v>0.6552570368584405</v>
      </c>
      <c r="C767">
        <v>1.4590172533731891</v>
      </c>
      <c r="D767">
        <v>-0.7925378481040114</v>
      </c>
    </row>
    <row r="768" spans="1:4">
      <c r="A768">
        <v>4.3219114764718264E-2</v>
      </c>
      <c r="B768">
        <v>0.65185679057880042</v>
      </c>
      <c r="C768">
        <v>1.1591923705332119</v>
      </c>
      <c r="D768">
        <v>-0.78353907962420222</v>
      </c>
    </row>
    <row r="769" spans="1:4">
      <c r="A769">
        <v>9.0014070605036023E-2</v>
      </c>
      <c r="B769">
        <v>0.68968645651763028</v>
      </c>
      <c r="C769">
        <v>1.3274413390120705</v>
      </c>
      <c r="D769">
        <v>-0.77916028092821721</v>
      </c>
    </row>
    <row r="770" spans="1:4">
      <c r="A770">
        <v>2.8630540053496707E-2</v>
      </c>
      <c r="B770">
        <v>0.64193174769984895</v>
      </c>
      <c r="C770">
        <v>0.96116525604238656</v>
      </c>
      <c r="D770">
        <v>-0.77367112937576543</v>
      </c>
    </row>
    <row r="771" spans="1:4">
      <c r="A771">
        <v>2.2710926958425619E-2</v>
      </c>
      <c r="B771">
        <v>0.63793789302171644</v>
      </c>
      <c r="C771">
        <v>1.4952395374663157</v>
      </c>
      <c r="D771">
        <v>-0.77193413923899656</v>
      </c>
    </row>
    <row r="772" spans="1:4">
      <c r="A772">
        <v>1.1954196552158047E-2</v>
      </c>
      <c r="B772">
        <v>0.62964011576695611</v>
      </c>
      <c r="C772">
        <v>1.4210009982444667</v>
      </c>
      <c r="D772">
        <v>-0.77052922860603867</v>
      </c>
    </row>
    <row r="773" spans="1:4">
      <c r="A773">
        <v>5.6953497218085354E-2</v>
      </c>
      <c r="B773">
        <v>0.66597682919753209</v>
      </c>
      <c r="C773">
        <v>1.3167891267098424</v>
      </c>
      <c r="D773">
        <v>-0.76548996756229037</v>
      </c>
    </row>
    <row r="774" spans="1:4">
      <c r="A774">
        <v>5.8690336244909703E-3</v>
      </c>
      <c r="B774">
        <v>0.6259070775610216</v>
      </c>
      <c r="C774">
        <v>1.0214093264248705</v>
      </c>
      <c r="D774">
        <v>-0.76282594651808577</v>
      </c>
    </row>
    <row r="775" spans="1:4">
      <c r="A775">
        <v>3.0240123369483392E-2</v>
      </c>
      <c r="B775">
        <v>0.64747078871607222</v>
      </c>
      <c r="C775">
        <v>1.1657179594608262</v>
      </c>
      <c r="D775">
        <v>-0.75015993131890679</v>
      </c>
    </row>
    <row r="776" spans="1:4">
      <c r="A776">
        <v>2.0859241919133863E-2</v>
      </c>
      <c r="B776">
        <v>0.64103501969923393</v>
      </c>
      <c r="C776">
        <v>1.2224647193961273</v>
      </c>
      <c r="D776">
        <v>-0.74485683522805379</v>
      </c>
    </row>
    <row r="777" spans="1:4">
      <c r="A777">
        <v>1.918451260763538E-2</v>
      </c>
      <c r="B777">
        <v>0.64028452652535139</v>
      </c>
      <c r="C777">
        <v>1.2200672115368929</v>
      </c>
      <c r="D777">
        <v>-0.74158877438600346</v>
      </c>
    </row>
    <row r="778" spans="1:4">
      <c r="A778">
        <v>5.4505709590090261E-2</v>
      </c>
      <c r="B778">
        <v>0.6716015041193083</v>
      </c>
      <c r="C778">
        <v>1.4254367607620642</v>
      </c>
      <c r="D778">
        <v>-0.72284886671839677</v>
      </c>
    </row>
    <row r="779" spans="1:4">
      <c r="A779">
        <v>7.0585888732113437E-3</v>
      </c>
      <c r="B779">
        <v>0.63418213695607739</v>
      </c>
      <c r="C779">
        <v>1.0452552103373502</v>
      </c>
      <c r="D779">
        <v>-0.72110649012115935</v>
      </c>
    </row>
    <row r="780" spans="1:4">
      <c r="A780">
        <v>5.3595184089886786E-3</v>
      </c>
      <c r="B780">
        <v>0.63301176222879407</v>
      </c>
      <c r="C780">
        <v>0.97977726939180743</v>
      </c>
      <c r="D780">
        <v>-0.71986989721388994</v>
      </c>
    </row>
    <row r="781" spans="1:4">
      <c r="A781">
        <v>5.8179884475868263E-2</v>
      </c>
      <c r="B781">
        <v>0.682418970773498</v>
      </c>
      <c r="C781">
        <v>10.16477688830526</v>
      </c>
      <c r="D781">
        <v>-0.71268045428568905</v>
      </c>
    </row>
    <row r="782" spans="1:4">
      <c r="A782">
        <v>7.0160586466446934E-2</v>
      </c>
      <c r="B782">
        <v>0.6864456749169342</v>
      </c>
      <c r="C782">
        <v>1.2036347282022006</v>
      </c>
      <c r="D782">
        <v>-0.70779683098529456</v>
      </c>
    </row>
    <row r="783" spans="1:4">
      <c r="A783">
        <v>4.106189589147928E-2</v>
      </c>
      <c r="B783">
        <v>0.66360440203190274</v>
      </c>
      <c r="C783">
        <v>1.1147355539330117</v>
      </c>
      <c r="D783">
        <v>-0.70669238214554253</v>
      </c>
    </row>
    <row r="784" spans="1:4">
      <c r="A784">
        <v>4.0899468294604169E-2</v>
      </c>
      <c r="B784">
        <v>0.66389326506498625</v>
      </c>
      <c r="C784">
        <v>1.1363630876522537</v>
      </c>
      <c r="D784">
        <v>-0.70440144880590627</v>
      </c>
    </row>
    <row r="785" spans="1:4">
      <c r="A785">
        <v>3.9933342578250777E-2</v>
      </c>
      <c r="B785">
        <v>0.66404048333681975</v>
      </c>
      <c r="C785">
        <v>1.8626176501848157</v>
      </c>
      <c r="D785">
        <v>-0.70211975718299469</v>
      </c>
    </row>
    <row r="786" spans="1:4">
      <c r="A786">
        <v>5.9743529562378652E-4</v>
      </c>
      <c r="B786">
        <v>0.63281199991465209</v>
      </c>
      <c r="C786">
        <v>1.2781374334075124</v>
      </c>
      <c r="D786">
        <v>-0.70077260905041994</v>
      </c>
    </row>
    <row r="787" spans="1:4">
      <c r="A787">
        <v>2.3371710773202842E-2</v>
      </c>
      <c r="B787">
        <v>0.65095042955713334</v>
      </c>
      <c r="C787">
        <v>0.63481603514552443</v>
      </c>
      <c r="D787">
        <v>-0.6972945141443343</v>
      </c>
    </row>
    <row r="788" spans="1:4">
      <c r="A788">
        <v>5.5535542747358309E-3</v>
      </c>
      <c r="B788">
        <v>0.63790826128722378</v>
      </c>
      <c r="C788">
        <v>1.1054061784897027</v>
      </c>
      <c r="D788">
        <v>-0.69333552961309386</v>
      </c>
    </row>
    <row r="789" spans="1:4">
      <c r="A789">
        <v>4.2983184852043888E-2</v>
      </c>
      <c r="B789">
        <v>0.66910156884089111</v>
      </c>
      <c r="C789">
        <v>0.78711957588847437</v>
      </c>
      <c r="D789">
        <v>-0.682693867744672</v>
      </c>
    </row>
    <row r="790" spans="1:4">
      <c r="A790">
        <v>-7.9862025176481513E-2</v>
      </c>
      <c r="B790">
        <v>0.57216176014211273</v>
      </c>
      <c r="C790">
        <v>0.58996938957257239</v>
      </c>
      <c r="D790">
        <v>-0.68165873145408096</v>
      </c>
    </row>
    <row r="791" spans="1:4">
      <c r="A791">
        <v>2.335034049911406E-2</v>
      </c>
      <c r="B791">
        <v>0.65397604764852801</v>
      </c>
      <c r="C791">
        <v>1.0531439841168284</v>
      </c>
      <c r="D791">
        <v>-0.68162563658587016</v>
      </c>
    </row>
    <row r="792" spans="1:4">
      <c r="A792">
        <v>6.2611289141904308E-2</v>
      </c>
      <c r="B792">
        <v>0.68707033258889894</v>
      </c>
      <c r="C792">
        <v>3.3698446017411117</v>
      </c>
      <c r="D792">
        <v>-0.67892928378880968</v>
      </c>
    </row>
    <row r="793" spans="1:4">
      <c r="A793">
        <v>5.6788510105382592E-2</v>
      </c>
      <c r="B793">
        <v>0.68163605889134526</v>
      </c>
      <c r="C793">
        <v>0.97501768815920187</v>
      </c>
      <c r="D793">
        <v>-0.6741228305461896</v>
      </c>
    </row>
    <row r="794" spans="1:4">
      <c r="A794">
        <v>1.760077123492132E-2</v>
      </c>
      <c r="B794">
        <v>0.65096815091157922</v>
      </c>
      <c r="C794">
        <v>1.2842807642935048</v>
      </c>
      <c r="D794">
        <v>-0.67382213341831798</v>
      </c>
    </row>
    <row r="795" spans="1:4">
      <c r="A795">
        <v>4.3141849000714126E-2</v>
      </c>
      <c r="B795">
        <v>0.67107500311676149</v>
      </c>
      <c r="C795">
        <v>0.92535718825255164</v>
      </c>
      <c r="D795">
        <v>-0.67271223149068304</v>
      </c>
    </row>
    <row r="796" spans="1:4">
      <c r="A796">
        <v>3.605216057274354E-2</v>
      </c>
      <c r="B796">
        <v>0.66703380996400685</v>
      </c>
      <c r="C796">
        <v>1.3758919620215841</v>
      </c>
      <c r="D796">
        <v>-0.66564557363059329</v>
      </c>
    </row>
    <row r="797" spans="1:4">
      <c r="A797">
        <v>3.5909768286124057E-2</v>
      </c>
      <c r="B797">
        <v>0.66684967730369304</v>
      </c>
      <c r="C797">
        <v>1.1650577619649785</v>
      </c>
      <c r="D797">
        <v>-0.66521102770436757</v>
      </c>
    </row>
    <row r="798" spans="1:4">
      <c r="A798">
        <v>2.1649779795158516E-2</v>
      </c>
      <c r="B798">
        <v>0.65582309867468935</v>
      </c>
      <c r="C798">
        <v>1.2394242661100983</v>
      </c>
      <c r="D798">
        <v>-0.6641900436969238</v>
      </c>
    </row>
    <row r="799" spans="1:4">
      <c r="A799">
        <v>2.5198577288894446E-2</v>
      </c>
      <c r="B799">
        <v>0.65863456097089812</v>
      </c>
      <c r="C799">
        <v>0.67315893801057181</v>
      </c>
      <c r="D799">
        <v>-0.66186923601794767</v>
      </c>
    </row>
    <row r="800" spans="1:4">
      <c r="A800">
        <v>2.9286521455776052E-2</v>
      </c>
      <c r="B800">
        <v>0.66260829531662002</v>
      </c>
      <c r="C800">
        <v>0.85275332235391921</v>
      </c>
      <c r="D800">
        <v>-0.6583330765356733</v>
      </c>
    </row>
    <row r="801" spans="1:4">
      <c r="A801">
        <v>7.4578708587154499E-2</v>
      </c>
      <c r="B801">
        <v>0.69996970570737171</v>
      </c>
      <c r="C801">
        <v>1.2668106461339426</v>
      </c>
      <c r="D801">
        <v>-0.65084410869471188</v>
      </c>
    </row>
    <row r="802" spans="1:4">
      <c r="A802">
        <v>7.5475154183541435E-2</v>
      </c>
      <c r="B802">
        <v>0.70056968087787996</v>
      </c>
      <c r="C802">
        <v>1.0807442946591186</v>
      </c>
      <c r="D802">
        <v>-0.65071399000065677</v>
      </c>
    </row>
    <row r="803" spans="1:4">
      <c r="A803">
        <v>-1.7643403366139766E-2</v>
      </c>
      <c r="B803">
        <v>0.62750313987806328</v>
      </c>
      <c r="C803">
        <v>1.1019421446858115</v>
      </c>
      <c r="D803">
        <v>-0.6482445561261535</v>
      </c>
    </row>
    <row r="804" spans="1:4">
      <c r="A804">
        <v>4.7388220476616623E-2</v>
      </c>
      <c r="B804">
        <v>0.67919939677173446</v>
      </c>
      <c r="C804">
        <v>1.3434705198974366</v>
      </c>
      <c r="D804">
        <v>-0.64718431262547804</v>
      </c>
    </row>
    <row r="805" spans="1:4">
      <c r="A805">
        <v>9.0344521981604836E-2</v>
      </c>
      <c r="B805">
        <v>0.71341448916140981</v>
      </c>
      <c r="C805">
        <v>1.038424720382908</v>
      </c>
      <c r="D805">
        <v>-0.64424145957871715</v>
      </c>
    </row>
    <row r="806" spans="1:4">
      <c r="A806">
        <v>2.7232843623931288E-2</v>
      </c>
      <c r="B806">
        <v>0.66501033268044196</v>
      </c>
      <c r="C806">
        <v>1.2972380187556176</v>
      </c>
      <c r="D806">
        <v>-0.63717785210419386</v>
      </c>
    </row>
    <row r="807" spans="1:4">
      <c r="A807">
        <v>2.0361737684207157E-2</v>
      </c>
      <c r="B807">
        <v>0.65958756786579553</v>
      </c>
      <c r="C807">
        <v>1.1049839480072039</v>
      </c>
      <c r="D807">
        <v>-0.63639861853592683</v>
      </c>
    </row>
    <row r="808" spans="1:4">
      <c r="A808">
        <v>5.5693069306930687E-2</v>
      </c>
      <c r="B808">
        <v>0.68829948688299492</v>
      </c>
      <c r="C808">
        <v>1.4810633420217942</v>
      </c>
      <c r="D808">
        <v>-0.63323599001620412</v>
      </c>
    </row>
    <row r="809" spans="1:4">
      <c r="A809">
        <v>4.6048754937692326E-3</v>
      </c>
      <c r="B809">
        <v>0.64802164946203711</v>
      </c>
      <c r="C809">
        <v>1.1969217297588575</v>
      </c>
      <c r="D809">
        <v>-0.63178622470738521</v>
      </c>
    </row>
    <row r="810" spans="1:4">
      <c r="A810">
        <v>3.5773390257871129E-2</v>
      </c>
      <c r="B810">
        <v>0.67250222206520049</v>
      </c>
      <c r="C810">
        <v>0.98589941349229182</v>
      </c>
      <c r="D810">
        <v>-0.63166118804274618</v>
      </c>
    </row>
    <row r="811" spans="1:4">
      <c r="A811">
        <v>2.8998167158734888E-2</v>
      </c>
      <c r="B811">
        <v>0.66816792618073806</v>
      </c>
      <c r="C811">
        <v>0.9934234133631118</v>
      </c>
      <c r="D811">
        <v>-0.62590826663755217</v>
      </c>
    </row>
    <row r="812" spans="1:4">
      <c r="A812">
        <v>9.6591857856900623E-3</v>
      </c>
      <c r="B812">
        <v>0.65366520542859829</v>
      </c>
      <c r="C812">
        <v>0.90756517830133088</v>
      </c>
      <c r="D812">
        <v>-0.62120492580579989</v>
      </c>
    </row>
    <row r="813" spans="1:4">
      <c r="A813">
        <v>2.3775001317773898E-2</v>
      </c>
      <c r="B813">
        <v>0.66552223576273151</v>
      </c>
      <c r="C813">
        <v>1.0347520369044283</v>
      </c>
      <c r="D813">
        <v>-0.6176497702300302</v>
      </c>
    </row>
    <row r="814" spans="1:4">
      <c r="A814">
        <v>6.1902401019902263E-2</v>
      </c>
      <c r="B814">
        <v>0.69573749182370026</v>
      </c>
      <c r="C814">
        <v>1.0791215515841794</v>
      </c>
      <c r="D814">
        <v>-0.61717358740080508</v>
      </c>
    </row>
    <row r="815" spans="1:4">
      <c r="A815">
        <v>2.8296188129993328E-2</v>
      </c>
      <c r="B815">
        <v>0.66920721298042329</v>
      </c>
      <c r="C815">
        <v>0.93135290127643833</v>
      </c>
      <c r="D815">
        <v>-0.61657714420166299</v>
      </c>
    </row>
    <row r="816" spans="1:4">
      <c r="A816">
        <v>8.4718727743599779E-4</v>
      </c>
      <c r="B816">
        <v>0.6481529898617221</v>
      </c>
      <c r="C816">
        <v>0.56745710777616254</v>
      </c>
      <c r="D816">
        <v>-0.61161012896775091</v>
      </c>
    </row>
    <row r="817" spans="1:4">
      <c r="A817">
        <v>2.0671086409722279E-2</v>
      </c>
      <c r="B817">
        <v>0.66452162187859243</v>
      </c>
      <c r="C817">
        <v>1.4607682876992234</v>
      </c>
      <c r="D817">
        <v>-0.61108971728657024</v>
      </c>
    </row>
    <row r="818" spans="1:4">
      <c r="A818">
        <v>0.10006382804050984</v>
      </c>
      <c r="B818">
        <v>0.72783300868852518</v>
      </c>
      <c r="C818">
        <v>1.31603230555614</v>
      </c>
      <c r="D818">
        <v>-0.60690320587992563</v>
      </c>
    </row>
    <row r="819" spans="1:4">
      <c r="A819">
        <v>5.1095292598282549E-2</v>
      </c>
      <c r="B819">
        <v>0.68989050134348551</v>
      </c>
      <c r="C819">
        <v>1.2145815326995102</v>
      </c>
      <c r="D819">
        <v>-0.60241128516520182</v>
      </c>
    </row>
    <row r="820" spans="1:4">
      <c r="A820">
        <v>1.2969888242796309E-4</v>
      </c>
      <c r="B820">
        <v>0.65058435166355444</v>
      </c>
      <c r="C820">
        <v>0.49996498370219705</v>
      </c>
      <c r="D820">
        <v>-0.59425270042347433</v>
      </c>
    </row>
    <row r="821" spans="1:4">
      <c r="A821">
        <v>1.6117783222354163E-2</v>
      </c>
      <c r="B821">
        <v>0.66401268619699683</v>
      </c>
      <c r="C821">
        <v>1.0946017734198459</v>
      </c>
      <c r="D821">
        <v>-0.59203612027139108</v>
      </c>
    </row>
    <row r="822" spans="1:4">
      <c r="A822">
        <v>0.10005241078507357</v>
      </c>
      <c r="B822">
        <v>0.73140805127373743</v>
      </c>
      <c r="C822">
        <v>1.1471597862262664</v>
      </c>
      <c r="D822">
        <v>-0.58579859541743229</v>
      </c>
    </row>
    <row r="823" spans="1:4">
      <c r="A823">
        <v>5.0432047779401488E-3</v>
      </c>
      <c r="B823">
        <v>0.65840825338331532</v>
      </c>
      <c r="C823">
        <v>1.7615224723995868</v>
      </c>
      <c r="D823">
        <v>-0.57681346710543124</v>
      </c>
    </row>
    <row r="824" spans="1:4">
      <c r="A824">
        <v>5.9325502484365439E-2</v>
      </c>
      <c r="B824">
        <v>0.70177303782912415</v>
      </c>
      <c r="C824">
        <v>2.2238407219189469</v>
      </c>
      <c r="D824">
        <v>-0.5757538084413123</v>
      </c>
    </row>
    <row r="825" spans="1:4">
      <c r="A825">
        <v>3.0910161093999119E-2</v>
      </c>
      <c r="B825">
        <v>0.67928636329868397</v>
      </c>
      <c r="C825">
        <v>1.0449623614046797</v>
      </c>
      <c r="D825">
        <v>-0.57134330356611618</v>
      </c>
    </row>
    <row r="826" spans="1:4">
      <c r="A826">
        <v>2.225147020402932E-2</v>
      </c>
      <c r="B826">
        <v>0.67329675692462387</v>
      </c>
      <c r="C826">
        <v>1.1723200788137176</v>
      </c>
      <c r="D826">
        <v>-0.56702938176303019</v>
      </c>
    </row>
    <row r="827" spans="1:4">
      <c r="A827">
        <v>6.9538893994269949E-2</v>
      </c>
      <c r="B827">
        <v>0.71099666321029631</v>
      </c>
      <c r="C827">
        <v>1.1029593849432022</v>
      </c>
      <c r="D827">
        <v>-0.56465588021529811</v>
      </c>
    </row>
    <row r="828" spans="1:4">
      <c r="A828">
        <v>2.5677115798363261E-2</v>
      </c>
      <c r="B828">
        <v>0.67684937566605674</v>
      </c>
      <c r="C828">
        <v>0.99669040037210632</v>
      </c>
      <c r="D828">
        <v>-0.56149234139759951</v>
      </c>
    </row>
    <row r="829" spans="1:4">
      <c r="A829">
        <v>5.0830902292543494E-2</v>
      </c>
      <c r="B829">
        <v>0.69891838388647998</v>
      </c>
      <c r="C829">
        <v>1.1547997226549696</v>
      </c>
      <c r="D829">
        <v>-0.54952347105412969</v>
      </c>
    </row>
    <row r="830" spans="1:4">
      <c r="A830">
        <v>3.2479107007188354E-2</v>
      </c>
      <c r="B830">
        <v>0.68469113435801521</v>
      </c>
      <c r="C830">
        <v>1.3385826771653542</v>
      </c>
      <c r="D830">
        <v>-0.54877084640032159</v>
      </c>
    </row>
    <row r="831" spans="1:4">
      <c r="A831">
        <v>3.2795287580873994E-2</v>
      </c>
      <c r="B831">
        <v>0.68496467914100856</v>
      </c>
      <c r="C831">
        <v>0.71880141796535357</v>
      </c>
      <c r="D831">
        <v>-0.54615532868204542</v>
      </c>
    </row>
    <row r="832" spans="1:4">
      <c r="A832">
        <v>7.0032997167659879E-3</v>
      </c>
      <c r="B832">
        <v>0.66477071312440728</v>
      </c>
      <c r="C832">
        <v>0.71213449288475439</v>
      </c>
      <c r="D832">
        <v>-0.54517032188786407</v>
      </c>
    </row>
    <row r="833" spans="1:4">
      <c r="A833">
        <v>3.1811136118259482E-2</v>
      </c>
      <c r="B833">
        <v>0.68453075733293955</v>
      </c>
      <c r="C833">
        <v>0.90833120144773194</v>
      </c>
      <c r="D833">
        <v>-0.54495812054020298</v>
      </c>
    </row>
    <row r="834" spans="1:4">
      <c r="A834">
        <v>3.0635893832589134E-2</v>
      </c>
      <c r="B834">
        <v>0.68373319884856865</v>
      </c>
      <c r="C834">
        <v>0.82246104035419632</v>
      </c>
      <c r="D834">
        <v>-0.54387213297122627</v>
      </c>
    </row>
    <row r="835" spans="1:4">
      <c r="A835">
        <v>2.4020153695989883E-2</v>
      </c>
      <c r="B835">
        <v>0.67845850345747238</v>
      </c>
      <c r="C835">
        <v>0.4946863560289308</v>
      </c>
      <c r="D835">
        <v>-0.54285596734847685</v>
      </c>
    </row>
    <row r="836" spans="1:4">
      <c r="A836">
        <v>2.2726856961662531E-2</v>
      </c>
      <c r="B836">
        <v>0.67940618692489219</v>
      </c>
      <c r="C836">
        <v>0.8009113929959274</v>
      </c>
      <c r="D836">
        <v>-0.53285923642757971</v>
      </c>
    </row>
    <row r="837" spans="1:4">
      <c r="A837">
        <v>-7.1212291129303584E-3</v>
      </c>
      <c r="B837">
        <v>0.65614369556278274</v>
      </c>
      <c r="C837">
        <v>0.85812147967727204</v>
      </c>
      <c r="D837">
        <v>-0.53136789020266051</v>
      </c>
    </row>
    <row r="838" spans="1:4">
      <c r="A838">
        <v>1.8554142980981052E-2</v>
      </c>
      <c r="B838">
        <v>0.67820531060096623</v>
      </c>
      <c r="C838">
        <v>0.64793981368772757</v>
      </c>
      <c r="D838">
        <v>-0.52031513224365789</v>
      </c>
    </row>
    <row r="839" spans="1:4">
      <c r="A839">
        <v>1.3744417616040998E-2</v>
      </c>
      <c r="B839">
        <v>0.67480690624949224</v>
      </c>
      <c r="C839">
        <v>1.0067323182793146</v>
      </c>
      <c r="D839">
        <v>-0.51947744292319564</v>
      </c>
    </row>
    <row r="840" spans="1:4">
      <c r="A840">
        <v>-1.720266990291262E-2</v>
      </c>
      <c r="B840">
        <v>0.65057645631067962</v>
      </c>
      <c r="C840">
        <v>1.1492339701153773</v>
      </c>
      <c r="D840">
        <v>-0.51889912034648022</v>
      </c>
    </row>
    <row r="841" spans="1:4">
      <c r="A841">
        <v>3.5419808358214969E-2</v>
      </c>
      <c r="B841">
        <v>0.69204649647514804</v>
      </c>
      <c r="C841">
        <v>0.81184430383214179</v>
      </c>
      <c r="D841">
        <v>-0.51797148491895162</v>
      </c>
    </row>
    <row r="842" spans="1:4">
      <c r="A842">
        <v>2.9110110171039018E-2</v>
      </c>
      <c r="B842">
        <v>0.6874277192768885</v>
      </c>
      <c r="C842">
        <v>1.2766027759418375</v>
      </c>
      <c r="D842">
        <v>-0.51776390699517783</v>
      </c>
    </row>
    <row r="843" spans="1:4">
      <c r="A843">
        <v>3.3988975749604688E-2</v>
      </c>
      <c r="B843">
        <v>0.6913357667469594</v>
      </c>
      <c r="C843">
        <v>1.249612334411413</v>
      </c>
      <c r="D843">
        <v>-0.51733496975319848</v>
      </c>
    </row>
    <row r="844" spans="1:4">
      <c r="A844">
        <v>2.3931767808545855E-2</v>
      </c>
      <c r="B844">
        <v>0.68358162893134689</v>
      </c>
      <c r="C844">
        <v>1.1297381688640469</v>
      </c>
      <c r="D844">
        <v>-0.5157966229052352</v>
      </c>
    </row>
    <row r="845" spans="1:4">
      <c r="A845">
        <v>-0.10499778999497003</v>
      </c>
      <c r="B845">
        <v>0.58171198286633996</v>
      </c>
      <c r="C845">
        <v>0.48937753935005279</v>
      </c>
      <c r="D845">
        <v>-0.51370915284189722</v>
      </c>
    </row>
    <row r="846" spans="1:4">
      <c r="A846">
        <v>2.2386077099830811E-2</v>
      </c>
      <c r="B846">
        <v>0.68279166453044227</v>
      </c>
      <c r="C846">
        <v>1.2153648890811344</v>
      </c>
      <c r="D846">
        <v>-0.51368631868204195</v>
      </c>
    </row>
    <row r="847" spans="1:4">
      <c r="A847">
        <v>2.603884527878185E-2</v>
      </c>
      <c r="B847">
        <v>0.68612049521820928</v>
      </c>
      <c r="C847">
        <v>0.85498078529657484</v>
      </c>
      <c r="D847">
        <v>-0.50970790415191136</v>
      </c>
    </row>
    <row r="848" spans="1:4">
      <c r="A848">
        <v>8.3477189574789917E-2</v>
      </c>
      <c r="B848">
        <v>0.73191571804342259</v>
      </c>
      <c r="C848">
        <v>1.2665392566542313</v>
      </c>
      <c r="D848">
        <v>-0.50879391726566248</v>
      </c>
    </row>
    <row r="849" spans="1:4">
      <c r="A849">
        <v>3.5024631168930356E-2</v>
      </c>
      <c r="B849">
        <v>0.69359335022085311</v>
      </c>
      <c r="C849">
        <v>0.6641459827413414</v>
      </c>
      <c r="D849">
        <v>-0.50678532793228914</v>
      </c>
    </row>
    <row r="850" spans="1:4">
      <c r="A850">
        <v>3.319901256080738E-2</v>
      </c>
      <c r="B850">
        <v>0.69409351630000726</v>
      </c>
      <c r="C850">
        <v>1.3278328408169671</v>
      </c>
      <c r="D850">
        <v>-0.49837384497685966</v>
      </c>
    </row>
    <row r="851" spans="1:4">
      <c r="A851">
        <v>-2.1489573899785633E-2</v>
      </c>
      <c r="B851">
        <v>0.6503328524100479</v>
      </c>
      <c r="C851">
        <v>0.49068015105332097</v>
      </c>
      <c r="D851">
        <v>-0.49836237931790511</v>
      </c>
    </row>
    <row r="852" spans="1:4">
      <c r="A852">
        <v>2.3146916080748078E-2</v>
      </c>
      <c r="B852">
        <v>0.68635359890461489</v>
      </c>
      <c r="C852">
        <v>1.2375719986237037</v>
      </c>
      <c r="D852">
        <v>-0.49689589660155586</v>
      </c>
    </row>
    <row r="853" spans="1:4">
      <c r="A853">
        <v>3.6080095491728262E-2</v>
      </c>
      <c r="B853">
        <v>0.69743839240367866</v>
      </c>
      <c r="C853">
        <v>1.2067833102058942</v>
      </c>
      <c r="D853">
        <v>-0.49178872625263165</v>
      </c>
    </row>
    <row r="854" spans="1:4">
      <c r="A854">
        <v>4.894822006472492E-2</v>
      </c>
      <c r="B854">
        <v>0.70826072525101658</v>
      </c>
      <c r="C854">
        <v>0.93341385511447517</v>
      </c>
      <c r="D854">
        <v>-0.48691451178092482</v>
      </c>
    </row>
    <row r="855" spans="1:4">
      <c r="A855">
        <v>1.0758649561872547E-2</v>
      </c>
      <c r="B855">
        <v>0.67845796973598593</v>
      </c>
      <c r="C855">
        <v>0.98103799486368881</v>
      </c>
      <c r="D855">
        <v>-0.485127647512761</v>
      </c>
    </row>
    <row r="856" spans="1:4">
      <c r="A856">
        <v>3.3613374302364503E-2</v>
      </c>
      <c r="B856">
        <v>0.69740592568784832</v>
      </c>
      <c r="C856">
        <v>1.5154751854616046</v>
      </c>
      <c r="D856">
        <v>-0.48210830868175114</v>
      </c>
    </row>
    <row r="857" spans="1:4">
      <c r="A857">
        <v>1.6675270672597536E-3</v>
      </c>
      <c r="B857">
        <v>0.67203320910563125</v>
      </c>
      <c r="C857">
        <v>0.85357129795560105</v>
      </c>
      <c r="D857">
        <v>-0.48032886509239292</v>
      </c>
    </row>
    <row r="858" spans="1:4">
      <c r="A858">
        <v>5.706607357983505E-2</v>
      </c>
      <c r="B858">
        <v>0.71613381521638408</v>
      </c>
      <c r="C858">
        <v>1.0915168079661579</v>
      </c>
      <c r="D858">
        <v>-0.47920065160773273</v>
      </c>
    </row>
    <row r="859" spans="1:4">
      <c r="A859">
        <v>4.6600396541724556E-2</v>
      </c>
      <c r="B859">
        <v>0.70804278334524751</v>
      </c>
      <c r="C859">
        <v>1.1524496277049301</v>
      </c>
      <c r="D859">
        <v>-0.47846771788066994</v>
      </c>
    </row>
    <row r="860" spans="1:4">
      <c r="A860">
        <v>-6.2420617509179509E-2</v>
      </c>
      <c r="B860">
        <v>0.62251460637831102</v>
      </c>
      <c r="C860">
        <v>0.67554696592741292</v>
      </c>
      <c r="D860">
        <v>-0.47347615271602889</v>
      </c>
    </row>
    <row r="861" spans="1:4">
      <c r="A861">
        <v>1.6431975783543738E-2</v>
      </c>
      <c r="B861">
        <v>0.68549924447481547</v>
      </c>
      <c r="C861">
        <v>0.6690621870838831</v>
      </c>
      <c r="D861">
        <v>-0.46927444626783438</v>
      </c>
    </row>
    <row r="862" spans="1:4">
      <c r="A862">
        <v>1.2120557727053505E-2</v>
      </c>
      <c r="B862">
        <v>0.68344742695488803</v>
      </c>
      <c r="C862">
        <v>1.2215980257557475</v>
      </c>
      <c r="D862">
        <v>-0.46377856823190167</v>
      </c>
    </row>
    <row r="863" spans="1:4">
      <c r="A863">
        <v>4.8118409141674798E-2</v>
      </c>
      <c r="B863">
        <v>0.71168338016247168</v>
      </c>
      <c r="C863">
        <v>0.75616969654036548</v>
      </c>
      <c r="D863">
        <v>-0.46296225299760879</v>
      </c>
    </row>
    <row r="864" spans="1:4">
      <c r="A864">
        <v>7.3789570678067504E-2</v>
      </c>
      <c r="B864">
        <v>0.73325356239819384</v>
      </c>
      <c r="C864">
        <v>0.96939295203382236</v>
      </c>
      <c r="D864">
        <v>-0.45638533418973382</v>
      </c>
    </row>
    <row r="865" spans="1:4">
      <c r="A865">
        <v>1.8540301954393879E-2</v>
      </c>
      <c r="B865">
        <v>0.69044818320149359</v>
      </c>
      <c r="C865">
        <v>1.1265418269433995</v>
      </c>
      <c r="D865">
        <v>-0.45238288185403258</v>
      </c>
    </row>
    <row r="866" spans="1:4">
      <c r="A866">
        <v>4.9083590403406242E-2</v>
      </c>
      <c r="B866">
        <v>0.71441194251964835</v>
      </c>
      <c r="C866">
        <v>0.61992369648155998</v>
      </c>
      <c r="D866">
        <v>-0.45120777923925859</v>
      </c>
    </row>
    <row r="867" spans="1:4">
      <c r="A867">
        <v>2.4615706111210132E-2</v>
      </c>
      <c r="B867">
        <v>0.69558884087989625</v>
      </c>
      <c r="C867">
        <v>0.64148454081339989</v>
      </c>
      <c r="D867">
        <v>-0.44848022264829018</v>
      </c>
    </row>
    <row r="868" spans="1:4">
      <c r="A868">
        <v>4.4214110963467168E-2</v>
      </c>
      <c r="B868">
        <v>0.71585789728672433</v>
      </c>
      <c r="C868">
        <v>7.2721309351985504</v>
      </c>
      <c r="D868">
        <v>-0.44766200854206739</v>
      </c>
    </row>
    <row r="869" spans="1:4">
      <c r="A869">
        <v>7.3942343691501308E-4</v>
      </c>
      <c r="B869">
        <v>0.6780606514414077</v>
      </c>
      <c r="C869">
        <v>1.206228259069074</v>
      </c>
      <c r="D869">
        <v>-0.44320660528636924</v>
      </c>
    </row>
    <row r="870" spans="1:4">
      <c r="A870">
        <v>4.9722295688971165E-2</v>
      </c>
      <c r="B870">
        <v>0.71696494166740143</v>
      </c>
      <c r="C870">
        <v>1.1833994202125886</v>
      </c>
      <c r="D870">
        <v>-0.44178376077703152</v>
      </c>
    </row>
    <row r="871" spans="1:4">
      <c r="A871">
        <v>6.7139531324262716E-2</v>
      </c>
      <c r="B871">
        <v>0.73076923076923084</v>
      </c>
      <c r="C871">
        <v>1.0206201603982301</v>
      </c>
      <c r="D871">
        <v>-0.44082575621615955</v>
      </c>
    </row>
    <row r="872" spans="1:4">
      <c r="A872">
        <v>3.1548525789780901E-2</v>
      </c>
      <c r="B872">
        <v>0.70340684215771421</v>
      </c>
      <c r="C872">
        <v>1.1331505708435994</v>
      </c>
      <c r="D872">
        <v>-0.43708196803841737</v>
      </c>
    </row>
    <row r="873" spans="1:4">
      <c r="A873">
        <v>2.6091425419396633E-2</v>
      </c>
      <c r="B873">
        <v>0.70032984090027162</v>
      </c>
      <c r="C873">
        <v>1.4995215201986831</v>
      </c>
      <c r="D873">
        <v>-0.43152940733653128</v>
      </c>
    </row>
    <row r="874" spans="1:4">
      <c r="A874">
        <v>9.9942862607168299E-3</v>
      </c>
      <c r="B874">
        <v>0.68859526221115519</v>
      </c>
      <c r="C874">
        <v>1.0719617852433136</v>
      </c>
      <c r="D874">
        <v>-0.42426914071061378</v>
      </c>
    </row>
    <row r="875" spans="1:4">
      <c r="A875">
        <v>9.2769541904002082E-6</v>
      </c>
      <c r="B875">
        <v>0.68122530010946802</v>
      </c>
      <c r="C875">
        <v>1.2128091295348076</v>
      </c>
      <c r="D875">
        <v>-0.42190877218802747</v>
      </c>
    </row>
    <row r="876" spans="1:4">
      <c r="A876">
        <v>4.8595180855554128E-3</v>
      </c>
      <c r="B876">
        <v>0.68487273127672454</v>
      </c>
      <c r="C876">
        <v>0.93887030344686861</v>
      </c>
      <c r="D876">
        <v>-0.42184874432145675</v>
      </c>
    </row>
    <row r="877" spans="1:4">
      <c r="A877">
        <v>2.3588648643273837E-2</v>
      </c>
      <c r="B877">
        <v>0.70050950128186396</v>
      </c>
      <c r="C877">
        <v>0.60716587368603037</v>
      </c>
      <c r="D877">
        <v>-0.4156734250828511</v>
      </c>
    </row>
    <row r="878" spans="1:4">
      <c r="A878">
        <v>1.8672623687494391E-2</v>
      </c>
      <c r="B878">
        <v>0.69702243295390365</v>
      </c>
      <c r="C878">
        <v>0.82183326008445923</v>
      </c>
      <c r="D878">
        <v>-0.41428627179681149</v>
      </c>
    </row>
    <row r="879" spans="1:4">
      <c r="A879">
        <v>1.3680414902028868E-2</v>
      </c>
      <c r="B879">
        <v>0.69429728592965068</v>
      </c>
      <c r="C879">
        <v>1.0376380934300959</v>
      </c>
      <c r="D879">
        <v>-0.40821788963384059</v>
      </c>
    </row>
    <row r="880" spans="1:4">
      <c r="A880">
        <v>3.0747889803876202E-2</v>
      </c>
      <c r="B880">
        <v>0.70915431893705339</v>
      </c>
      <c r="C880">
        <v>1.7289903288815487</v>
      </c>
      <c r="D880">
        <v>-0.40310184749176436</v>
      </c>
    </row>
    <row r="881" spans="1:4">
      <c r="A881">
        <v>2.2360148930831381E-2</v>
      </c>
      <c r="B881">
        <v>0.70225199289111506</v>
      </c>
      <c r="C881">
        <v>0.98838461926538801</v>
      </c>
      <c r="D881">
        <v>-0.40173784918644656</v>
      </c>
    </row>
    <row r="882" spans="1:4">
      <c r="A882">
        <v>2.3257756870003341E-2</v>
      </c>
      <c r="B882">
        <v>0.70284825582889909</v>
      </c>
      <c r="C882">
        <v>0.23069652464737533</v>
      </c>
      <c r="D882">
        <v>-0.39934763378887933</v>
      </c>
    </row>
    <row r="883" spans="1:4">
      <c r="A883">
        <v>-3.5456353024180619E-2</v>
      </c>
      <c r="B883">
        <v>0.65723815021486764</v>
      </c>
      <c r="C883">
        <v>0.91382083176278428</v>
      </c>
      <c r="D883">
        <v>-0.39784423849349237</v>
      </c>
    </row>
    <row r="884" spans="1:4">
      <c r="A884">
        <v>-5.0286749386048442E-2</v>
      </c>
      <c r="B884">
        <v>0.64580186011212226</v>
      </c>
      <c r="C884">
        <v>1.1469441646320988</v>
      </c>
      <c r="D884">
        <v>-0.3972268017822137</v>
      </c>
    </row>
    <row r="885" spans="1:4">
      <c r="A885">
        <v>1.9112784627263905E-2</v>
      </c>
      <c r="B885">
        <v>0.70132172687547634</v>
      </c>
      <c r="C885">
        <v>1.0888043542713257</v>
      </c>
      <c r="D885">
        <v>-0.39282890504955742</v>
      </c>
    </row>
    <row r="886" spans="1:4">
      <c r="A886">
        <v>6.8273636220010378E-3</v>
      </c>
      <c r="B886">
        <v>0.69164578960435141</v>
      </c>
      <c r="C886">
        <v>0.95648646742069743</v>
      </c>
      <c r="D886">
        <v>-0.3921680814238846</v>
      </c>
    </row>
    <row r="887" spans="1:4">
      <c r="A887">
        <v>7.3853457708213568E-2</v>
      </c>
      <c r="B887">
        <v>0.74610277618085041</v>
      </c>
      <c r="C887">
        <v>1.237466965992686</v>
      </c>
      <c r="D887">
        <v>-0.38450460332008424</v>
      </c>
    </row>
    <row r="888" spans="1:4">
      <c r="A888">
        <v>3.0854632376894026E-2</v>
      </c>
      <c r="B888">
        <v>0.712517938739754</v>
      </c>
      <c r="C888">
        <v>0.90524011536402771</v>
      </c>
      <c r="D888">
        <v>-0.38111455534088123</v>
      </c>
    </row>
    <row r="889" spans="1:4">
      <c r="A889">
        <v>1.7841592331969428E-2</v>
      </c>
      <c r="B889">
        <v>0.70234650080325478</v>
      </c>
      <c r="C889">
        <v>0.97520060278025766</v>
      </c>
      <c r="D889">
        <v>-0.38081291332643075</v>
      </c>
    </row>
    <row r="890" spans="1:4">
      <c r="A890">
        <v>5.0504710187216251E-2</v>
      </c>
      <c r="B890">
        <v>0.72940970145751682</v>
      </c>
      <c r="C890">
        <v>1.1583205294085932</v>
      </c>
      <c r="D890">
        <v>-0.37426917965226114</v>
      </c>
    </row>
    <row r="891" spans="1:4">
      <c r="A891">
        <v>-0.29742629854936831</v>
      </c>
      <c r="B891">
        <v>0.45512400561534866</v>
      </c>
      <c r="C891">
        <v>1.543503541600592</v>
      </c>
      <c r="D891">
        <v>-0.37354883868675731</v>
      </c>
    </row>
    <row r="892" spans="1:4">
      <c r="A892">
        <v>5.9510126937910249E-3</v>
      </c>
      <c r="B892">
        <v>0.69444941071636346</v>
      </c>
      <c r="C892">
        <v>1.0167797495365731</v>
      </c>
      <c r="D892">
        <v>-0.3724850350369342</v>
      </c>
    </row>
    <row r="893" spans="1:4">
      <c r="A893">
        <v>3.1043989707143733E-2</v>
      </c>
      <c r="B893">
        <v>0.71476534738389907</v>
      </c>
      <c r="C893">
        <v>1.0715201142257507</v>
      </c>
      <c r="D893">
        <v>-0.36982155405082479</v>
      </c>
    </row>
    <row r="894" spans="1:4">
      <c r="A894">
        <v>4.1519610444751089E-2</v>
      </c>
      <c r="B894">
        <v>0.72318490606092767</v>
      </c>
      <c r="C894">
        <v>1.2466733352910946</v>
      </c>
      <c r="D894">
        <v>-0.36967097579525604</v>
      </c>
    </row>
    <row r="895" spans="1:4">
      <c r="A895">
        <v>1.987000475050946E-2</v>
      </c>
      <c r="B895">
        <v>0.70637189829470037</v>
      </c>
      <c r="C895">
        <v>0.86691466747646528</v>
      </c>
      <c r="D895">
        <v>-0.36656285976740577</v>
      </c>
    </row>
    <row r="896" spans="1:4">
      <c r="A896">
        <v>1.5654155768039944E-3</v>
      </c>
      <c r="B896">
        <v>0.69203017858215343</v>
      </c>
      <c r="C896">
        <v>0.96841913717977068</v>
      </c>
      <c r="D896">
        <v>-0.36634602872606181</v>
      </c>
    </row>
    <row r="897" spans="1:4">
      <c r="A897">
        <v>5.7140341013013227E-2</v>
      </c>
      <c r="B897">
        <v>0.73608410841422844</v>
      </c>
      <c r="C897">
        <v>1.0201859769329504</v>
      </c>
      <c r="D897">
        <v>-0.36553286050518868</v>
      </c>
    </row>
    <row r="898" spans="1:4">
      <c r="A898">
        <v>3.6261277012378482E-2</v>
      </c>
      <c r="B898">
        <v>0.72333729631442756</v>
      </c>
      <c r="C898">
        <v>0.94113571175352073</v>
      </c>
      <c r="D898">
        <v>-0.34391770041048031</v>
      </c>
    </row>
    <row r="899" spans="1:4">
      <c r="A899">
        <v>-5.6847207363477585E-2</v>
      </c>
      <c r="B899">
        <v>0.64998939701162517</v>
      </c>
      <c r="C899">
        <v>0.6125115732299603</v>
      </c>
      <c r="D899">
        <v>-0.34169805019100746</v>
      </c>
    </row>
    <row r="900" spans="1:4">
      <c r="A900">
        <v>3.6547494859472139E-2</v>
      </c>
      <c r="B900">
        <v>0.72650582794155771</v>
      </c>
      <c r="C900">
        <v>1.408465991316932</v>
      </c>
      <c r="D900">
        <v>-0.32901437156601249</v>
      </c>
    </row>
    <row r="901" spans="1:4">
      <c r="A901">
        <v>1.4906405119311046E-2</v>
      </c>
      <c r="B901">
        <v>0.71003528497099444</v>
      </c>
      <c r="C901">
        <v>0.90368006008261359</v>
      </c>
      <c r="D901">
        <v>-0.32349241894256159</v>
      </c>
    </row>
    <row r="902" spans="1:4">
      <c r="A902">
        <v>2.2281328677008039E-2</v>
      </c>
      <c r="B902">
        <v>0.71740843011451316</v>
      </c>
      <c r="C902">
        <v>1.1756041613424006</v>
      </c>
      <c r="D902">
        <v>-0.31574034403918089</v>
      </c>
    </row>
    <row r="903" spans="1:4">
      <c r="A903">
        <v>8.0553456144095911E-2</v>
      </c>
      <c r="B903">
        <v>0.76342894149276819</v>
      </c>
      <c r="C903">
        <v>1.0319376868789492</v>
      </c>
      <c r="D903">
        <v>-0.31507333688716843</v>
      </c>
    </row>
    <row r="904" spans="1:4">
      <c r="A904">
        <v>7.1037236009662122E-2</v>
      </c>
      <c r="B904">
        <v>0.75730207151348738</v>
      </c>
      <c r="C904">
        <v>1.7645559550538277</v>
      </c>
      <c r="D904">
        <v>-0.31010397823681651</v>
      </c>
    </row>
    <row r="905" spans="1:4">
      <c r="A905">
        <v>4.6560537635689861E-2</v>
      </c>
      <c r="B905">
        <v>0.7381111256747257</v>
      </c>
      <c r="C905">
        <v>1.0424624269869396</v>
      </c>
      <c r="D905">
        <v>-0.30645885272261542</v>
      </c>
    </row>
    <row r="906" spans="1:4">
      <c r="A906">
        <v>3.2998735994507047E-2</v>
      </c>
      <c r="B906">
        <v>0.72802620080521829</v>
      </c>
      <c r="C906">
        <v>1.7394949595768041</v>
      </c>
      <c r="D906">
        <v>-0.30570294722384433</v>
      </c>
    </row>
    <row r="907" spans="1:4">
      <c r="A907">
        <v>1.7816776722381213E-2</v>
      </c>
      <c r="B907">
        <v>0.71748159861029148</v>
      </c>
      <c r="C907">
        <v>0.56257680797771048</v>
      </c>
      <c r="D907">
        <v>-0.29278069040396443</v>
      </c>
    </row>
    <row r="908" spans="1:4">
      <c r="A908">
        <v>3.7948170141016174E-2</v>
      </c>
      <c r="B908">
        <v>0.73556194396007768</v>
      </c>
      <c r="C908">
        <v>1.1347345975173255</v>
      </c>
      <c r="D908">
        <v>-0.28260262345219939</v>
      </c>
    </row>
    <row r="909" spans="1:4">
      <c r="A909">
        <v>3.9819731534446998E-2</v>
      </c>
      <c r="B909">
        <v>0.73847398527769548</v>
      </c>
      <c r="C909">
        <v>1.2694501483002509</v>
      </c>
      <c r="D909">
        <v>-0.27496487641534845</v>
      </c>
    </row>
    <row r="910" spans="1:4">
      <c r="A910">
        <v>7.8300062333178846E-3</v>
      </c>
      <c r="B910">
        <v>0.71421356306039929</v>
      </c>
      <c r="C910">
        <v>1.2091727278836659</v>
      </c>
      <c r="D910">
        <v>-0.26905440951718912</v>
      </c>
    </row>
    <row r="911" spans="1:4">
      <c r="A911">
        <v>5.4048253241464325E-2</v>
      </c>
      <c r="B911">
        <v>0.75081449358311136</v>
      </c>
      <c r="C911">
        <v>1.0279912991078646</v>
      </c>
      <c r="D911">
        <v>-0.26768649135928629</v>
      </c>
    </row>
    <row r="912" spans="1:4">
      <c r="A912">
        <v>2.193870248829459E-2</v>
      </c>
      <c r="B912">
        <v>0.72563843055470367</v>
      </c>
      <c r="C912">
        <v>1.0828160768566819</v>
      </c>
      <c r="D912">
        <v>-0.26691637134294105</v>
      </c>
    </row>
    <row r="913" spans="1:4">
      <c r="A913">
        <v>3.9113652609006434E-2</v>
      </c>
      <c r="B913">
        <v>0.74100929235167967</v>
      </c>
      <c r="C913">
        <v>2.997245179063361</v>
      </c>
      <c r="D913">
        <v>-0.26424745105220793</v>
      </c>
    </row>
    <row r="914" spans="1:4">
      <c r="A914">
        <v>1.5888931223721769E-2</v>
      </c>
      <c r="B914">
        <v>0.72457180544693334</v>
      </c>
      <c r="C914">
        <v>1.1165148038407557</v>
      </c>
      <c r="D914">
        <v>-0.24590695867459</v>
      </c>
    </row>
    <row r="915" spans="1:4">
      <c r="A915">
        <v>5.4607580445218587E-2</v>
      </c>
      <c r="B915">
        <v>0.75806348526297673</v>
      </c>
      <c r="C915">
        <v>0.92421724043792275</v>
      </c>
      <c r="D915">
        <v>-0.22846911496626776</v>
      </c>
    </row>
    <row r="916" spans="1:4">
      <c r="A916">
        <v>2.5832693576844853E-2</v>
      </c>
      <c r="B916">
        <v>0.73679744636146904</v>
      </c>
      <c r="C916">
        <v>1.2087012156110046</v>
      </c>
      <c r="D916">
        <v>-0.22133648169787268</v>
      </c>
    </row>
    <row r="917" spans="1:4">
      <c r="A917">
        <v>5.467365155735629E-2</v>
      </c>
      <c r="B917">
        <v>0.76064549569511264</v>
      </c>
      <c r="C917">
        <v>1.0689543481435264</v>
      </c>
      <c r="D917">
        <v>-0.21462792393853491</v>
      </c>
    </row>
    <row r="918" spans="1:4">
      <c r="A918">
        <v>5.9145349696880089E-4</v>
      </c>
      <c r="B918">
        <v>0.71880082803489576</v>
      </c>
      <c r="C918">
        <v>0.93675975225469943</v>
      </c>
      <c r="D918">
        <v>-0.20924385994647204</v>
      </c>
    </row>
    <row r="919" spans="1:4">
      <c r="A919">
        <v>3.3067817649940295E-2</v>
      </c>
      <c r="B919">
        <v>0.74531740894989174</v>
      </c>
      <c r="C919">
        <v>1.0496682186855113</v>
      </c>
      <c r="D919">
        <v>-0.20469462128509061</v>
      </c>
    </row>
    <row r="920" spans="1:4">
      <c r="A920">
        <v>1.9822552646806123E-2</v>
      </c>
      <c r="B920">
        <v>0.7350037698795393</v>
      </c>
      <c r="C920">
        <v>1.0229095074455898</v>
      </c>
      <c r="D920">
        <v>-0.20377163662703585</v>
      </c>
    </row>
    <row r="921" spans="1:4">
      <c r="A921">
        <v>2.4083989614419151E-2</v>
      </c>
      <c r="B921">
        <v>0.74000495577509395</v>
      </c>
      <c r="C921">
        <v>1.2641056772376282</v>
      </c>
      <c r="D921">
        <v>-0.1954061280558011</v>
      </c>
    </row>
    <row r="922" spans="1:4">
      <c r="A922">
        <v>1.9661919780312863E-2</v>
      </c>
      <c r="B922">
        <v>0.73742541334158074</v>
      </c>
      <c r="C922">
        <v>1.0401709122399962</v>
      </c>
      <c r="D922">
        <v>-0.18931446661335699</v>
      </c>
    </row>
    <row r="923" spans="1:4">
      <c r="A923">
        <v>4.3812202509736047E-2</v>
      </c>
      <c r="B923">
        <v>0.75677196019039383</v>
      </c>
      <c r="C923">
        <v>1.1484260376038387</v>
      </c>
      <c r="D923">
        <v>-0.18814844235898251</v>
      </c>
    </row>
    <row r="924" spans="1:4">
      <c r="A924">
        <v>6.7293383671944998E-2</v>
      </c>
      <c r="B924">
        <v>0.77576548038090665</v>
      </c>
      <c r="C924">
        <v>1.2011449524807305</v>
      </c>
      <c r="D924">
        <v>-0.1857615681625068</v>
      </c>
    </row>
    <row r="925" spans="1:4">
      <c r="A925">
        <v>1.5975309061478048E-2</v>
      </c>
      <c r="B925">
        <v>0.73650106470923604</v>
      </c>
      <c r="C925">
        <v>1.3212378234690145</v>
      </c>
      <c r="D925">
        <v>-0.17911777322788136</v>
      </c>
    </row>
    <row r="926" spans="1:4">
      <c r="A926">
        <v>3.2452023052700375E-2</v>
      </c>
      <c r="B926">
        <v>0.75234507753549995</v>
      </c>
      <c r="C926">
        <v>3.3793670563786375</v>
      </c>
      <c r="D926">
        <v>-0.17118463001031611</v>
      </c>
    </row>
    <row r="927" spans="1:4">
      <c r="A927">
        <v>2.0372072257510879E-2</v>
      </c>
      <c r="B927">
        <v>0.74291818990934477</v>
      </c>
      <c r="C927">
        <v>1.4175093677679311</v>
      </c>
      <c r="D927">
        <v>-0.16271068014660525</v>
      </c>
    </row>
    <row r="928" spans="1:4">
      <c r="A928">
        <v>2.631340168768714E-2</v>
      </c>
      <c r="B928">
        <v>0.74755769288933249</v>
      </c>
      <c r="C928">
        <v>1.2410737766269497</v>
      </c>
      <c r="D928">
        <v>-0.16229575323190509</v>
      </c>
    </row>
    <row r="929" spans="1:4">
      <c r="A929">
        <v>4.7029942347033664E-2</v>
      </c>
      <c r="B929">
        <v>0.76428640505858281</v>
      </c>
      <c r="C929">
        <v>1.0852184313702347</v>
      </c>
      <c r="D929">
        <v>-0.15954310545320957</v>
      </c>
    </row>
    <row r="930" spans="1:4">
      <c r="A930">
        <v>3.7687500082810743E-2</v>
      </c>
      <c r="B930">
        <v>0.75721877803143622</v>
      </c>
      <c r="C930">
        <v>1.1493338952122352</v>
      </c>
      <c r="D930">
        <v>-0.1580440511743105</v>
      </c>
    </row>
    <row r="931" spans="1:4">
      <c r="A931">
        <v>6.8785333593490436E-3</v>
      </c>
      <c r="B931">
        <v>0.73872413113329172</v>
      </c>
      <c r="C931">
        <v>8.618650492797574</v>
      </c>
      <c r="D931">
        <v>-0.1547004546284973</v>
      </c>
    </row>
    <row r="932" spans="1:4">
      <c r="A932">
        <v>5.379928949187417E-3</v>
      </c>
      <c r="B932">
        <v>0.73328489446864598</v>
      </c>
      <c r="C932">
        <v>1.2661623703786411</v>
      </c>
      <c r="D932">
        <v>-0.14955043128157522</v>
      </c>
    </row>
    <row r="933" spans="1:4">
      <c r="A933">
        <v>-9.5480830867009439E-2</v>
      </c>
      <c r="B933">
        <v>0.65427708296395304</v>
      </c>
      <c r="C933">
        <v>1.5811300514135453</v>
      </c>
      <c r="D933">
        <v>-0.14728140840957935</v>
      </c>
    </row>
    <row r="934" spans="1:4">
      <c r="A934">
        <v>4.2003231017770593E-2</v>
      </c>
      <c r="B934">
        <v>0.76289610174573408</v>
      </c>
      <c r="C934">
        <v>1.5925119539094097</v>
      </c>
      <c r="D934">
        <v>-0.1468768074449209</v>
      </c>
    </row>
    <row r="935" spans="1:4">
      <c r="A935">
        <v>5.0814062831190693E-2</v>
      </c>
      <c r="B935">
        <v>0.77185832639582808</v>
      </c>
      <c r="C935">
        <v>0.97048670492200761</v>
      </c>
      <c r="D935">
        <v>-0.13295276910382617</v>
      </c>
    </row>
    <row r="936" spans="1:4">
      <c r="A936">
        <v>-0.11043964031316844</v>
      </c>
      <c r="B936">
        <v>0.64535958299586738</v>
      </c>
      <c r="C936">
        <v>1.1490015858118385</v>
      </c>
      <c r="D936">
        <v>-0.12906800185754524</v>
      </c>
    </row>
    <row r="937" spans="1:4">
      <c r="A937">
        <v>2.6450654902712475E-2</v>
      </c>
      <c r="B937">
        <v>0.7541676243729537</v>
      </c>
      <c r="C937">
        <v>0.81089520753267363</v>
      </c>
      <c r="D937">
        <v>-0.12351606896650107</v>
      </c>
    </row>
    <row r="938" spans="1:4">
      <c r="A938">
        <v>1.6194594347330529E-2</v>
      </c>
      <c r="B938">
        <v>0.74643166186144438</v>
      </c>
      <c r="C938">
        <v>1.0789443135047667</v>
      </c>
      <c r="D938">
        <v>-0.12253097920677332</v>
      </c>
    </row>
    <row r="939" spans="1:4">
      <c r="A939">
        <v>2.129447076755948E-3</v>
      </c>
      <c r="B939">
        <v>0.73542230901227856</v>
      </c>
      <c r="C939">
        <v>0.67822661191876599</v>
      </c>
      <c r="D939">
        <v>-0.1203882569230884</v>
      </c>
    </row>
    <row r="940" spans="1:4">
      <c r="A940">
        <v>5.8170732130043992E-2</v>
      </c>
      <c r="B940">
        <v>0.77997795394593183</v>
      </c>
      <c r="C940">
        <v>1.1205934008002441</v>
      </c>
      <c r="D940">
        <v>-0.12037633069658754</v>
      </c>
    </row>
    <row r="941" spans="1:4">
      <c r="A941">
        <v>-7.8417441975462861E-3</v>
      </c>
      <c r="B941">
        <v>0.72858010870233869</v>
      </c>
      <c r="C941">
        <v>1.1461711343826182</v>
      </c>
      <c r="D941">
        <v>-0.11639021604524069</v>
      </c>
    </row>
    <row r="942" spans="1:4">
      <c r="A942">
        <v>7.4880593506456608E-2</v>
      </c>
      <c r="B942">
        <v>0.79426177209827364</v>
      </c>
      <c r="C942">
        <v>1.1413308962946822</v>
      </c>
      <c r="D942">
        <v>-0.11423589340407252</v>
      </c>
    </row>
    <row r="943" spans="1:4">
      <c r="A943">
        <v>-2.7716145453826647E-3</v>
      </c>
      <c r="B943">
        <v>0.73607458208658005</v>
      </c>
      <c r="C943">
        <v>0.86426501862609362</v>
      </c>
      <c r="D943">
        <v>-9.5359676726775991E-2</v>
      </c>
    </row>
    <row r="944" spans="1:4">
      <c r="A944">
        <v>4.8421506030201684E-2</v>
      </c>
      <c r="B944">
        <v>0.77688760514847466</v>
      </c>
      <c r="C944">
        <v>1.1158340389500425</v>
      </c>
      <c r="D944">
        <v>-9.4100763945401886E-2</v>
      </c>
    </row>
    <row r="945" spans="1:4">
      <c r="A945">
        <v>2.3816294721596746E-2</v>
      </c>
      <c r="B945">
        <v>0.75830330267331147</v>
      </c>
      <c r="C945">
        <v>1.2024557237338542</v>
      </c>
      <c r="D945">
        <v>-8.9654323904244493E-2</v>
      </c>
    </row>
    <row r="946" spans="1:4">
      <c r="A946">
        <v>6.9204020894071917E-3</v>
      </c>
      <c r="B946">
        <v>0.7465666432389283</v>
      </c>
      <c r="C946">
        <v>1.0440209578489039</v>
      </c>
      <c r="D946">
        <v>-7.9888026771836984E-2</v>
      </c>
    </row>
    <row r="947" spans="1:4">
      <c r="A947">
        <v>2.4255291155591968E-2</v>
      </c>
      <c r="B947">
        <v>0.76319006297357272</v>
      </c>
      <c r="C947">
        <v>1.1975157754898704</v>
      </c>
      <c r="D947">
        <v>-6.3755514352758585E-2</v>
      </c>
    </row>
    <row r="948" spans="1:4">
      <c r="A948">
        <v>1.735557816729702E-2</v>
      </c>
      <c r="B948">
        <v>0.76047766237256897</v>
      </c>
      <c r="C948">
        <v>1.4530841250172106</v>
      </c>
      <c r="D948">
        <v>-4.918976272926167E-2</v>
      </c>
    </row>
    <row r="949" spans="1:4">
      <c r="A949">
        <v>1.2499445290889458E-2</v>
      </c>
      <c r="B949">
        <v>0.75763896079562543</v>
      </c>
      <c r="C949">
        <v>0.75301200205268037</v>
      </c>
      <c r="D949">
        <v>-4.0717475282147718E-2</v>
      </c>
    </row>
    <row r="950" spans="1:4">
      <c r="A950">
        <v>3.3865553451540714E-2</v>
      </c>
      <c r="B950">
        <v>0.77704208986056122</v>
      </c>
      <c r="C950">
        <v>1.0025463559498828</v>
      </c>
      <c r="D950">
        <v>-2.7265263750532877E-2</v>
      </c>
    </row>
    <row r="951" spans="1:4">
      <c r="A951">
        <v>5.8498053282273468E-3</v>
      </c>
      <c r="B951">
        <v>0.75528605952238759</v>
      </c>
      <c r="C951">
        <v>1.2776324535444323</v>
      </c>
      <c r="D951">
        <v>-2.6304114513591298E-2</v>
      </c>
    </row>
    <row r="952" spans="1:4">
      <c r="A952">
        <v>2.3137043137347841E-2</v>
      </c>
      <c r="B952">
        <v>0.76903583804069808</v>
      </c>
      <c r="C952">
        <v>0.87237692791637955</v>
      </c>
      <c r="D952">
        <v>-2.4101924997751944E-2</v>
      </c>
    </row>
    <row r="953" spans="1:4">
      <c r="A953">
        <v>1.5805739514348785E-2</v>
      </c>
      <c r="B953">
        <v>0.76395992528442858</v>
      </c>
      <c r="C953">
        <v>1.4285887947370302</v>
      </c>
      <c r="D953">
        <v>-2.2268608872274203E-2</v>
      </c>
    </row>
    <row r="954" spans="1:4">
      <c r="A954">
        <v>2.8503084138524183E-2</v>
      </c>
      <c r="B954">
        <v>0.7738298415599425</v>
      </c>
      <c r="C954">
        <v>1.1673410555198582</v>
      </c>
      <c r="D954">
        <v>-2.2103145953765516E-2</v>
      </c>
    </row>
  </sheetData>
  <sortState xmlns:xlrd2="http://schemas.microsoft.com/office/spreadsheetml/2017/richdata2" ref="A2:D1016">
    <sortCondition ref="D2:D10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A9D7-743C-45EE-896A-1C9F54917E71}">
  <dimension ref="A1:D58"/>
  <sheetViews>
    <sheetView workbookViewId="0">
      <selection activeCell="G5" sqref="G5"/>
    </sheetView>
  </sheetViews>
  <sheetFormatPr defaultRowHeight="12.5"/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2.6541729449687749E-2</v>
      </c>
      <c r="B2">
        <v>0.77846329451863427</v>
      </c>
      <c r="C2">
        <v>0.84830028491397735</v>
      </c>
      <c r="D2">
        <v>1.4409795092964583E-2</v>
      </c>
    </row>
    <row r="3" spans="1:4">
      <c r="A3">
        <v>1.6976912658666413E-2</v>
      </c>
      <c r="B3">
        <v>0.77260476145480406</v>
      </c>
      <c r="C3">
        <v>0.8967662069384531</v>
      </c>
      <c r="D3">
        <v>2.38639685006308E-2</v>
      </c>
    </row>
    <row r="4" spans="1:4">
      <c r="A4">
        <v>1.6367120899406461E-2</v>
      </c>
      <c r="B4">
        <v>0.77322868460522776</v>
      </c>
      <c r="C4">
        <v>0.7165357677138583</v>
      </c>
      <c r="D4">
        <v>3.0885315131613952E-2</v>
      </c>
    </row>
    <row r="5" spans="1:4">
      <c r="A5">
        <v>1.9369672375197117E-2</v>
      </c>
      <c r="B5">
        <v>0.77607159004444048</v>
      </c>
      <c r="C5">
        <v>0.7334710147483734</v>
      </c>
      <c r="D5">
        <v>3.3510653505930112E-2</v>
      </c>
    </row>
    <row r="6" spans="1:4">
      <c r="A6">
        <v>0.2432152140827239</v>
      </c>
      <c r="B6">
        <v>0.9531765593222622</v>
      </c>
      <c r="C6">
        <v>0.97488360263103968</v>
      </c>
      <c r="D6">
        <v>3.473839035411274E-2</v>
      </c>
    </row>
    <row r="7" spans="1:4">
      <c r="A7">
        <v>1.9747033900941312E-2</v>
      </c>
      <c r="B7">
        <v>0.77891907697859186</v>
      </c>
      <c r="C7">
        <v>1.3016032340942787</v>
      </c>
      <c r="D7">
        <v>4.5770673287360862E-2</v>
      </c>
    </row>
    <row r="8" spans="1:4">
      <c r="A8">
        <v>2.8629180899953307E-2</v>
      </c>
      <c r="B8">
        <v>0.78659654469047202</v>
      </c>
      <c r="C8">
        <v>1.1511620017274611</v>
      </c>
      <c r="D8">
        <v>5.0164342678991621E-2</v>
      </c>
    </row>
    <row r="9" spans="1:4">
      <c r="A9">
        <v>2.498666112010418E-2</v>
      </c>
      <c r="B9">
        <v>0.78533898841552197</v>
      </c>
      <c r="C9">
        <v>1.3379802571969035</v>
      </c>
      <c r="D9">
        <v>5.8640337899219248E-2</v>
      </c>
    </row>
    <row r="10" spans="1:4">
      <c r="A10">
        <v>9.2169138036886825E-2</v>
      </c>
      <c r="B10">
        <v>0.84204303995654461</v>
      </c>
      <c r="C10">
        <v>0.82428657583815346</v>
      </c>
      <c r="D10">
        <v>8.1587060282961407E-2</v>
      </c>
    </row>
    <row r="11" spans="1:4">
      <c r="A11">
        <v>1.8969555904506292E-3</v>
      </c>
      <c r="B11">
        <v>0.77260105650403332</v>
      </c>
      <c r="C11">
        <v>1.1916059051760381</v>
      </c>
      <c r="D11">
        <v>9.0523298295258597E-2</v>
      </c>
    </row>
    <row r="12" spans="1:4">
      <c r="A12">
        <v>1.0586543690911665E-2</v>
      </c>
      <c r="B12">
        <v>0.77997720279824478</v>
      </c>
      <c r="C12">
        <v>1.104729924759944</v>
      </c>
      <c r="D12">
        <v>9.3811689641852672E-2</v>
      </c>
    </row>
    <row r="13" spans="1:4">
      <c r="A13">
        <v>-7.7222449815649324E-2</v>
      </c>
      <c r="B13">
        <v>0.7130530520278574</v>
      </c>
      <c r="C13">
        <v>1.0008710471501607</v>
      </c>
      <c r="D13">
        <v>0.10789993654060848</v>
      </c>
    </row>
    <row r="14" spans="1:4">
      <c r="A14">
        <v>1.2053321785268198E-2</v>
      </c>
      <c r="B14">
        <v>0.783730568802114</v>
      </c>
      <c r="C14">
        <v>0.76555499134912042</v>
      </c>
      <c r="D14">
        <v>0.10996207417294677</v>
      </c>
    </row>
    <row r="15" spans="1:4">
      <c r="A15">
        <v>2.2975454043482977E-2</v>
      </c>
      <c r="B15">
        <v>0.79312743131856145</v>
      </c>
      <c r="C15">
        <v>1.532099163151704</v>
      </c>
      <c r="D15">
        <v>0.1113084186675207</v>
      </c>
    </row>
    <row r="16" spans="1:4">
      <c r="A16">
        <v>6.1471937547237475E-2</v>
      </c>
      <c r="B16">
        <v>0.82376868246559243</v>
      </c>
      <c r="C16">
        <v>1.0722457483351888</v>
      </c>
      <c r="D16">
        <v>0.1145687880979676</v>
      </c>
    </row>
    <row r="17" spans="1:4">
      <c r="A17">
        <v>3.6254835101149638E-3</v>
      </c>
      <c r="B17">
        <v>0.77961373101338327</v>
      </c>
      <c r="C17">
        <v>1.1318719314017012</v>
      </c>
      <c r="D17">
        <v>0.12295610325516042</v>
      </c>
    </row>
    <row r="18" spans="1:4">
      <c r="A18">
        <v>2.0021106051982547E-2</v>
      </c>
      <c r="B18">
        <v>0.79356976854486816</v>
      </c>
      <c r="C18">
        <v>0.79501045768875656</v>
      </c>
      <c r="D18">
        <v>0.13007266164107215</v>
      </c>
    </row>
    <row r="19" spans="1:4">
      <c r="A19">
        <v>2.8746913189387702E-2</v>
      </c>
      <c r="B19">
        <v>0.80219084404482999</v>
      </c>
      <c r="C19">
        <v>0.67145437344112835</v>
      </c>
      <c r="D19">
        <v>0.14044088420952172</v>
      </c>
    </row>
    <row r="20" spans="1:4">
      <c r="A20">
        <v>3.0915546038154194E-2</v>
      </c>
      <c r="B20">
        <v>0.80597442737614433</v>
      </c>
      <c r="C20">
        <v>1.1629782993257511</v>
      </c>
      <c r="D20">
        <v>0.15028236567502568</v>
      </c>
    </row>
    <row r="21" spans="1:4">
      <c r="A21">
        <v>-6.3955120268385346E-2</v>
      </c>
      <c r="B21">
        <v>0.73091159673931771</v>
      </c>
      <c r="C21">
        <v>0.57880559829619327</v>
      </c>
      <c r="D21">
        <v>0.1516789202286602</v>
      </c>
    </row>
    <row r="22" spans="1:4">
      <c r="A22">
        <v>1.5368826170622192E-2</v>
      </c>
      <c r="B22">
        <v>0.79463758819756258</v>
      </c>
      <c r="C22">
        <v>1.2528493590587244</v>
      </c>
      <c r="D22">
        <v>0.15526313752207233</v>
      </c>
    </row>
    <row r="23" spans="1:4">
      <c r="A23">
        <v>1.4707241845884912E-2</v>
      </c>
      <c r="B23">
        <v>0.79432552588894767</v>
      </c>
      <c r="C23">
        <v>1.4074302694477541</v>
      </c>
      <c r="D23">
        <v>0.15584318818272902</v>
      </c>
    </row>
    <row r="24" spans="1:4">
      <c r="A24">
        <v>3.1707114015734922E-2</v>
      </c>
      <c r="B24">
        <v>0.80894975648336997</v>
      </c>
      <c r="C24">
        <v>1.1570087662132902</v>
      </c>
      <c r="D24">
        <v>0.1637035638195487</v>
      </c>
    </row>
    <row r="25" spans="1:4">
      <c r="A25">
        <v>1.4646716618073135E-3</v>
      </c>
      <c r="B25">
        <v>0.78544390994100122</v>
      </c>
      <c r="C25">
        <v>0.92800745831511378</v>
      </c>
      <c r="D25">
        <v>0.16672723435231429</v>
      </c>
    </row>
    <row r="26" spans="1:4">
      <c r="A26">
        <v>-0.11296665966026655</v>
      </c>
      <c r="B26">
        <v>0.69545730125617067</v>
      </c>
      <c r="C26">
        <v>0.86081215161833691</v>
      </c>
      <c r="D26">
        <v>0.16901333702489932</v>
      </c>
    </row>
    <row r="27" spans="1:4">
      <c r="A27">
        <v>3.8999402534511493E-2</v>
      </c>
      <c r="B27">
        <v>0.81618062325084118</v>
      </c>
      <c r="C27">
        <v>1.0982249087765377</v>
      </c>
      <c r="D27">
        <v>0.17233934148938701</v>
      </c>
    </row>
    <row r="28" spans="1:4">
      <c r="A28">
        <v>1.9537066281640574E-2</v>
      </c>
      <c r="B28">
        <v>0.80435109566996044</v>
      </c>
      <c r="C28">
        <v>0.89922282005295073</v>
      </c>
      <c r="D28">
        <v>0.1932875557711804</v>
      </c>
    </row>
    <row r="29" spans="1:4">
      <c r="A29">
        <v>1.1615377301682883E-2</v>
      </c>
      <c r="B29">
        <v>0.80106487497226897</v>
      </c>
      <c r="C29">
        <v>1.4305895498563372</v>
      </c>
      <c r="D29">
        <v>0.20807823128493552</v>
      </c>
    </row>
    <row r="30" spans="1:4">
      <c r="A30">
        <v>2.2208485697050039E-2</v>
      </c>
      <c r="B30">
        <v>0.81065441302421182</v>
      </c>
      <c r="C30">
        <v>1.0632233689642461</v>
      </c>
      <c r="D30">
        <v>0.21653907512542506</v>
      </c>
    </row>
    <row r="31" spans="1:4">
      <c r="A31">
        <v>2.8738421395955643E-2</v>
      </c>
      <c r="B31">
        <v>0.81880756686236134</v>
      </c>
      <c r="C31">
        <v>1.0919907274415621</v>
      </c>
      <c r="D31">
        <v>0.23351227192389348</v>
      </c>
    </row>
    <row r="32" spans="1:4">
      <c r="A32">
        <v>4.8161207083341536E-3</v>
      </c>
      <c r="B32">
        <v>0.80316445722615082</v>
      </c>
      <c r="C32">
        <v>1.1217680313101821</v>
      </c>
      <c r="D32">
        <v>0.25187779087631529</v>
      </c>
    </row>
    <row r="33" spans="1:4">
      <c r="A33">
        <v>2.0702896735954587E-2</v>
      </c>
      <c r="B33">
        <v>0.81782703063694795</v>
      </c>
      <c r="C33">
        <v>0.81384648018318384</v>
      </c>
      <c r="D33">
        <v>0.26519565339807483</v>
      </c>
    </row>
    <row r="34" spans="1:4">
      <c r="A34">
        <v>2.978685365805208E-2</v>
      </c>
      <c r="B34">
        <v>0.82844997119644026</v>
      </c>
      <c r="C34">
        <v>0.87200841540717167</v>
      </c>
      <c r="D34">
        <v>0.28463596069684655</v>
      </c>
    </row>
    <row r="35" spans="1:4">
      <c r="A35">
        <v>1.9388535270857862E-2</v>
      </c>
      <c r="B35">
        <v>0.82157247189166638</v>
      </c>
      <c r="C35">
        <v>0.82390632712381862</v>
      </c>
      <c r="D35">
        <v>0.29241905575514338</v>
      </c>
    </row>
    <row r="36" spans="1:4">
      <c r="A36">
        <v>1.024829636919318E-2</v>
      </c>
      <c r="B36">
        <v>0.81447020422360461</v>
      </c>
      <c r="C36">
        <v>0.87763249396876641</v>
      </c>
      <c r="D36">
        <v>0.29285230043730248</v>
      </c>
    </row>
    <row r="37" spans="1:4">
      <c r="A37">
        <v>2.7877198143426818E-2</v>
      </c>
      <c r="B37">
        <v>0.83106573184284493</v>
      </c>
      <c r="C37">
        <v>1.2226446227513912</v>
      </c>
      <c r="D37">
        <v>0.30673670136779069</v>
      </c>
    </row>
    <row r="38" spans="1:4">
      <c r="A38">
        <v>4.1154934095551023E-2</v>
      </c>
      <c r="B38">
        <v>0.84431030022983355</v>
      </c>
      <c r="C38">
        <v>1.1224613499276908</v>
      </c>
      <c r="D38">
        <v>0.32288166248036088</v>
      </c>
    </row>
    <row r="39" spans="1:4">
      <c r="A39">
        <v>3.7609482917176688E-3</v>
      </c>
      <c r="B39">
        <v>0.8155169242673127</v>
      </c>
      <c r="C39">
        <v>1.0696418689224443</v>
      </c>
      <c r="D39">
        <v>0.32724363353526353</v>
      </c>
    </row>
    <row r="40" spans="1:4">
      <c r="A40">
        <v>4.7019707676776547E-3</v>
      </c>
      <c r="B40">
        <v>0.8204637229513233</v>
      </c>
      <c r="C40">
        <v>0.86033061207911943</v>
      </c>
      <c r="D40">
        <v>0.35204302991967668</v>
      </c>
    </row>
    <row r="41" spans="1:4">
      <c r="A41">
        <v>-7.7691636626997851E-2</v>
      </c>
      <c r="B41">
        <v>0.75879380442118094</v>
      </c>
      <c r="C41">
        <v>1.0483345966914879</v>
      </c>
      <c r="D41">
        <v>0.37054371163545607</v>
      </c>
    </row>
    <row r="42" spans="1:4">
      <c r="A42">
        <v>1.6243608052701895E-2</v>
      </c>
      <c r="B42">
        <v>0.8388630395724882</v>
      </c>
      <c r="C42">
        <v>0.86570795921843446</v>
      </c>
      <c r="D42">
        <v>0.40496025748915104</v>
      </c>
    </row>
    <row r="43" spans="1:4">
      <c r="A43">
        <v>1.3673099217332941E-2</v>
      </c>
      <c r="B43">
        <v>0.84267338210904097</v>
      </c>
      <c r="C43">
        <v>1.0329386217894343</v>
      </c>
      <c r="D43">
        <v>0.43757757705637745</v>
      </c>
    </row>
    <row r="44" spans="1:4">
      <c r="A44">
        <v>2.7794239812013633E-3</v>
      </c>
      <c r="B44">
        <v>0.83479248779149662</v>
      </c>
      <c r="C44">
        <v>0.80647854399732843</v>
      </c>
      <c r="D44">
        <v>0.44258385832013608</v>
      </c>
    </row>
    <row r="45" spans="1:4">
      <c r="A45">
        <v>2.6663094027030956E-2</v>
      </c>
      <c r="B45">
        <v>0.8581828585961343</v>
      </c>
      <c r="C45">
        <v>1.068590833717425</v>
      </c>
      <c r="D45">
        <v>0.46738400754145698</v>
      </c>
    </row>
    <row r="46" spans="1:4">
      <c r="A46">
        <v>0.18395766718481948</v>
      </c>
      <c r="B46">
        <v>0.98285665960582813</v>
      </c>
      <c r="C46">
        <v>0.90281527978661069</v>
      </c>
      <c r="D46">
        <v>0.47086219630238679</v>
      </c>
    </row>
    <row r="47" spans="1:4">
      <c r="A47">
        <v>7.5257866562214388E-3</v>
      </c>
      <c r="B47">
        <v>0.84827262044653351</v>
      </c>
      <c r="C47">
        <v>1.0566371569973176</v>
      </c>
      <c r="D47">
        <v>0.49706134796425611</v>
      </c>
    </row>
    <row r="48" spans="1:4">
      <c r="A48">
        <v>1.4175483720114575E-2</v>
      </c>
      <c r="B48">
        <v>0.85449982880859132</v>
      </c>
      <c r="C48">
        <v>0.88042741063888441</v>
      </c>
      <c r="D48">
        <v>0.5033376378258998</v>
      </c>
    </row>
    <row r="49" spans="1:4">
      <c r="A49">
        <v>9.0021274959628823E-3</v>
      </c>
      <c r="B49">
        <v>0.85365903673134591</v>
      </c>
      <c r="C49">
        <v>1.0406596250785709</v>
      </c>
      <c r="D49">
        <v>0.5211842971365247</v>
      </c>
    </row>
    <row r="50" spans="1:4">
      <c r="A50">
        <v>1.10379034860833E-2</v>
      </c>
      <c r="B50">
        <v>0.87722869987483854</v>
      </c>
      <c r="C50">
        <v>1.0732720185231814</v>
      </c>
      <c r="D50">
        <v>0.64623993552511194</v>
      </c>
    </row>
    <row r="51" spans="1:4">
      <c r="A51">
        <v>-6.6975207084507646E-2</v>
      </c>
      <c r="B51">
        <v>0.81813044535687207</v>
      </c>
      <c r="C51">
        <v>0.90940292779209386</v>
      </c>
      <c r="D51">
        <v>0.6610943587032877</v>
      </c>
    </row>
    <row r="52" spans="1:4">
      <c r="A52">
        <v>2.3519701255719654E-2</v>
      </c>
      <c r="B52">
        <v>0.89399065622771245</v>
      </c>
      <c r="C52">
        <v>1.0186500540264072</v>
      </c>
      <c r="D52">
        <v>0.68583348463111693</v>
      </c>
    </row>
    <row r="53" spans="1:4">
      <c r="A53">
        <v>0.13628899835796388</v>
      </c>
      <c r="B53">
        <v>0.98386708490081309</v>
      </c>
      <c r="C53">
        <v>0.8992232208397396</v>
      </c>
      <c r="D53">
        <v>0.69114499844043853</v>
      </c>
    </row>
    <row r="54" spans="1:4">
      <c r="A54">
        <v>3.6340435278142839E-2</v>
      </c>
      <c r="B54">
        <v>0.91856939528948556</v>
      </c>
      <c r="C54">
        <v>0.70791282371984632</v>
      </c>
      <c r="D54">
        <v>0.76948194310354667</v>
      </c>
    </row>
    <row r="55" spans="1:4">
      <c r="A55">
        <v>0.17298216529501931</v>
      </c>
      <c r="B55">
        <v>1.0459518311656701</v>
      </c>
      <c r="C55">
        <v>0.83795411089866156</v>
      </c>
      <c r="D55">
        <v>0.88015387737313877</v>
      </c>
    </row>
    <row r="56" spans="1:4">
      <c r="A56">
        <v>-8.8043983707801171E-2</v>
      </c>
      <c r="B56">
        <v>0.84235187339743889</v>
      </c>
      <c r="C56">
        <v>0.81929257770926678</v>
      </c>
      <c r="D56">
        <v>0.89432643473967055</v>
      </c>
    </row>
    <row r="57" spans="1:4">
      <c r="A57">
        <v>0.22999395978945553</v>
      </c>
      <c r="B57">
        <v>1.2058101072856444</v>
      </c>
      <c r="C57">
        <v>0.78982119344312351</v>
      </c>
      <c r="D57">
        <v>1.5349855077018513</v>
      </c>
    </row>
    <row r="58" spans="1:4">
      <c r="A58">
        <v>-0.30196806043337088</v>
      </c>
      <c r="B58">
        <v>0.82300709031873309</v>
      </c>
      <c r="C58">
        <v>0.5395390070921986</v>
      </c>
      <c r="D58">
        <v>1.7478385307385793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fd</vt:lpstr>
      <vt:lpstr>Trang tính1</vt:lpstr>
      <vt:lpstr>Sheet3</vt:lpstr>
      <vt:lpstr>FD&lt;0</vt:lpstr>
      <vt:lpstr>FD&gt;0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NGAN</cp:lastModifiedBy>
  <dcterms:modified xsi:type="dcterms:W3CDTF">2023-02-28T12:00:32Z</dcterms:modified>
</cp:coreProperties>
</file>