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E:\GenshinUID\GenshinUID\tools\blue_data\"/>
    </mc:Choice>
  </mc:AlternateContent>
  <xr:revisionPtr revIDLastSave="0" documentId="8_{842F0AA0-AB98-44ED-B857-77E61E42E1E2}" xr6:coauthVersionLast="47" xr6:coauthVersionMax="47" xr10:uidLastSave="{00000000-0000-0000-0000-000000000000}"/>
  <bookViews>
    <workbookView xWindow="0" yWindow="2110" windowWidth="25580" windowHeight="10400"/>
  </bookViews>
  <sheets>
    <sheet name="正表" sheetId="4" r:id="rId1"/>
    <sheet name="更新and修正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4" l="1"/>
  <c r="G12" i="4"/>
  <c r="H12" i="4"/>
  <c r="I12" i="4"/>
  <c r="J12" i="4"/>
  <c r="K12" i="4"/>
  <c r="N12" i="4" s="1"/>
  <c r="L12" i="4"/>
  <c r="M12" i="4"/>
  <c r="O12" i="4"/>
  <c r="P12" i="4"/>
  <c r="Q12" i="4"/>
  <c r="R12" i="4"/>
  <c r="F13" i="4"/>
  <c r="H13" i="4" s="1"/>
  <c r="G13" i="4"/>
  <c r="I13" i="4"/>
  <c r="J13" i="4"/>
  <c r="K13" i="4"/>
  <c r="M13" i="4" s="1"/>
  <c r="L13" i="4"/>
  <c r="O13" i="4"/>
  <c r="P13" i="4"/>
  <c r="Q13" i="4"/>
  <c r="R13" i="4"/>
  <c r="F14" i="4"/>
  <c r="H14" i="4"/>
  <c r="T14" i="4" s="1"/>
  <c r="I14" i="4"/>
  <c r="J14" i="4"/>
  <c r="K14" i="4"/>
  <c r="L14" i="4"/>
  <c r="M14" i="4"/>
  <c r="N14" i="4"/>
  <c r="O14" i="4"/>
  <c r="P14" i="4"/>
  <c r="Q14" i="4"/>
  <c r="R14" i="4"/>
  <c r="F15" i="4"/>
  <c r="H15" i="4" s="1"/>
  <c r="T15" i="4" s="1"/>
  <c r="I15" i="4"/>
  <c r="J15" i="4"/>
  <c r="K15" i="4"/>
  <c r="L15" i="4"/>
  <c r="N15" i="4" s="1"/>
  <c r="O15" i="4"/>
  <c r="P15" i="4"/>
  <c r="Q15" i="4"/>
  <c r="R15" i="4"/>
  <c r="F17" i="4"/>
  <c r="H17" i="4" s="1"/>
  <c r="G17" i="4"/>
  <c r="I17" i="4"/>
  <c r="J17" i="4"/>
  <c r="K17" i="4"/>
  <c r="M17" i="4" s="1"/>
  <c r="L17" i="4"/>
  <c r="O17" i="4"/>
  <c r="P17" i="4"/>
  <c r="Q17" i="4"/>
  <c r="R17" i="4"/>
  <c r="F18" i="4"/>
  <c r="G18" i="4"/>
  <c r="H18" i="4"/>
  <c r="T18" i="4" s="1"/>
  <c r="I18" i="4"/>
  <c r="J18" i="4"/>
  <c r="K18" i="4"/>
  <c r="M18" i="4" s="1"/>
  <c r="L18" i="4"/>
  <c r="N18" i="4"/>
  <c r="O18" i="4"/>
  <c r="P18" i="4"/>
  <c r="Q18" i="4"/>
  <c r="R18" i="4"/>
  <c r="F19" i="4"/>
  <c r="H19" i="4" s="1"/>
  <c r="T19" i="4" s="1"/>
  <c r="I19" i="4"/>
  <c r="J19" i="4"/>
  <c r="K19" i="4"/>
  <c r="L19" i="4"/>
  <c r="M19" i="4"/>
  <c r="N19" i="4"/>
  <c r="O19" i="4"/>
  <c r="P19" i="4"/>
  <c r="Q19" i="4"/>
  <c r="R19" i="4"/>
  <c r="F20" i="4"/>
  <c r="H20" i="4" s="1"/>
  <c r="T20" i="4" s="1"/>
  <c r="I20" i="4"/>
  <c r="J20" i="4"/>
  <c r="K20" i="4"/>
  <c r="L20" i="4"/>
  <c r="M20" i="4" s="1"/>
  <c r="N20" i="4"/>
  <c r="O20" i="4"/>
  <c r="P20" i="4"/>
  <c r="Q20" i="4"/>
  <c r="R20" i="4"/>
  <c r="H23" i="4"/>
  <c r="I23" i="4"/>
  <c r="J23" i="4"/>
  <c r="K23" i="4"/>
  <c r="L23" i="4"/>
  <c r="O23" i="4"/>
  <c r="P23" i="4"/>
  <c r="Q23" i="4"/>
  <c r="T23" i="4"/>
  <c r="H24" i="4"/>
  <c r="I24" i="4"/>
  <c r="T24" i="4" s="1"/>
  <c r="J24" i="4"/>
  <c r="K24" i="4"/>
  <c r="P24" i="4"/>
  <c r="Q24" i="4"/>
  <c r="G27" i="4"/>
  <c r="H27" i="4" s="1"/>
  <c r="T27" i="4" s="1"/>
  <c r="K27" i="4"/>
  <c r="N27" i="4" s="1"/>
  <c r="L27" i="4"/>
  <c r="O27" i="4"/>
  <c r="P27" i="4"/>
  <c r="Q27" i="4"/>
  <c r="H28" i="4"/>
  <c r="T28" i="4" s="1"/>
  <c r="K28" i="4"/>
  <c r="L28" i="4"/>
  <c r="M28" i="4"/>
  <c r="N28" i="4"/>
  <c r="O28" i="4"/>
  <c r="P28" i="4"/>
  <c r="Q28" i="4"/>
  <c r="G31" i="4"/>
  <c r="H31" i="4" s="1"/>
  <c r="T31" i="4" s="1"/>
  <c r="I31" i="4"/>
  <c r="K31" i="4"/>
  <c r="M31" i="4" s="1"/>
  <c r="L31" i="4"/>
  <c r="N31" i="4"/>
  <c r="O31" i="4"/>
  <c r="P31" i="4"/>
  <c r="Q31" i="4"/>
  <c r="H32" i="4"/>
  <c r="I32" i="4"/>
  <c r="K32" i="4"/>
  <c r="N32" i="4" s="1"/>
  <c r="T32" i="4" s="1"/>
  <c r="L32" i="4"/>
  <c r="M32" i="4"/>
  <c r="O32" i="4"/>
  <c r="P32" i="4"/>
  <c r="Q32" i="4"/>
  <c r="G35" i="4"/>
  <c r="H35" i="4"/>
  <c r="T35" i="4" s="1"/>
  <c r="I35" i="4"/>
  <c r="K35" i="4"/>
  <c r="M35" i="4" s="1"/>
  <c r="L35" i="4"/>
  <c r="N35" i="4"/>
  <c r="O35" i="4"/>
  <c r="P35" i="4"/>
  <c r="Q35" i="4"/>
  <c r="H36" i="4"/>
  <c r="I36" i="4"/>
  <c r="K36" i="4"/>
  <c r="N36" i="4" s="1"/>
  <c r="L36" i="4"/>
  <c r="M36" i="4"/>
  <c r="O36" i="4"/>
  <c r="P36" i="4"/>
  <c r="Q36" i="4"/>
  <c r="G39" i="4"/>
  <c r="H39" i="4" s="1"/>
  <c r="T39" i="4" s="1"/>
  <c r="I39" i="4"/>
  <c r="K39" i="4"/>
  <c r="M39" i="4" s="1"/>
  <c r="L39" i="4"/>
  <c r="N39" i="4"/>
  <c r="O39" i="4"/>
  <c r="P39" i="4"/>
  <c r="Q39" i="4"/>
  <c r="H40" i="4"/>
  <c r="I40" i="4"/>
  <c r="K40" i="4"/>
  <c r="L40" i="4"/>
  <c r="M40" i="4" s="1"/>
  <c r="O40" i="4"/>
  <c r="P40" i="4"/>
  <c r="Q40" i="4"/>
  <c r="G43" i="4"/>
  <c r="H43" i="4" s="1"/>
  <c r="I43" i="4"/>
  <c r="K43" i="4"/>
  <c r="M43" i="4" s="1"/>
  <c r="L43" i="4"/>
  <c r="O43" i="4"/>
  <c r="P43" i="4"/>
  <c r="H44" i="4"/>
  <c r="I44" i="4"/>
  <c r="K44" i="4"/>
  <c r="M44" i="4" s="1"/>
  <c r="L44" i="4"/>
  <c r="N44" i="4"/>
  <c r="T44" i="4" s="1"/>
  <c r="O44" i="4"/>
  <c r="P44" i="4"/>
  <c r="H45" i="4"/>
  <c r="I45" i="4"/>
  <c r="T45" i="4" s="1"/>
  <c r="K45" i="4"/>
  <c r="L45" i="4"/>
  <c r="O45" i="4"/>
  <c r="P45" i="4"/>
  <c r="H46" i="4"/>
  <c r="I46" i="4"/>
  <c r="T46" i="4" s="1"/>
  <c r="K46" i="4"/>
  <c r="L46" i="4"/>
  <c r="O46" i="4"/>
  <c r="P46" i="4"/>
  <c r="G49" i="4"/>
  <c r="H49" i="4" s="1"/>
  <c r="T49" i="4" s="1"/>
  <c r="I49" i="4"/>
  <c r="K49" i="4"/>
  <c r="M49" i="4" s="1"/>
  <c r="L49" i="4"/>
  <c r="N49" i="4"/>
  <c r="O49" i="4"/>
  <c r="P49" i="4"/>
  <c r="Q49" i="4"/>
  <c r="H50" i="4"/>
  <c r="I50" i="4"/>
  <c r="K50" i="4"/>
  <c r="L50" i="4"/>
  <c r="M50" i="4"/>
  <c r="N50" i="4"/>
  <c r="O50" i="4"/>
  <c r="P50" i="4"/>
  <c r="T50" i="4" s="1"/>
  <c r="Q50" i="4"/>
  <c r="H53" i="4"/>
  <c r="I53" i="4"/>
  <c r="J53" i="4"/>
  <c r="L53" i="4"/>
  <c r="N53" i="4" s="1"/>
  <c r="T53" i="4" s="1"/>
  <c r="O53" i="4"/>
  <c r="P53" i="4"/>
  <c r="Q53" i="4"/>
  <c r="I54" i="4"/>
  <c r="J54" i="4"/>
  <c r="H54" i="4" s="1"/>
  <c r="L54" i="4"/>
  <c r="M54" i="4" s="1"/>
  <c r="N54" i="4"/>
  <c r="P54" i="4"/>
  <c r="Q54" i="4"/>
  <c r="H55" i="4"/>
  <c r="I55" i="4"/>
  <c r="J55" i="4"/>
  <c r="L55" i="4"/>
  <c r="M55" i="4" s="1"/>
  <c r="O55" i="4"/>
  <c r="P55" i="4"/>
  <c r="Q55" i="4"/>
  <c r="H56" i="4"/>
  <c r="I56" i="4"/>
  <c r="J56" i="4"/>
  <c r="L56" i="4"/>
  <c r="M56" i="4" s="1"/>
  <c r="O56" i="4"/>
  <c r="P56" i="4"/>
  <c r="Q56" i="4"/>
  <c r="H57" i="4"/>
  <c r="I57" i="4"/>
  <c r="J57" i="4"/>
  <c r="K57" i="4"/>
  <c r="N57" i="4" s="1"/>
  <c r="L57" i="4"/>
  <c r="M57" i="4"/>
  <c r="O57" i="4"/>
  <c r="T57" i="4" s="1"/>
  <c r="P57" i="4"/>
  <c r="Q57" i="4"/>
  <c r="H58" i="4"/>
  <c r="I58" i="4"/>
  <c r="J58" i="4"/>
  <c r="K58" i="4"/>
  <c r="M58" i="4" s="1"/>
  <c r="L58" i="4"/>
  <c r="N58" i="4"/>
  <c r="T58" i="4" s="1"/>
  <c r="O58" i="4"/>
  <c r="P58" i="4"/>
  <c r="Q58" i="4"/>
  <c r="H61" i="4"/>
  <c r="I61" i="4"/>
  <c r="J61" i="4"/>
  <c r="L61" i="4"/>
  <c r="M61" i="4"/>
  <c r="N61" i="4"/>
  <c r="O61" i="4"/>
  <c r="P61" i="4"/>
  <c r="T61" i="4" s="1"/>
  <c r="Q61" i="4"/>
  <c r="H62" i="4"/>
  <c r="I62" i="4"/>
  <c r="J62" i="4"/>
  <c r="L62" i="4"/>
  <c r="N62" i="4" s="1"/>
  <c r="T62" i="4" s="1"/>
  <c r="O62" i="4"/>
  <c r="P62" i="4"/>
  <c r="Q62" i="4"/>
  <c r="H65" i="4"/>
  <c r="I65" i="4"/>
  <c r="T65" i="4" s="1"/>
  <c r="J65" i="4"/>
  <c r="L65" i="4"/>
  <c r="P65" i="4"/>
  <c r="Q65" i="4"/>
  <c r="H66" i="4"/>
  <c r="I66" i="4"/>
  <c r="J66" i="4"/>
  <c r="L66" i="4"/>
  <c r="P66" i="4"/>
  <c r="Q66" i="4"/>
  <c r="T66" i="4"/>
  <c r="H70" i="4"/>
  <c r="I70" i="4"/>
  <c r="T70" i="4" s="1"/>
  <c r="J70" i="4"/>
  <c r="P70" i="4"/>
  <c r="H71" i="4"/>
  <c r="I71" i="4"/>
  <c r="J71" i="4"/>
  <c r="P71" i="4"/>
  <c r="T71" i="4"/>
  <c r="H72" i="4"/>
  <c r="I72" i="4"/>
  <c r="T72" i="4" s="1"/>
  <c r="J72" i="4"/>
  <c r="P72" i="4"/>
  <c r="H75" i="4"/>
  <c r="I75" i="4"/>
  <c r="J75" i="4"/>
  <c r="M75" i="4"/>
  <c r="N75" i="4"/>
  <c r="O75" i="4"/>
  <c r="T75" i="4" s="1"/>
  <c r="P75" i="4"/>
  <c r="H76" i="4"/>
  <c r="I76" i="4"/>
  <c r="J76" i="4"/>
  <c r="O76" i="4" s="1"/>
  <c r="T76" i="4" s="1"/>
  <c r="M76" i="4"/>
  <c r="N76" i="4"/>
  <c r="P76" i="4"/>
  <c r="H77" i="4"/>
  <c r="I77" i="4"/>
  <c r="J77" i="4"/>
  <c r="O77" i="4" s="1"/>
  <c r="T77" i="4" s="1"/>
  <c r="M77" i="4"/>
  <c r="N77" i="4"/>
  <c r="P77" i="4"/>
  <c r="H78" i="4"/>
  <c r="I78" i="4"/>
  <c r="J78" i="4"/>
  <c r="M78" i="4"/>
  <c r="N78" i="4"/>
  <c r="O78" i="4"/>
  <c r="T78" i="4" s="1"/>
  <c r="P78" i="4"/>
  <c r="H81" i="4"/>
  <c r="T81" i="4" s="1"/>
  <c r="I81" i="4"/>
  <c r="M81" i="4"/>
  <c r="N81" i="4"/>
  <c r="O81" i="4"/>
  <c r="P81" i="4"/>
  <c r="I82" i="4"/>
  <c r="H82" i="4" s="1"/>
  <c r="M82" i="4"/>
  <c r="N82" i="4"/>
  <c r="O82" i="4"/>
  <c r="P82" i="4"/>
  <c r="H83" i="4"/>
  <c r="U83" i="4" s="1"/>
  <c r="I83" i="4"/>
  <c r="M83" i="4"/>
  <c r="N83" i="4"/>
  <c r="O83" i="4"/>
  <c r="P83" i="4"/>
  <c r="T83" i="4"/>
  <c r="H86" i="4"/>
  <c r="T86" i="4" s="1"/>
  <c r="I86" i="4"/>
  <c r="J86" i="4"/>
  <c r="L86" i="4"/>
  <c r="O86" i="4"/>
  <c r="P86" i="4"/>
  <c r="Q86" i="4"/>
  <c r="H87" i="4"/>
  <c r="I87" i="4"/>
  <c r="J87" i="4"/>
  <c r="T87" i="4" s="1"/>
  <c r="L87" i="4"/>
  <c r="O87" i="4"/>
  <c r="P87" i="4"/>
  <c r="Q87" i="4"/>
  <c r="H88" i="4"/>
  <c r="I88" i="4"/>
  <c r="J88" i="4"/>
  <c r="L88" i="4"/>
  <c r="O88" i="4"/>
  <c r="P88" i="4"/>
  <c r="Q88" i="4"/>
  <c r="T88" i="4"/>
  <c r="H89" i="4"/>
  <c r="I89" i="4"/>
  <c r="J89" i="4"/>
  <c r="L89" i="4"/>
  <c r="O89" i="4"/>
  <c r="P89" i="4"/>
  <c r="Q89" i="4"/>
  <c r="T89" i="4"/>
  <c r="H92" i="4"/>
  <c r="I92" i="4"/>
  <c r="L92" i="4"/>
  <c r="M92" i="4" s="1"/>
  <c r="O92" i="4"/>
  <c r="P92" i="4"/>
  <c r="Q92" i="4"/>
  <c r="H93" i="4"/>
  <c r="I93" i="4"/>
  <c r="L93" i="4"/>
  <c r="M93" i="4" s="1"/>
  <c r="O93" i="4"/>
  <c r="P93" i="4"/>
  <c r="Q93" i="4"/>
  <c r="H94" i="4"/>
  <c r="T94" i="4" s="1"/>
  <c r="I94" i="4"/>
  <c r="M94" i="4"/>
  <c r="N94" i="4"/>
  <c r="O94" i="4"/>
  <c r="P94" i="4"/>
  <c r="Q94" i="4"/>
  <c r="H95" i="4"/>
  <c r="I95" i="4"/>
  <c r="L95" i="4"/>
  <c r="M95" i="4" s="1"/>
  <c r="O95" i="4"/>
  <c r="P95" i="4"/>
  <c r="Q95" i="4"/>
  <c r="H96" i="4"/>
  <c r="I96" i="4"/>
  <c r="L96" i="4"/>
  <c r="N96" i="4" s="1"/>
  <c r="M96" i="4"/>
  <c r="O96" i="4"/>
  <c r="P96" i="4"/>
  <c r="Q96" i="4"/>
  <c r="H99" i="4"/>
  <c r="I99" i="4"/>
  <c r="J99" i="4"/>
  <c r="L99" i="4"/>
  <c r="M99" i="4" s="1"/>
  <c r="O99" i="4"/>
  <c r="P99" i="4"/>
  <c r="I100" i="4"/>
  <c r="H100" i="4" s="1"/>
  <c r="J100" i="4"/>
  <c r="O100" i="4" s="1"/>
  <c r="N100" i="4"/>
  <c r="P100" i="4"/>
  <c r="H103" i="4"/>
  <c r="I103" i="4"/>
  <c r="M103" i="4"/>
  <c r="N103" i="4"/>
  <c r="O103" i="4"/>
  <c r="T103" i="4" s="1"/>
  <c r="P103" i="4"/>
  <c r="H104" i="4"/>
  <c r="T104" i="4" s="1"/>
  <c r="I104" i="4"/>
  <c r="M104" i="4"/>
  <c r="N104" i="4"/>
  <c r="O104" i="4"/>
  <c r="P104" i="4"/>
  <c r="H105" i="4"/>
  <c r="T105" i="4" s="1"/>
  <c r="I105" i="4"/>
  <c r="M105" i="4"/>
  <c r="N105" i="4"/>
  <c r="O105" i="4"/>
  <c r="P105" i="4"/>
  <c r="H108" i="4"/>
  <c r="I108" i="4"/>
  <c r="J108" i="4"/>
  <c r="T108" i="4" s="1"/>
  <c r="P108" i="4"/>
  <c r="H109" i="4"/>
  <c r="I109" i="4"/>
  <c r="J109" i="4"/>
  <c r="T109" i="4" s="1"/>
  <c r="P109" i="4"/>
  <c r="H110" i="4"/>
  <c r="I110" i="4"/>
  <c r="J110" i="4"/>
  <c r="P110" i="4"/>
  <c r="T110" i="4"/>
  <c r="H114" i="4"/>
  <c r="M114" i="4"/>
  <c r="N114" i="4"/>
  <c r="T114" i="4" s="1"/>
  <c r="O114" i="4"/>
  <c r="P114" i="4"/>
  <c r="R114" i="4"/>
  <c r="H115" i="4"/>
  <c r="T115" i="4" s="1"/>
  <c r="M115" i="4"/>
  <c r="N115" i="4"/>
  <c r="O115" i="4"/>
  <c r="P115" i="4"/>
  <c r="R115" i="4"/>
  <c r="H116" i="4"/>
  <c r="T116" i="4" s="1"/>
  <c r="M116" i="4"/>
  <c r="N116" i="4"/>
  <c r="O116" i="4"/>
  <c r="P116" i="4"/>
  <c r="R116" i="4"/>
  <c r="H119" i="4"/>
  <c r="I119" i="4"/>
  <c r="J119" i="4"/>
  <c r="T119" i="4" s="1"/>
  <c r="P119" i="4"/>
  <c r="H120" i="4"/>
  <c r="T120" i="4" s="1"/>
  <c r="I120" i="4"/>
  <c r="J120" i="4"/>
  <c r="P120" i="4"/>
  <c r="H123" i="4"/>
  <c r="I123" i="4"/>
  <c r="J123" i="4"/>
  <c r="P123" i="4"/>
  <c r="T123" i="4"/>
  <c r="H124" i="4"/>
  <c r="I124" i="4"/>
  <c r="J124" i="4"/>
  <c r="P124" i="4"/>
  <c r="T124" i="4"/>
  <c r="H125" i="4"/>
  <c r="I125" i="4"/>
  <c r="T125" i="4" s="1"/>
  <c r="J125" i="4"/>
  <c r="P125" i="4"/>
  <c r="H128" i="4"/>
  <c r="J128" i="4"/>
  <c r="T128" i="4" s="1"/>
  <c r="K128" i="4"/>
  <c r="L128" i="4"/>
  <c r="N128" i="4"/>
  <c r="O128" i="4"/>
  <c r="P128" i="4"/>
  <c r="Q128" i="4"/>
  <c r="I129" i="4"/>
  <c r="H129" i="4" s="1"/>
  <c r="K129" i="4"/>
  <c r="L129" i="4"/>
  <c r="N129" i="4" s="1"/>
  <c r="O129" i="4"/>
  <c r="P129" i="4"/>
  <c r="Q129" i="4"/>
  <c r="H130" i="4"/>
  <c r="J130" i="4"/>
  <c r="K130" i="4"/>
  <c r="N130" i="4" s="1"/>
  <c r="L130" i="4"/>
  <c r="O130" i="4"/>
  <c r="P130" i="4"/>
  <c r="Q130" i="4"/>
  <c r="H133" i="4"/>
  <c r="I133" i="4"/>
  <c r="J133" i="4"/>
  <c r="P133" i="4"/>
  <c r="T133" i="4"/>
  <c r="H134" i="4"/>
  <c r="I134" i="4"/>
  <c r="J134" i="4"/>
  <c r="P134" i="4"/>
  <c r="T134" i="4"/>
  <c r="H135" i="4"/>
  <c r="I135" i="4"/>
  <c r="J135" i="4"/>
  <c r="P135" i="4"/>
  <c r="T135" i="4"/>
  <c r="H138" i="4"/>
  <c r="T138" i="4" s="1"/>
  <c r="I138" i="4"/>
  <c r="J138" i="4"/>
  <c r="P138" i="4"/>
  <c r="H139" i="4"/>
  <c r="I139" i="4"/>
  <c r="J139" i="4"/>
  <c r="P139" i="4"/>
  <c r="T139" i="4"/>
  <c r="H140" i="4"/>
  <c r="I140" i="4"/>
  <c r="J140" i="4"/>
  <c r="T140" i="4" s="1"/>
  <c r="P140" i="4"/>
  <c r="H143" i="4"/>
  <c r="I143" i="4"/>
  <c r="P143" i="4"/>
  <c r="T143" i="4"/>
  <c r="H144" i="4"/>
  <c r="I144" i="4"/>
  <c r="T144" i="4" s="1"/>
  <c r="P144" i="4"/>
  <c r="H145" i="4"/>
  <c r="I145" i="4"/>
  <c r="T145" i="4" s="1"/>
  <c r="P145" i="4"/>
  <c r="H148" i="4"/>
  <c r="I148" i="4"/>
  <c r="P148" i="4"/>
  <c r="T148" i="4"/>
  <c r="F152" i="4"/>
  <c r="I152" i="4"/>
  <c r="H152" i="4" s="1"/>
  <c r="J152" i="4"/>
  <c r="M152" i="4"/>
  <c r="N152" i="4"/>
  <c r="O152" i="4"/>
  <c r="F153" i="4"/>
  <c r="H153" i="4"/>
  <c r="I153" i="4"/>
  <c r="J153" i="4"/>
  <c r="M153" i="4"/>
  <c r="N153" i="4"/>
  <c r="O153" i="4"/>
  <c r="U153" i="4"/>
  <c r="T153" i="4" s="1"/>
  <c r="V153" i="4"/>
  <c r="F154" i="4"/>
  <c r="V154" i="4" s="1"/>
  <c r="T154" i="4" s="1"/>
  <c r="I154" i="4"/>
  <c r="J154" i="4"/>
  <c r="M154" i="4"/>
  <c r="N154" i="4"/>
  <c r="O154" i="4"/>
  <c r="U154" i="4"/>
  <c r="F155" i="4"/>
  <c r="V155" i="4" s="1"/>
  <c r="T155" i="4" s="1"/>
  <c r="I155" i="4"/>
  <c r="J155" i="4"/>
  <c r="M155" i="4"/>
  <c r="N155" i="4"/>
  <c r="O155" i="4"/>
  <c r="U155" i="4"/>
  <c r="F156" i="4"/>
  <c r="V156" i="4" s="1"/>
  <c r="I156" i="4"/>
  <c r="U156" i="4" s="1"/>
  <c r="J156" i="4"/>
  <c r="M156" i="4"/>
  <c r="N156" i="4"/>
  <c r="O156" i="4"/>
  <c r="F157" i="4"/>
  <c r="H157" i="4" s="1"/>
  <c r="I157" i="4"/>
  <c r="U157" i="4" s="1"/>
  <c r="J157" i="4"/>
  <c r="M157" i="4"/>
  <c r="N157" i="4"/>
  <c r="O157" i="4"/>
  <c r="H160" i="4"/>
  <c r="I160" i="4"/>
  <c r="J160" i="4"/>
  <c r="T160" i="4" s="1"/>
  <c r="G161" i="4"/>
  <c r="H161" i="4" s="1"/>
  <c r="I161" i="4"/>
  <c r="J161" i="4"/>
  <c r="T161" i="4"/>
  <c r="H162" i="4"/>
  <c r="I162" i="4"/>
  <c r="J162" i="4"/>
  <c r="T162" i="4" s="1"/>
  <c r="H165" i="4"/>
  <c r="I165" i="4"/>
  <c r="T165" i="4" s="1"/>
  <c r="J165" i="4"/>
  <c r="H166" i="4"/>
  <c r="I166" i="4"/>
  <c r="J166" i="4"/>
  <c r="T166" i="4"/>
  <c r="H167" i="4"/>
  <c r="I167" i="4"/>
  <c r="J167" i="4"/>
  <c r="T167" i="4" s="1"/>
  <c r="G168" i="4"/>
  <c r="H168" i="4"/>
  <c r="I168" i="4"/>
  <c r="J168" i="4"/>
  <c r="T168" i="4" s="1"/>
  <c r="F171" i="4"/>
  <c r="J171" i="4" s="1"/>
  <c r="G171" i="4"/>
  <c r="H171" i="4"/>
  <c r="K171" i="4"/>
  <c r="L171" i="4"/>
  <c r="M171" i="4" s="1"/>
  <c r="O171" i="4"/>
  <c r="U171" i="4"/>
  <c r="F172" i="4"/>
  <c r="G172" i="4"/>
  <c r="H172" i="4" s="1"/>
  <c r="J172" i="4"/>
  <c r="K172" i="4"/>
  <c r="N172" i="4" s="1"/>
  <c r="T172" i="4" s="1"/>
  <c r="L172" i="4"/>
  <c r="M172" i="4"/>
  <c r="O172" i="4"/>
  <c r="U172" i="4"/>
  <c r="F173" i="4"/>
  <c r="H173" i="4" s="1"/>
  <c r="K173" i="4"/>
  <c r="N173" i="4" s="1"/>
  <c r="L173" i="4"/>
  <c r="O173" i="4"/>
  <c r="U173" i="4"/>
  <c r="F174" i="4"/>
  <c r="H174" i="4" s="1"/>
  <c r="G174" i="4"/>
  <c r="K174" i="4"/>
  <c r="N174" i="4" s="1"/>
  <c r="L174" i="4"/>
  <c r="M174" i="4"/>
  <c r="U174" i="4"/>
  <c r="O174" i="4" s="1"/>
  <c r="I177" i="4"/>
  <c r="H177" i="4" s="1"/>
  <c r="M177" i="4"/>
  <c r="N177" i="4"/>
  <c r="P177" i="4"/>
  <c r="R177" i="4"/>
  <c r="H178" i="4"/>
  <c r="T178" i="4" s="1"/>
  <c r="I178" i="4"/>
  <c r="M178" i="4"/>
  <c r="N178" i="4"/>
  <c r="O178" i="4"/>
  <c r="R178" i="4"/>
  <c r="H181" i="4"/>
  <c r="I181" i="4"/>
  <c r="N181" i="4"/>
  <c r="O181" i="4"/>
  <c r="T181" i="4"/>
  <c r="H182" i="4"/>
  <c r="I182" i="4"/>
  <c r="N182" i="4"/>
  <c r="T182" i="4" s="1"/>
  <c r="O182" i="4"/>
  <c r="H185" i="4"/>
  <c r="K185" i="4"/>
  <c r="L185" i="4"/>
  <c r="M185" i="4" s="1"/>
  <c r="O185" i="4"/>
  <c r="R185" i="4"/>
  <c r="H186" i="4"/>
  <c r="K186" i="4"/>
  <c r="N186" i="4" s="1"/>
  <c r="O186" i="4"/>
  <c r="R186" i="4"/>
  <c r="H187" i="4"/>
  <c r="T187" i="4" s="1"/>
  <c r="M187" i="4"/>
  <c r="N187" i="4"/>
  <c r="O187" i="4"/>
  <c r="R187" i="4"/>
  <c r="H190" i="4"/>
  <c r="M190" i="4"/>
  <c r="N190" i="4"/>
  <c r="O190" i="4"/>
  <c r="T190" i="4" s="1"/>
  <c r="P190" i="4"/>
  <c r="H191" i="4"/>
  <c r="T191" i="4" s="1"/>
  <c r="M191" i="4"/>
  <c r="N191" i="4"/>
  <c r="O191" i="4"/>
  <c r="P191" i="4"/>
  <c r="H194" i="4"/>
  <c r="J194" i="4"/>
  <c r="M194" i="4"/>
  <c r="N194" i="4"/>
  <c r="O194" i="4"/>
  <c r="P194" i="4"/>
  <c r="T194" i="4"/>
  <c r="H195" i="4"/>
  <c r="I195" i="4"/>
  <c r="T195" i="4" s="1"/>
  <c r="J195" i="4"/>
  <c r="M195" i="4"/>
  <c r="N195" i="4"/>
  <c r="O195" i="4"/>
  <c r="P195" i="4"/>
  <c r="H196" i="4"/>
  <c r="M196" i="4"/>
  <c r="N196" i="4"/>
  <c r="O196" i="4"/>
  <c r="T196" i="4" s="1"/>
  <c r="P196" i="4"/>
  <c r="H197" i="4"/>
  <c r="I197" i="4"/>
  <c r="T197" i="4" s="1"/>
  <c r="M197" i="4"/>
  <c r="N197" i="4"/>
  <c r="O197" i="4"/>
  <c r="P197" i="4"/>
  <c r="H200" i="4"/>
  <c r="T200" i="4" s="1"/>
  <c r="I200" i="4"/>
  <c r="M200" i="4"/>
  <c r="N200" i="4"/>
  <c r="O200" i="4"/>
  <c r="P200" i="4"/>
  <c r="H201" i="4"/>
  <c r="I201" i="4"/>
  <c r="M201" i="4"/>
  <c r="N201" i="4"/>
  <c r="O201" i="4"/>
  <c r="T201" i="4" s="1"/>
  <c r="P201" i="4"/>
  <c r="H204" i="4"/>
  <c r="T204" i="4" s="1"/>
  <c r="I204" i="4"/>
  <c r="M204" i="4"/>
  <c r="N204" i="4"/>
  <c r="O204" i="4"/>
  <c r="H205" i="4"/>
  <c r="I205" i="4"/>
  <c r="M205" i="4"/>
  <c r="N205" i="4"/>
  <c r="O205" i="4"/>
  <c r="T205" i="4" s="1"/>
  <c r="H208" i="4"/>
  <c r="I208" i="4"/>
  <c r="T208" i="4" s="1"/>
  <c r="M208" i="4"/>
  <c r="N208" i="4"/>
  <c r="O208" i="4"/>
  <c r="H212" i="4"/>
  <c r="T212" i="4" s="1"/>
  <c r="I212" i="4"/>
  <c r="M212" i="4"/>
  <c r="N212" i="4"/>
  <c r="O212" i="4"/>
  <c r="H213" i="4"/>
  <c r="T213" i="4" s="1"/>
  <c r="I213" i="4"/>
  <c r="M213" i="4"/>
  <c r="N213" i="4"/>
  <c r="O213" i="4"/>
  <c r="H214" i="4"/>
  <c r="T214" i="4" s="1"/>
  <c r="I214" i="4"/>
  <c r="M214" i="4"/>
  <c r="N214" i="4"/>
  <c r="O214" i="4"/>
  <c r="H215" i="4"/>
  <c r="T215" i="4" s="1"/>
  <c r="I215" i="4"/>
  <c r="M215" i="4"/>
  <c r="N215" i="4"/>
  <c r="O215" i="4"/>
  <c r="H218" i="4"/>
  <c r="I218" i="4"/>
  <c r="J218" i="4"/>
  <c r="M218" i="4"/>
  <c r="N218" i="4"/>
  <c r="O218" i="4"/>
  <c r="T218" i="4"/>
  <c r="H219" i="4"/>
  <c r="I219" i="4"/>
  <c r="J219" i="4"/>
  <c r="M219" i="4"/>
  <c r="N219" i="4"/>
  <c r="O219" i="4"/>
  <c r="T219" i="4"/>
  <c r="H220" i="4"/>
  <c r="I220" i="4"/>
  <c r="J220" i="4"/>
  <c r="M220" i="4"/>
  <c r="N220" i="4"/>
  <c r="T220" i="4" s="1"/>
  <c r="O220" i="4"/>
  <c r="H221" i="4"/>
  <c r="I221" i="4"/>
  <c r="T221" i="4" s="1"/>
  <c r="J221" i="4"/>
  <c r="M221" i="4"/>
  <c r="N221" i="4"/>
  <c r="O221" i="4"/>
  <c r="H224" i="4"/>
  <c r="T224" i="4" s="1"/>
  <c r="I224" i="4"/>
  <c r="J224" i="4"/>
  <c r="M224" i="4"/>
  <c r="N224" i="4"/>
  <c r="O224" i="4"/>
  <c r="H225" i="4"/>
  <c r="T225" i="4" s="1"/>
  <c r="I225" i="4"/>
  <c r="J225" i="4"/>
  <c r="M225" i="4"/>
  <c r="N225" i="4"/>
  <c r="O225" i="4"/>
  <c r="H226" i="4"/>
  <c r="T226" i="4" s="1"/>
  <c r="I226" i="4"/>
  <c r="O226" i="4" s="1"/>
  <c r="J226" i="4"/>
  <c r="M226" i="4"/>
  <c r="N226" i="4"/>
  <c r="H230" i="4"/>
  <c r="I230" i="4"/>
  <c r="P230" i="4"/>
  <c r="Q230" i="4"/>
  <c r="I231" i="4"/>
  <c r="H231" i="4" s="1"/>
  <c r="P231" i="4"/>
  <c r="Q231" i="4"/>
  <c r="H232" i="4"/>
  <c r="I232" i="4"/>
  <c r="P232" i="4"/>
  <c r="Q232" i="4"/>
  <c r="H233" i="4"/>
  <c r="I233" i="4"/>
  <c r="P233" i="4"/>
  <c r="Q233" i="4"/>
  <c r="H236" i="4"/>
  <c r="K236" i="4"/>
  <c r="M236" i="4" s="1"/>
  <c r="L236" i="4"/>
  <c r="O236" i="4"/>
  <c r="P236" i="4"/>
  <c r="Q236" i="4"/>
  <c r="R236" i="4"/>
  <c r="H237" i="4"/>
  <c r="K237" i="4"/>
  <c r="N237" i="4" s="1"/>
  <c r="L237" i="4"/>
  <c r="M237" i="4"/>
  <c r="O237" i="4"/>
  <c r="P237" i="4"/>
  <c r="Q237" i="4"/>
  <c r="R237" i="4"/>
  <c r="H240" i="4"/>
  <c r="M240" i="4"/>
  <c r="N240" i="4"/>
  <c r="O240" i="4"/>
  <c r="P240" i="4"/>
  <c r="R240" i="4"/>
  <c r="T240" i="4" s="1"/>
  <c r="H241" i="4"/>
  <c r="M241" i="4"/>
  <c r="N241" i="4"/>
  <c r="O241" i="4"/>
  <c r="P241" i="4"/>
  <c r="R241" i="4"/>
  <c r="T241" i="4" s="1"/>
  <c r="H242" i="4"/>
  <c r="K242" i="4"/>
  <c r="L242" i="4"/>
  <c r="N242" i="4"/>
  <c r="T242" i="4" s="1"/>
  <c r="O242" i="4"/>
  <c r="P242" i="4"/>
  <c r="R242" i="4"/>
  <c r="F246" i="4"/>
  <c r="G246" i="4"/>
  <c r="H246" i="4"/>
  <c r="K246" i="4"/>
  <c r="N246" i="4" s="1"/>
  <c r="L246" i="4"/>
  <c r="M246" i="4"/>
  <c r="O246" i="4"/>
  <c r="P246" i="4"/>
  <c r="Q246" i="4"/>
  <c r="F247" i="4"/>
  <c r="H247" i="4" s="1"/>
  <c r="K247" i="4"/>
  <c r="L247" i="4"/>
  <c r="M247" i="4" s="1"/>
  <c r="O247" i="4"/>
  <c r="P247" i="4"/>
  <c r="Q247" i="4"/>
  <c r="F248" i="4"/>
  <c r="H248" i="4" s="1"/>
  <c r="I248" i="4"/>
  <c r="K248" i="4"/>
  <c r="L248" i="4"/>
  <c r="M248" i="4"/>
  <c r="N248" i="4"/>
  <c r="O248" i="4"/>
  <c r="P248" i="4"/>
  <c r="Q248" i="4"/>
  <c r="T248" i="4"/>
  <c r="F251" i="4"/>
  <c r="G251" i="4"/>
  <c r="H251" i="4" s="1"/>
  <c r="T251" i="4" s="1"/>
  <c r="J251" i="4"/>
  <c r="K251" i="4"/>
  <c r="L251" i="4"/>
  <c r="M251" i="4"/>
  <c r="N251" i="4"/>
  <c r="O251" i="4"/>
  <c r="P251" i="4"/>
  <c r="Q251" i="4"/>
  <c r="F252" i="4"/>
  <c r="G252" i="4"/>
  <c r="H252" i="4" s="1"/>
  <c r="T252" i="4" s="1"/>
  <c r="J252" i="4"/>
  <c r="K252" i="4"/>
  <c r="L252" i="4"/>
  <c r="M252" i="4"/>
  <c r="N252" i="4"/>
  <c r="O252" i="4"/>
  <c r="P252" i="4"/>
  <c r="Q252" i="4"/>
  <c r="F253" i="4"/>
  <c r="H253" i="4"/>
  <c r="T253" i="4" s="1"/>
  <c r="J253" i="4"/>
  <c r="K253" i="4"/>
  <c r="M253" i="4" s="1"/>
  <c r="L253" i="4"/>
  <c r="N253" i="4"/>
  <c r="O253" i="4"/>
  <c r="P253" i="4"/>
  <c r="Q253" i="4"/>
  <c r="F254" i="4"/>
  <c r="H254" i="4" s="1"/>
  <c r="J254" i="4"/>
  <c r="K254" i="4"/>
  <c r="M254" i="4" s="1"/>
  <c r="L254" i="4"/>
  <c r="N254" i="4"/>
  <c r="O254" i="4"/>
  <c r="P254" i="4"/>
  <c r="Q254" i="4"/>
  <c r="H257" i="4"/>
  <c r="T257" i="4" s="1"/>
  <c r="I257" i="4"/>
  <c r="M257" i="4"/>
  <c r="N257" i="4"/>
  <c r="O257" i="4"/>
  <c r="H258" i="4"/>
  <c r="I258" i="4"/>
  <c r="O258" i="4" s="1"/>
  <c r="T258" i="4" s="1"/>
  <c r="K258" i="4"/>
  <c r="M258" i="4"/>
  <c r="N258" i="4"/>
  <c r="G261" i="4"/>
  <c r="H261" i="4"/>
  <c r="T261" i="4" s="1"/>
  <c r="M261" i="4"/>
  <c r="N261" i="4"/>
  <c r="O261" i="4"/>
  <c r="P261" i="4"/>
  <c r="Q261" i="4"/>
  <c r="H262" i="4"/>
  <c r="K262" i="4"/>
  <c r="M262" i="4" s="1"/>
  <c r="N262" i="4"/>
  <c r="T262" i="4" s="1"/>
  <c r="O262" i="4"/>
  <c r="P262" i="4"/>
  <c r="Q262" i="4"/>
  <c r="H265" i="4"/>
  <c r="I265" i="4"/>
  <c r="P265" i="4"/>
  <c r="Q265" i="4"/>
  <c r="T265" i="4"/>
  <c r="H266" i="4"/>
  <c r="T266" i="4" s="1"/>
  <c r="I266" i="4"/>
  <c r="P266" i="4"/>
  <c r="Q266" i="4"/>
  <c r="H267" i="4"/>
  <c r="I267" i="4"/>
  <c r="P267" i="4"/>
  <c r="Q267" i="4"/>
  <c r="T267" i="4"/>
  <c r="H270" i="4"/>
  <c r="I270" i="4"/>
  <c r="P270" i="4"/>
  <c r="Q270" i="4"/>
  <c r="T270" i="4"/>
  <c r="H274" i="4"/>
  <c r="T274" i="4" s="1"/>
  <c r="N274" i="4"/>
  <c r="O274" i="4"/>
  <c r="P274" i="4"/>
  <c r="Q274" i="4"/>
  <c r="H277" i="4"/>
  <c r="T277" i="4" s="1"/>
  <c r="M277" i="4"/>
  <c r="N277" i="4"/>
  <c r="O277" i="4"/>
  <c r="P277" i="4"/>
  <c r="Q277" i="4"/>
  <c r="H281" i="4"/>
  <c r="T281" i="4" s="1"/>
  <c r="I281" i="4"/>
  <c r="J281" i="4"/>
  <c r="N281" i="4"/>
  <c r="O281" i="4"/>
  <c r="P281" i="4"/>
  <c r="Q281" i="4"/>
  <c r="H282" i="4"/>
  <c r="T282" i="4" s="1"/>
  <c r="I282" i="4"/>
  <c r="J282" i="4"/>
  <c r="K282" i="4"/>
  <c r="N282" i="4"/>
  <c r="O282" i="4"/>
  <c r="P282" i="4"/>
  <c r="Q282" i="4"/>
  <c r="H283" i="4"/>
  <c r="I283" i="4"/>
  <c r="J283" i="4"/>
  <c r="K283" i="4"/>
  <c r="M283" i="4" s="1"/>
  <c r="N283" i="4"/>
  <c r="T283" i="4" s="1"/>
  <c r="O283" i="4"/>
  <c r="P283" i="4"/>
  <c r="Q283" i="4"/>
  <c r="H286" i="4"/>
  <c r="I286" i="4"/>
  <c r="J286" i="4"/>
  <c r="M286" i="4"/>
  <c r="P286" i="4"/>
  <c r="Q286" i="4"/>
  <c r="H289" i="4"/>
  <c r="I289" i="4"/>
  <c r="M289" i="4"/>
  <c r="N289" i="4"/>
  <c r="O289" i="4"/>
  <c r="T289" i="4" s="1"/>
  <c r="P289" i="4"/>
  <c r="Q289" i="4"/>
  <c r="H290" i="4"/>
  <c r="I290" i="4"/>
  <c r="M290" i="4"/>
  <c r="N290" i="4"/>
  <c r="T290" i="4" s="1"/>
  <c r="O290" i="4"/>
  <c r="P290" i="4"/>
  <c r="Q290" i="4"/>
  <c r="H291" i="4"/>
  <c r="I291" i="4"/>
  <c r="M291" i="4"/>
  <c r="N291" i="4"/>
  <c r="O291" i="4"/>
  <c r="P291" i="4"/>
  <c r="Q291" i="4"/>
  <c r="T291" i="4"/>
  <c r="H294" i="4"/>
  <c r="I294" i="4"/>
  <c r="T294" i="4" s="1"/>
  <c r="P294" i="4"/>
  <c r="I295" i="4"/>
  <c r="H295" i="4" s="1"/>
  <c r="T295" i="4" s="1"/>
  <c r="M295" i="4"/>
  <c r="N295" i="4"/>
  <c r="P295" i="4"/>
  <c r="I296" i="4"/>
  <c r="H296" i="4" s="1"/>
  <c r="T296" i="4" s="1"/>
  <c r="M296" i="4"/>
  <c r="N296" i="4"/>
  <c r="O296" i="4"/>
  <c r="P296" i="4"/>
  <c r="H299" i="4"/>
  <c r="I299" i="4"/>
  <c r="N299" i="4"/>
  <c r="O299" i="4"/>
  <c r="P299" i="4"/>
  <c r="Q299" i="4"/>
  <c r="T299" i="4"/>
  <c r="H300" i="4"/>
  <c r="I300" i="4"/>
  <c r="M300" i="4"/>
  <c r="N300" i="4"/>
  <c r="O300" i="4"/>
  <c r="T300" i="4" s="1"/>
  <c r="P300" i="4"/>
  <c r="Q300" i="4"/>
  <c r="H301" i="4"/>
  <c r="I301" i="4"/>
  <c r="M301" i="4"/>
  <c r="N301" i="4"/>
  <c r="T301" i="4" s="1"/>
  <c r="O301" i="4"/>
  <c r="P301" i="4"/>
  <c r="Q301" i="4"/>
  <c r="H304" i="4"/>
  <c r="M304" i="4"/>
  <c r="T304" i="4" s="1"/>
  <c r="N304" i="4"/>
  <c r="O304" i="4"/>
  <c r="P304" i="4"/>
  <c r="R304" i="4"/>
  <c r="H305" i="4"/>
  <c r="M305" i="4"/>
  <c r="N305" i="4"/>
  <c r="T305" i="4" s="1"/>
  <c r="O305" i="4"/>
  <c r="P305" i="4"/>
  <c r="R305" i="4"/>
  <c r="H306" i="4"/>
  <c r="N306" i="4"/>
  <c r="O306" i="4"/>
  <c r="P306" i="4"/>
  <c r="R306" i="4"/>
  <c r="T306" i="4"/>
  <c r="H309" i="4"/>
  <c r="M309" i="4"/>
  <c r="N309" i="4"/>
  <c r="O309" i="4"/>
  <c r="P309" i="4"/>
  <c r="T309" i="4"/>
  <c r="H310" i="4"/>
  <c r="N310" i="4"/>
  <c r="O310" i="4"/>
  <c r="T310" i="4" s="1"/>
  <c r="P310" i="4"/>
  <c r="H311" i="4"/>
  <c r="T311" i="4" s="1"/>
  <c r="M311" i="4"/>
  <c r="N311" i="4"/>
  <c r="O311" i="4"/>
  <c r="P311" i="4"/>
  <c r="H314" i="4"/>
  <c r="I314" i="4"/>
  <c r="J314" i="4"/>
  <c r="P314" i="4"/>
  <c r="H315" i="4"/>
  <c r="I315" i="4"/>
  <c r="J315" i="4"/>
  <c r="P315" i="4"/>
  <c r="T100" i="4" l="1"/>
  <c r="T36" i="4"/>
  <c r="T156" i="4"/>
  <c r="T96" i="4"/>
  <c r="T247" i="4"/>
  <c r="T236" i="4"/>
  <c r="T99" i="4"/>
  <c r="T55" i="4"/>
  <c r="T237" i="4"/>
  <c r="T130" i="4"/>
  <c r="T12" i="4"/>
  <c r="T246" i="4"/>
  <c r="T186" i="4"/>
  <c r="T95" i="4"/>
  <c r="T82" i="4"/>
  <c r="U82" i="4"/>
  <c r="T40" i="4"/>
  <c r="V157" i="4"/>
  <c r="T157" i="4" s="1"/>
  <c r="U81" i="4"/>
  <c r="M173" i="4"/>
  <c r="H154" i="4"/>
  <c r="J129" i="4"/>
  <c r="T129" i="4" s="1"/>
  <c r="M62" i="4"/>
  <c r="O54" i="4"/>
  <c r="T54" i="4" s="1"/>
  <c r="M53" i="4"/>
  <c r="M15" i="4"/>
  <c r="U152" i="4"/>
  <c r="V152" i="4" s="1"/>
  <c r="T152" i="4" s="1"/>
  <c r="N13" i="4"/>
  <c r="T13" i="4" s="1"/>
  <c r="N236" i="4"/>
  <c r="H155" i="4"/>
  <c r="I254" i="4"/>
  <c r="T254" i="4" s="1"/>
  <c r="N185" i="4"/>
  <c r="T185" i="4" s="1"/>
  <c r="J173" i="4"/>
  <c r="T173" i="4" s="1"/>
  <c r="N95" i="4"/>
  <c r="N55" i="4"/>
  <c r="N40" i="4"/>
  <c r="O177" i="4"/>
  <c r="T177" i="4" s="1"/>
  <c r="J174" i="4"/>
  <c r="T174" i="4" s="1"/>
  <c r="H156" i="4"/>
  <c r="N43" i="4"/>
  <c r="T43" i="4" s="1"/>
  <c r="N92" i="4"/>
  <c r="T92" i="4" s="1"/>
  <c r="N56" i="4"/>
  <c r="T56" i="4" s="1"/>
  <c r="N247" i="4"/>
  <c r="N171" i="4"/>
  <c r="T171" i="4" s="1"/>
  <c r="N99" i="4"/>
  <c r="N93" i="4"/>
  <c r="T93" i="4" s="1"/>
  <c r="N17" i="4"/>
  <c r="T17" i="4" s="1"/>
</calcChain>
</file>

<file path=xl/sharedStrings.xml><?xml version="1.0" encoding="utf-8"?>
<sst xmlns="http://schemas.openxmlformats.org/spreadsheetml/2006/main" count="2411" uniqueCount="389">
  <si>
    <t>说明书 Introduction</t>
  </si>
  <si>
    <r>
      <t xml:space="preserve">
</t>
    </r>
    <r>
      <rPr>
        <sz val="12"/>
        <color indexed="30"/>
        <rFont val="宋体"/>
        <charset val="134"/>
      </rPr>
      <t>1.圣遗物副词条</t>
    </r>
    <r>
      <rPr>
        <sz val="12"/>
        <color indexed="10"/>
        <rFont val="宋体"/>
        <charset val="134"/>
      </rPr>
      <t xml:space="preserve">
①24词条毕业水准，大前提为养成周期30天；
</t>
    </r>
    <r>
      <rPr>
        <sz val="12"/>
        <rFont val="宋体"/>
        <charset val="134"/>
      </rPr>
      <t>②词条数分配双暴18条；
③主要有效属性6条（如，大攻击，大防御等）；
④有一种次要有效属性额外补4条（如，胡桃80精通）；
⑤有两种次要有效属性总共补3+3条（如，香菱）；
⑥单有效词条角色，14条（如心海的大生命）；
⑦三精通风系角色，花和羽毛总计8条精通。</t>
    </r>
    <r>
      <rPr>
        <sz val="12"/>
        <color indexed="10"/>
        <rFont val="宋体"/>
        <charset val="134"/>
      </rPr>
      <t xml:space="preserve">
</t>
    </r>
  </si>
  <si>
    <r>
      <t xml:space="preserve">2.装备、命座
</t>
    </r>
    <r>
      <rPr>
        <sz val="12"/>
        <rFont val="宋体"/>
        <charset val="134"/>
      </rPr>
      <t>①武器角色皆为90级
②五星武器默认精1；
③四星祈愿/活动武器默认精5；
④四星锻造/纪行武器默认精3；
⑤五星角色默认0命，四星角色默认6命。</t>
    </r>
  </si>
  <si>
    <r>
      <t xml:space="preserve">3.天赋等级
</t>
    </r>
    <r>
      <rPr>
        <sz val="12"/>
        <rFont val="宋体"/>
        <charset val="134"/>
      </rPr>
      <t>①技能加点在优先级正确为前提
②每个角色三个天赋等级分别为10、9、8（+3）；
③理性思考，皇冠收益不满意的技能不点满；
④没必要升的技能写6级表示诚意（如，万叶E）；
⑤完全无用的技能写2级刷存在感（如，雷神A）。</t>
    </r>
  </si>
  <si>
    <r>
      <t xml:space="preserve">
4.面板细则
</t>
    </r>
    <r>
      <rPr>
        <sz val="12"/>
        <rFont val="宋体"/>
        <charset val="134"/>
      </rPr>
      <t>①非冰系面板暴率计80%为上限，多余部分换算为等额暴伤；
②规定在突破、天赋、武器等都不加暴率的情况下，面板至多70%暴率（如护摩胡桃）；
③冰系考虑双冰、冰套考虑冻结。现有面板再加上这些buff后，以暴率90%封顶，甘雨蓄力箭100%暴率封顶；
④表格中的是面板值，若无特别说明则已隐藏buff值；
⑤若双暴对该角色没有意义，用any（任意）表示。</t>
    </r>
    <r>
      <rPr>
        <sz val="12"/>
        <color indexed="30"/>
        <rFont val="宋体"/>
        <charset val="134"/>
      </rPr>
      <t xml:space="preserve">
</t>
    </r>
  </si>
  <si>
    <r>
      <t>5.伤害/数值预估细则</t>
    </r>
    <r>
      <rPr>
        <sz val="12"/>
        <rFont val="宋体"/>
        <charset val="134"/>
      </rPr>
      <t xml:space="preserve">
①默认已暴击；给出的是暴击时伤害（因为比期望直观）；
②取一种容易实测且有实战评估价值的动作做数值预估；
③怪物模型：90级，10%抗性；</t>
    </r>
  </si>
  <si>
    <t>④岩系护盾的盾值计入了普遍生效的150%吸收量。钟离计入千岩4给全队提供的30%护盾强效，其余情况默认为基础盾值；
⑤烟绯是四层重击，可莉带金花；</t>
  </si>
  <si>
    <t>⑥结合实战经验，伤害预估时，不计狼末被动，岩系武器计带盾满层。
⑦香菱实战常绑班尼特，所以这里伤害是计入点赞+1202攻击的伤害，但面板计双火隐藏点赞buff。</t>
  </si>
  <si>
    <t>⑧流浪乐章算触发一种有效的被动；                        ⑨饰金4在数值预估时算14%攻击和100精通；</t>
  </si>
  <si>
    <t>角色</t>
  </si>
  <si>
    <t>武器</t>
  </si>
  <si>
    <t>套装</t>
  </si>
  <si>
    <t>主词条</t>
  </si>
  <si>
    <t>技能</t>
  </si>
  <si>
    <t>角色白值</t>
  </si>
  <si>
    <t>武器白值</t>
  </si>
  <si>
    <t>实际攻击</t>
  </si>
  <si>
    <t>生命</t>
  </si>
  <si>
    <t>元素精通</t>
  </si>
  <si>
    <t>额外暴率</t>
  </si>
  <si>
    <t>额外暴伤</t>
  </si>
  <si>
    <t>暴率</t>
  </si>
  <si>
    <t>暴伤</t>
  </si>
  <si>
    <t>增伤</t>
  </si>
  <si>
    <t>防御区</t>
  </si>
  <si>
    <t>抗性区</t>
  </si>
  <si>
    <t>倍率</t>
  </si>
  <si>
    <t>动作</t>
  </si>
  <si>
    <t>数值预估</t>
  </si>
  <si>
    <t>胡桃</t>
  </si>
  <si>
    <t>护摩之杖</t>
  </si>
  <si>
    <t>追忆4</t>
  </si>
  <si>
    <t>生火暴</t>
  </si>
  <si>
    <t>10/9/8</t>
  </si>
  <si>
    <t>重击蒸发</t>
  </si>
  <si>
    <t>精火暴</t>
  </si>
  <si>
    <t>匣里灭辰</t>
  </si>
  <si>
    <t>魔女4</t>
  </si>
  <si>
    <t>充能效率</t>
  </si>
  <si>
    <t>托马</t>
  </si>
  <si>
    <t>西风长枪</t>
  </si>
  <si>
    <t>2旗印2千岩</t>
  </si>
  <si>
    <t>充生暴</t>
  </si>
  <si>
    <t>2/12/11</t>
  </si>
  <si>
    <t>any</t>
  </si>
  <si>
    <t>/</t>
  </si>
  <si>
    <t>满层护盾</t>
  </si>
  <si>
    <t>黑缨枪</t>
  </si>
  <si>
    <t>充生生</t>
  </si>
  <si>
    <t>宵宫</t>
  </si>
  <si>
    <t>飞雷之弦振</t>
  </si>
  <si>
    <t>攻火暴</t>
  </si>
  <si>
    <t>10/9/7</t>
  </si>
  <si>
    <t>开E首箭</t>
  </si>
  <si>
    <t>弓藏</t>
  </si>
  <si>
    <t>烟绯</t>
  </si>
  <si>
    <t>四风原典</t>
  </si>
  <si>
    <t>乐团4</t>
  </si>
  <si>
    <t>10/10/12</t>
  </si>
  <si>
    <t>开Q重击蒸发</t>
  </si>
  <si>
    <t>流浪乐章</t>
  </si>
  <si>
    <t>可莉</t>
  </si>
  <si>
    <t>金花重击蒸发</t>
  </si>
  <si>
    <t>迪卢克</t>
  </si>
  <si>
    <t>狼的末路</t>
  </si>
  <si>
    <t>Q蒸发</t>
  </si>
  <si>
    <t>螭骨剑</t>
  </si>
  <si>
    <t>防御力</t>
  </si>
  <si>
    <t>辛焱</t>
  </si>
  <si>
    <t>无工之剑</t>
  </si>
  <si>
    <t>2苍白2骑士</t>
  </si>
  <si>
    <t>攻物暴</t>
  </si>
  <si>
    <t>9/10/13</t>
  </si>
  <si>
    <t>Q横扫</t>
  </si>
  <si>
    <t>白影剑</t>
  </si>
  <si>
    <t>祭礼大剑</t>
  </si>
  <si>
    <t>千岩4</t>
  </si>
  <si>
    <t>防防防</t>
  </si>
  <si>
    <t>6/12/11</t>
  </si>
  <si>
    <t>E盾值</t>
  </si>
  <si>
    <t>安柏</t>
  </si>
  <si>
    <t>终末嗟叹之诗</t>
  </si>
  <si>
    <t>宗室4</t>
  </si>
  <si>
    <t>10/11/12</t>
  </si>
  <si>
    <t>Q总共</t>
  </si>
  <si>
    <t>阿莫斯之弓</t>
  </si>
  <si>
    <t>蓄力蒸发</t>
  </si>
  <si>
    <t>香菱</t>
  </si>
  <si>
    <t>薙草之稻光</t>
  </si>
  <si>
    <t>旗印4</t>
  </si>
  <si>
    <t>充火暴</t>
  </si>
  <si>
    <t>2/11/13</t>
  </si>
  <si>
    <t>Q踩班蒸发</t>
  </si>
  <si>
    <t>天空之脊</t>
  </si>
  <si>
    <t>渔获</t>
  </si>
  <si>
    <t>班尼特</t>
  </si>
  <si>
    <t>风鹰剑</t>
  </si>
  <si>
    <t>天空之刃</t>
  </si>
  <si>
    <t>生命值</t>
  </si>
  <si>
    <t>少女4</t>
  </si>
  <si>
    <t>充生治</t>
  </si>
  <si>
    <t>Q治疗</t>
  </si>
  <si>
    <t>坎蒂丝</t>
  </si>
  <si>
    <t>生生暴</t>
  </si>
  <si>
    <t>2/10/11</t>
  </si>
  <si>
    <t>Q水波</t>
  </si>
  <si>
    <t>喜多院十文字</t>
  </si>
  <si>
    <t>生生生</t>
  </si>
  <si>
    <t>生命值3</t>
  </si>
  <si>
    <t>夜兰</t>
  </si>
  <si>
    <t>若水</t>
  </si>
  <si>
    <t>绝缘4</t>
  </si>
  <si>
    <t>充水暴</t>
  </si>
  <si>
    <t>8/9/10</t>
  </si>
  <si>
    <t>Q协同</t>
  </si>
  <si>
    <t>生水暴</t>
  </si>
  <si>
    <t>西风猎弓</t>
  </si>
  <si>
    <t>无余响</t>
  </si>
  <si>
    <t>神里绫人</t>
  </si>
  <si>
    <t>波乱月白经津</t>
  </si>
  <si>
    <t>余响4</t>
  </si>
  <si>
    <t>攻水暴</t>
  </si>
  <si>
    <t>6/10/9</t>
  </si>
  <si>
    <t>E首刀+余响/无</t>
  </si>
  <si>
    <t>磐岩结绿</t>
  </si>
  <si>
    <t>沉沦4</t>
  </si>
  <si>
    <t>E首刀+沉沦4</t>
  </si>
  <si>
    <t>黑剑</t>
  </si>
  <si>
    <t>治疗加成</t>
  </si>
  <si>
    <t>珊瑚宫心海</t>
  </si>
  <si>
    <t>不灭月华</t>
  </si>
  <si>
    <t>海染4</t>
  </si>
  <si>
    <t>生水治</t>
  </si>
  <si>
    <t>6/8/10</t>
  </si>
  <si>
    <t>开Q普攻</t>
  </si>
  <si>
    <t>试做金珀</t>
  </si>
  <si>
    <t>讨龙英杰谭</t>
  </si>
  <si>
    <t>生生治</t>
  </si>
  <si>
    <t>6/9/8</t>
  </si>
  <si>
    <t>水母回血</t>
  </si>
  <si>
    <t>达达利亚</t>
  </si>
  <si>
    <t>冬极百星</t>
  </si>
  <si>
    <t>2沉沦2乐团</t>
  </si>
  <si>
    <t>2/9/10</t>
  </si>
  <si>
    <t>近战Q蒸发</t>
  </si>
  <si>
    <t>2沉沦2角斗</t>
  </si>
  <si>
    <t>天空之翼</t>
  </si>
  <si>
    <t>苍翠猎弓</t>
  </si>
  <si>
    <t>行秋</t>
  </si>
  <si>
    <t>祭礼剑</t>
  </si>
  <si>
    <t>2沉沦2宗室</t>
  </si>
  <si>
    <t>2/12/13</t>
  </si>
  <si>
    <t>Q剑雨</t>
  </si>
  <si>
    <t>莫娜</t>
  </si>
  <si>
    <t>Q暴击蒸发</t>
  </si>
  <si>
    <t>Q暴击</t>
  </si>
  <si>
    <t>芭芭拉</t>
  </si>
  <si>
    <t>6/12/12</t>
  </si>
  <si>
    <t>Q瞬抬</t>
  </si>
  <si>
    <t>鹿野院平藏</t>
  </si>
  <si>
    <t>天空之卷</t>
  </si>
  <si>
    <t>翠绿4</t>
  </si>
  <si>
    <t>攻风暴</t>
  </si>
  <si>
    <t>8/13/11</t>
  </si>
  <si>
    <t>满豪意轰拳</t>
  </si>
  <si>
    <t>匣里日月</t>
  </si>
  <si>
    <t>早柚</t>
  </si>
  <si>
    <t>精攻治</t>
  </si>
  <si>
    <t>Q每次治疗</t>
  </si>
  <si>
    <t>西风大剑</t>
  </si>
  <si>
    <t>枫原万叶</t>
  </si>
  <si>
    <t>苍古自由之誓</t>
  </si>
  <si>
    <t>精精精</t>
  </si>
  <si>
    <t>6/6/6</t>
  </si>
  <si>
    <t>扩散</t>
  </si>
  <si>
    <t>铁蜂刺</t>
  </si>
  <si>
    <t>魈</t>
  </si>
  <si>
    <t>和璞鸢</t>
  </si>
  <si>
    <t>辰砂4</t>
  </si>
  <si>
    <t>10/8/9</t>
  </si>
  <si>
    <t>开大首插</t>
  </si>
  <si>
    <t>决斗之枪</t>
  </si>
  <si>
    <t>温迪</t>
  </si>
  <si>
    <t>绝弦</t>
  </si>
  <si>
    <t>充精精</t>
  </si>
  <si>
    <t>琴</t>
  </si>
  <si>
    <t>天目影打刀</t>
  </si>
  <si>
    <t>攻攻治</t>
  </si>
  <si>
    <t>6/9/10</t>
  </si>
  <si>
    <t>西风剑</t>
  </si>
  <si>
    <t>充攻治</t>
  </si>
  <si>
    <t>砂糖</t>
  </si>
  <si>
    <t>祭礼残章</t>
  </si>
  <si>
    <t>空/荧（风）</t>
  </si>
  <si>
    <t>攻击力</t>
  </si>
  <si>
    <t>赛诺</t>
  </si>
  <si>
    <t>赤沙之杖</t>
  </si>
  <si>
    <t>饰金4</t>
  </si>
  <si>
    <t>精雷暴</t>
  </si>
  <si>
    <t>E「裁定」激化</t>
  </si>
  <si>
    <t>攻雷暴</t>
  </si>
  <si>
    <t>如雷4</t>
  </si>
  <si>
    <t>多莉</t>
  </si>
  <si>
    <t>2/10/12</t>
  </si>
  <si>
    <t>Q治疗每跳</t>
  </si>
  <si>
    <t>钟剑</t>
  </si>
  <si>
    <t>久岐忍</t>
  </si>
  <si>
    <t>原木刀</t>
  </si>
  <si>
    <t>2/12/10</t>
  </si>
  <si>
    <t>E半血治疗</t>
  </si>
  <si>
    <t>精精治</t>
  </si>
  <si>
    <t>八重神子</t>
  </si>
  <si>
    <t>神乐之真意</t>
  </si>
  <si>
    <t>2如雷2角斗</t>
  </si>
  <si>
    <t>杀生樱落雷</t>
  </si>
  <si>
    <t>雷电将军</t>
  </si>
  <si>
    <t>充雷暴</t>
  </si>
  <si>
    <t>Q满层拔刀</t>
  </si>
  <si>
    <t>充攻暴</t>
  </si>
  <si>
    <t>九条裟罗</t>
  </si>
  <si>
    <t>6/13/12</t>
  </si>
  <si>
    <t>Q吃乌羽</t>
  </si>
  <si>
    <t>祭礼弓</t>
  </si>
  <si>
    <t>刻晴</t>
  </si>
  <si>
    <t>雾切之回光</t>
  </si>
  <si>
    <t>重击</t>
  </si>
  <si>
    <t>匣里龙吟</t>
  </si>
  <si>
    <t>雷泽</t>
  </si>
  <si>
    <t>角斗4</t>
  </si>
  <si>
    <t>普攻一段</t>
  </si>
  <si>
    <t>菲谢尔</t>
  </si>
  <si>
    <t>2/13/11</t>
  </si>
  <si>
    <t>奥兹攻击</t>
  </si>
  <si>
    <t>丽莎</t>
  </si>
  <si>
    <t>2雷2角斗</t>
  </si>
  <si>
    <t>8/13/12</t>
  </si>
  <si>
    <t>满层E</t>
  </si>
  <si>
    <t>8/12/13</t>
  </si>
  <si>
    <t>Q每段</t>
  </si>
  <si>
    <t>北斗</t>
  </si>
  <si>
    <t>6/12/13</t>
  </si>
  <si>
    <t>Q闪电链</t>
  </si>
  <si>
    <t>空/荧（雷）</t>
  </si>
  <si>
    <t>勾玉加充能</t>
  </si>
  <si>
    <t>提纳里</t>
  </si>
  <si>
    <t>猎人之径</t>
  </si>
  <si>
    <t>深林4</t>
  </si>
  <si>
    <t>精草暴</t>
  </si>
  <si>
    <t>激化藏蕴矢</t>
  </si>
  <si>
    <t>柯莱</t>
  </si>
  <si>
    <t>攻草暴</t>
  </si>
  <si>
    <t>6/10/12</t>
  </si>
  <si>
    <t>Q每跳激化</t>
  </si>
  <si>
    <t>空/荧（草）</t>
  </si>
  <si>
    <t>申鹤</t>
  </si>
  <si>
    <t>息灾</t>
  </si>
  <si>
    <t>2角斗2追忆</t>
  </si>
  <si>
    <t>攻攻攻</t>
  </si>
  <si>
    <t>2/10/9</t>
  </si>
  <si>
    <t>Q伤害</t>
  </si>
  <si>
    <t>伤害预估</t>
  </si>
  <si>
    <t>神里绫华</t>
  </si>
  <si>
    <t>冰风4</t>
  </si>
  <si>
    <t>攻冰暴</t>
  </si>
  <si>
    <t>9/8/10</t>
  </si>
  <si>
    <t>霜灭切割</t>
  </si>
  <si>
    <t>优菈</t>
  </si>
  <si>
    <t>松籁响起之时</t>
  </si>
  <si>
    <t>苍白4</t>
  </si>
  <si>
    <t>Q13层光剑</t>
  </si>
  <si>
    <t>（eQAAAAEAAAA）</t>
  </si>
  <si>
    <t>甘雨</t>
  </si>
  <si>
    <t>霜华矢绽放</t>
  </si>
  <si>
    <t>破魔之弓</t>
  </si>
  <si>
    <t>试做澹月</t>
  </si>
  <si>
    <t>霜华矢融化</t>
  </si>
  <si>
    <t>精冰暴</t>
  </si>
  <si>
    <t>凯亚</t>
  </si>
  <si>
    <t>6/11/13</t>
  </si>
  <si>
    <t>充冰暴</t>
  </si>
  <si>
    <t>重云</t>
  </si>
  <si>
    <t>2冰风2宗室</t>
  </si>
  <si>
    <t>七七</t>
  </si>
  <si>
    <t>6/9/9</t>
  </si>
  <si>
    <t>符文治疗</t>
  </si>
  <si>
    <t>笛剑</t>
  </si>
  <si>
    <t>迪奥娜</t>
  </si>
  <si>
    <t>2少女2千岩</t>
  </si>
  <si>
    <t>长E盾值</t>
  </si>
  <si>
    <t>罗莎莉亚</t>
  </si>
  <si>
    <t>埃洛伊</t>
  </si>
  <si>
    <t>2冰风2角斗</t>
  </si>
  <si>
    <t>Q满线圈</t>
  </si>
  <si>
    <t>荒泷一斗</t>
  </si>
  <si>
    <t>赤角石溃杵</t>
  </si>
  <si>
    <t>华馆4</t>
  </si>
  <si>
    <t>防岩暴</t>
  </si>
  <si>
    <t>开Q重击连斩</t>
  </si>
  <si>
    <t>五郎</t>
  </si>
  <si>
    <t>流放4</t>
  </si>
  <si>
    <t>充岩暴</t>
  </si>
  <si>
    <t>Q每次</t>
  </si>
  <si>
    <t>def倍率</t>
  </si>
  <si>
    <t>阿贝多</t>
  </si>
  <si>
    <t>辰砂之纺锤</t>
  </si>
  <si>
    <t>2/10/8</t>
  </si>
  <si>
    <t>E刹那之花</t>
  </si>
  <si>
    <t>磐岩4</t>
  </si>
  <si>
    <t>钟离</t>
  </si>
  <si>
    <t>E实际盾值</t>
  </si>
  <si>
    <t>Q开盾天星</t>
  </si>
  <si>
    <t>2磐岩2宗室</t>
  </si>
  <si>
    <t>生岩暴</t>
  </si>
  <si>
    <t>诺艾尔</t>
  </si>
  <si>
    <t>高达首刀</t>
  </si>
  <si>
    <t>凝光</t>
  </si>
  <si>
    <t>2磐岩2角斗</t>
  </si>
  <si>
    <t>攻岩暴</t>
  </si>
  <si>
    <t>9/12/13</t>
  </si>
  <si>
    <t>Q每颗</t>
  </si>
  <si>
    <t>尘世之锁</t>
  </si>
  <si>
    <t>空/荧（岩）</t>
  </si>
  <si>
    <t>Q每波</t>
  </si>
  <si>
    <t>防御</t>
  </si>
  <si>
    <t>云堇</t>
  </si>
  <si>
    <t>防防暴</t>
  </si>
  <si>
    <t>北斗攻击bug（已编辑</t>
  </si>
  <si>
    <t>芭芭拉生命加成（已编辑</t>
  </si>
  <si>
    <t>心海金珀（已编辑</t>
  </si>
  <si>
    <t>18+6（已编辑</t>
  </si>
  <si>
    <t>钟离8条大生命对齐万叶（已编辑</t>
  </si>
  <si>
    <t>行秋、托马写出充能（已编辑</t>
  </si>
  <si>
    <t>阿贝多加上千岩4（已编辑</t>
  </si>
  <si>
    <t>2.4版本：</t>
  </si>
  <si>
    <r>
      <t>添加</t>
    </r>
    <r>
      <rPr>
        <sz val="12"/>
        <color indexed="30"/>
        <rFont val="宋体"/>
        <charset val="134"/>
      </rPr>
      <t>申鹤</t>
    </r>
    <r>
      <rPr>
        <sz val="12"/>
        <rFont val="宋体"/>
        <charset val="134"/>
      </rPr>
      <t>相关数据</t>
    </r>
  </si>
  <si>
    <r>
      <t>添加</t>
    </r>
    <r>
      <rPr>
        <sz val="12"/>
        <color indexed="30"/>
        <rFont val="宋体"/>
        <charset val="134"/>
      </rPr>
      <t>云堇</t>
    </r>
    <r>
      <rPr>
        <sz val="12"/>
        <rFont val="宋体"/>
        <charset val="134"/>
      </rPr>
      <t>相关数据</t>
    </r>
  </si>
  <si>
    <r>
      <t>香菱</t>
    </r>
    <r>
      <rPr>
        <sz val="12"/>
        <rFont val="宋体"/>
        <charset val="134"/>
      </rPr>
      <t>攻击修正</t>
    </r>
  </si>
  <si>
    <r>
      <t>班尼特</t>
    </r>
    <r>
      <rPr>
        <sz val="12"/>
        <rFont val="宋体"/>
        <charset val="134"/>
      </rPr>
      <t>添加奶妈思路，两行，添加充能效率数据</t>
    </r>
  </si>
  <si>
    <r>
      <t>芭芭拉</t>
    </r>
    <r>
      <rPr>
        <sz val="12"/>
        <rFont val="宋体"/>
        <charset val="134"/>
      </rPr>
      <t>生命值修正，相应治疗数据变化</t>
    </r>
  </si>
  <si>
    <r>
      <t>甘雨</t>
    </r>
    <r>
      <rPr>
        <sz val="12"/>
        <rFont val="宋体"/>
        <charset val="134"/>
      </rPr>
      <t>试做攻击修正</t>
    </r>
  </si>
  <si>
    <r>
      <t>荒泷一斗</t>
    </r>
    <r>
      <rPr>
        <sz val="12"/>
        <rFont val="宋体"/>
        <charset val="134"/>
      </rPr>
      <t>添加白影剑的数据</t>
    </r>
  </si>
  <si>
    <r>
      <t>五郎</t>
    </r>
    <r>
      <rPr>
        <sz val="12"/>
        <rFont val="宋体"/>
        <charset val="134"/>
      </rPr>
      <t>添加充能效率数据</t>
    </r>
  </si>
  <si>
    <t>“如雷角斗4件套”bug</t>
  </si>
  <si>
    <t>魈攻击</t>
  </si>
  <si>
    <t>2.5版本：</t>
  </si>
  <si>
    <t>添加八重神子相关数据</t>
  </si>
  <si>
    <t>作图里菲谢尔、刻晴是2+2</t>
  </si>
  <si>
    <t>甘雨增加破魔之弓的数据</t>
  </si>
  <si>
    <t>2.6版本</t>
  </si>
  <si>
    <t>修正钟离2+2的生命值</t>
  </si>
  <si>
    <t>修正风系角色的精通数值，以及对应的扩散伤害</t>
  </si>
  <si>
    <t>添加神里绫人的相关数据</t>
  </si>
  <si>
    <t>修正流浪丽莎和优菈的伤害预估数值</t>
  </si>
  <si>
    <t>修正魈的白值，以及对应的攻击、伤害预估</t>
  </si>
  <si>
    <t>魈的圣遗物更新为辰砂4</t>
  </si>
  <si>
    <t>2.7版本</t>
  </si>
  <si>
    <r>
      <t>修正</t>
    </r>
    <r>
      <rPr>
        <sz val="12"/>
        <color indexed="30"/>
        <rFont val="宋体"/>
        <charset val="134"/>
      </rPr>
      <t>北斗</t>
    </r>
    <r>
      <rPr>
        <sz val="12"/>
        <rFont val="宋体"/>
        <charset val="134"/>
      </rPr>
      <t>相关数据</t>
    </r>
  </si>
  <si>
    <r>
      <t>修正</t>
    </r>
    <r>
      <rPr>
        <sz val="12"/>
        <color indexed="30"/>
        <rFont val="宋体"/>
        <charset val="134"/>
      </rPr>
      <t>烟绯</t>
    </r>
    <r>
      <rPr>
        <sz val="12"/>
        <rFont val="宋体"/>
        <charset val="134"/>
      </rPr>
      <t>圣遗物应为乐团4，数据不变</t>
    </r>
  </si>
  <si>
    <r>
      <t>修正图中文本，</t>
    </r>
    <r>
      <rPr>
        <sz val="12"/>
        <color indexed="30"/>
        <rFont val="宋体"/>
        <charset val="134"/>
      </rPr>
      <t>九条</t>
    </r>
    <r>
      <rPr>
        <sz val="12"/>
        <rFont val="宋体"/>
        <charset val="134"/>
      </rPr>
      <t>天空充雷暴</t>
    </r>
  </si>
  <si>
    <r>
      <rPr>
        <sz val="12"/>
        <color indexed="30"/>
        <rFont val="宋体"/>
        <charset val="134"/>
      </rPr>
      <t>香菱</t>
    </r>
    <r>
      <rPr>
        <sz val="12"/>
        <rFont val="宋体"/>
        <charset val="134"/>
      </rPr>
      <t>添加稻光相关数据。</t>
    </r>
  </si>
  <si>
    <r>
      <rPr>
        <sz val="12"/>
        <color indexed="30"/>
        <rFont val="宋体"/>
        <charset val="134"/>
      </rPr>
      <t>公子</t>
    </r>
    <r>
      <rPr>
        <sz val="12"/>
        <rFont val="宋体"/>
        <charset val="134"/>
      </rPr>
      <t>添加绿弓相关数据，并且添加一条冬极2水2乐团的配置。</t>
    </r>
  </si>
  <si>
    <r>
      <rPr>
        <sz val="12"/>
        <color indexed="30"/>
        <rFont val="宋体"/>
        <charset val="134"/>
      </rPr>
      <t>班尼特、万叶、荒泷一斗</t>
    </r>
    <r>
      <rPr>
        <sz val="12"/>
        <rFont val="宋体"/>
        <charset val="134"/>
      </rPr>
      <t>添加充能效率文本。</t>
    </r>
  </si>
  <si>
    <r>
      <t>添加</t>
    </r>
    <r>
      <rPr>
        <sz val="12"/>
        <color indexed="30"/>
        <rFont val="宋体"/>
        <charset val="134"/>
      </rPr>
      <t>夜兰</t>
    </r>
    <r>
      <rPr>
        <sz val="12"/>
        <rFont val="宋体"/>
        <charset val="134"/>
      </rPr>
      <t>相关数据</t>
    </r>
  </si>
  <si>
    <r>
      <t>添加</t>
    </r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相关数据</t>
    </r>
  </si>
  <si>
    <t>2.8版本</t>
  </si>
  <si>
    <t>修正砂糖金珀、讨龙的精通</t>
  </si>
  <si>
    <t>添加鹿野院平藏相关数据</t>
  </si>
  <si>
    <t>修正久岐忍的数据</t>
  </si>
  <si>
    <t>3.0版本</t>
  </si>
  <si>
    <r>
      <t>添加</t>
    </r>
    <r>
      <rPr>
        <sz val="12"/>
        <color indexed="30"/>
        <rFont val="宋体"/>
        <charset val="134"/>
      </rPr>
      <t>提纳里、柯莱、草旅行者</t>
    </r>
    <r>
      <rPr>
        <sz val="12"/>
        <rFont val="宋体"/>
        <charset val="134"/>
      </rPr>
      <t>相关数据</t>
    </r>
  </si>
  <si>
    <r>
      <rPr>
        <sz val="12"/>
        <color indexed="30"/>
        <rFont val="宋体"/>
        <charset val="134"/>
      </rPr>
      <t>琴</t>
    </r>
    <r>
      <rPr>
        <sz val="12"/>
        <rFont val="宋体"/>
        <charset val="134"/>
      </rPr>
      <t>的圣遗物改成翠绿4</t>
    </r>
  </si>
  <si>
    <r>
      <rPr>
        <sz val="12"/>
        <color indexed="30"/>
        <rFont val="宋体"/>
        <charset val="134"/>
      </rPr>
      <t>琴</t>
    </r>
    <r>
      <rPr>
        <sz val="12"/>
        <rFont val="宋体"/>
        <charset val="134"/>
      </rPr>
      <t>“腐殖之剑”的词条换成“天目影打刀”，对应的攻击、治疗预估数值也有更新</t>
    </r>
  </si>
  <si>
    <r>
      <rPr>
        <sz val="12"/>
        <color indexed="30"/>
        <rFont val="宋体"/>
        <charset val="134"/>
      </rPr>
      <t>枫原万叶</t>
    </r>
    <r>
      <rPr>
        <sz val="12"/>
        <rFont val="宋体"/>
        <charset val="134"/>
      </rPr>
      <t>添加祭礼剑的数据</t>
    </r>
  </si>
  <si>
    <r>
      <t>修正</t>
    </r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的生命、治疗预估数值</t>
    </r>
  </si>
  <si>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的苍古换成原木刀，添加饰金4西风的数据</t>
    </r>
  </si>
  <si>
    <r>
      <rPr>
        <sz val="12"/>
        <color indexed="30"/>
        <rFont val="宋体"/>
        <charset val="134"/>
      </rPr>
      <t>刻晴</t>
    </r>
    <r>
      <rPr>
        <sz val="12"/>
        <rFont val="宋体"/>
        <charset val="134"/>
      </rPr>
      <t>圣遗物改为如雷4</t>
    </r>
  </si>
  <si>
    <r>
      <rPr>
        <sz val="12"/>
        <color indexed="30"/>
        <rFont val="宋体"/>
        <charset val="134"/>
      </rPr>
      <t>八重神子</t>
    </r>
    <r>
      <rPr>
        <sz val="12"/>
        <rFont val="宋体"/>
        <charset val="134"/>
      </rPr>
      <t>删掉匣里日月一行，添加一行神乐饰金4的数据</t>
    </r>
  </si>
  <si>
    <r>
      <rPr>
        <sz val="12"/>
        <color indexed="30"/>
        <rFont val="宋体"/>
        <charset val="134"/>
      </rPr>
      <t>菲谢尔</t>
    </r>
    <r>
      <rPr>
        <sz val="12"/>
        <rFont val="宋体"/>
        <charset val="134"/>
      </rPr>
      <t>添加饰金4的数据</t>
    </r>
  </si>
  <si>
    <r>
      <rPr>
        <sz val="12"/>
        <color indexed="30"/>
        <rFont val="宋体"/>
        <charset val="134"/>
      </rPr>
      <t>甘雨</t>
    </r>
    <r>
      <rPr>
        <sz val="12"/>
        <rFont val="宋体"/>
        <charset val="134"/>
      </rPr>
      <t>改用“霜华矢绽放”作参考</t>
    </r>
  </si>
  <si>
    <r>
      <rPr>
        <sz val="12"/>
        <color indexed="30"/>
        <rFont val="宋体"/>
        <charset val="134"/>
      </rPr>
      <t>甘雨</t>
    </r>
    <r>
      <rPr>
        <sz val="12"/>
        <rFont val="宋体"/>
        <charset val="134"/>
      </rPr>
      <t>乐团改用“霜华矢融化”作参考</t>
    </r>
  </si>
  <si>
    <t>3.0下半</t>
  </si>
  <si>
    <r>
      <t>修正</t>
    </r>
    <r>
      <rPr>
        <sz val="12"/>
        <color indexed="30"/>
        <rFont val="宋体"/>
        <charset val="134"/>
      </rPr>
      <t>提纳里</t>
    </r>
    <r>
      <rPr>
        <sz val="12"/>
        <rFont val="宋体"/>
        <charset val="134"/>
      </rPr>
      <t>的白值，对应的攻击和伤害预估</t>
    </r>
  </si>
  <si>
    <r>
      <t>修正</t>
    </r>
    <r>
      <rPr>
        <sz val="12"/>
        <color indexed="30"/>
        <rFont val="宋体"/>
        <charset val="134"/>
      </rPr>
      <t>优菈</t>
    </r>
    <r>
      <rPr>
        <sz val="12"/>
        <rFont val="宋体"/>
        <charset val="134"/>
      </rPr>
      <t>的伤害预估</t>
    </r>
  </si>
  <si>
    <r>
      <t>丽莎</t>
    </r>
    <r>
      <rPr>
        <sz val="12"/>
        <rFont val="宋体"/>
        <charset val="134"/>
      </rPr>
      <t>图中物杯→雷杯文本修正</t>
    </r>
  </si>
  <si>
    <r>
      <t>菲谢尔</t>
    </r>
    <r>
      <rPr>
        <sz val="12"/>
        <rFont val="宋体"/>
        <charset val="134"/>
      </rPr>
      <t>、</t>
    </r>
    <r>
      <rPr>
        <sz val="12"/>
        <color indexed="30"/>
        <rFont val="宋体"/>
        <charset val="134"/>
      </rPr>
      <t>刻晴</t>
    </r>
    <r>
      <rPr>
        <sz val="12"/>
        <rFont val="宋体"/>
        <charset val="134"/>
      </rPr>
      <t>、</t>
    </r>
    <r>
      <rPr>
        <sz val="12"/>
        <color indexed="30"/>
        <rFont val="宋体"/>
        <charset val="134"/>
      </rPr>
      <t>丽莎</t>
    </r>
    <r>
      <rPr>
        <sz val="12"/>
        <rFont val="宋体"/>
        <charset val="134"/>
      </rPr>
      <t>添加元素精通的参考数据</t>
    </r>
  </si>
  <si>
    <r>
      <t>添加</t>
    </r>
    <r>
      <rPr>
        <sz val="12"/>
        <color indexed="30"/>
        <rFont val="宋体"/>
        <charset val="134"/>
      </rPr>
      <t>多莉</t>
    </r>
    <r>
      <rPr>
        <sz val="12"/>
        <rFont val="宋体"/>
        <charset val="134"/>
      </rPr>
      <t>相关数据</t>
    </r>
  </si>
  <si>
    <r>
      <t>修正</t>
    </r>
    <r>
      <rPr>
        <sz val="12"/>
        <color indexed="30"/>
        <rFont val="宋体"/>
        <charset val="134"/>
      </rPr>
      <t>钟离</t>
    </r>
    <r>
      <rPr>
        <sz val="12"/>
        <rFont val="宋体"/>
        <charset val="134"/>
      </rPr>
      <t>护摩生生生的生命值以及对应的伤害预估</t>
    </r>
  </si>
  <si>
    <t>添加赛诺、坎蒂丝相关数据</t>
  </si>
  <si>
    <t>云堇删去稻光、天空，添加喜多院十文字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</si>
</sst>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14" x14ac:knownFonts="1">
    <font>
      <sz val="12"/>
      <name val="宋体"/>
      <charset val="134"/>
    </font>
    <font>
      <sz val="12"/>
      <color indexed="30"/>
      <name val="宋体"/>
      <charset val="134"/>
    </font>
    <font>
      <sz val="11"/>
      <color indexed="8"/>
      <name val="宋体"/>
      <charset val="134"/>
    </font>
    <font>
      <sz val="12"/>
      <color indexed="30"/>
      <name val="宋体"/>
      <charset val="134"/>
    </font>
    <font>
      <sz val="12"/>
      <color indexed="10"/>
      <name val="宋体"/>
      <charset val="134"/>
    </font>
    <font>
      <sz val="11"/>
      <color theme="1"/>
      <name val="宋体"/>
      <charset val="134"/>
      <scheme val="minor"/>
    </font>
    <font>
      <sz val="12"/>
      <color rgb="FF0070C0"/>
      <name val="宋体"/>
      <charset val="134"/>
    </font>
    <font>
      <b/>
      <sz val="16"/>
      <color rgb="FF0070C0"/>
      <name val="宋体"/>
      <charset val="134"/>
    </font>
    <font>
      <sz val="12"/>
      <color rgb="FFC00000"/>
      <name val="宋体"/>
      <charset val="134"/>
    </font>
    <font>
      <sz val="12"/>
      <color theme="2" tint="-9.9978637043366805E-2"/>
      <name val="宋体"/>
      <charset val="134"/>
    </font>
    <font>
      <sz val="12"/>
      <color theme="2"/>
      <name val="宋体"/>
      <charset val="134"/>
    </font>
    <font>
      <sz val="12"/>
      <color theme="0" tint="-0.14999847407452621"/>
      <name val="宋体"/>
      <charset val="134"/>
    </font>
    <font>
      <sz val="12"/>
      <color theme="0" tint="-4.9989318521683403E-2"/>
      <name val="宋体"/>
      <charset val="134"/>
    </font>
    <font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EAE9"/>
        <bgColor indexed="64"/>
      </patternFill>
    </fill>
    <fill>
      <patternFill patternType="solid">
        <fgColor rgb="FFBDEFFF"/>
        <bgColor indexed="64"/>
      </patternFill>
    </fill>
    <fill>
      <patternFill patternType="solid">
        <fgColor rgb="FFB7FFD8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EF1"/>
        <bgColor indexed="64"/>
      </patternFill>
    </fill>
    <fill>
      <patternFill patternType="solid">
        <fgColor rgb="FFFFE9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67">
    <xf numFmtId="0" fontId="0" fillId="0" borderId="0" xfId="0">
      <alignment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176" fontId="0" fillId="0" borderId="0" xfId="0" applyNumberFormat="1" applyFill="1">
      <alignment vertical="center"/>
    </xf>
    <xf numFmtId="176" fontId="10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176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0" fontId="0" fillId="6" borderId="0" xfId="0" applyNumberFormat="1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0" fontId="6" fillId="0" borderId="0" xfId="0" applyNumberFormat="1" applyFon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176" fontId="0" fillId="7" borderId="0" xfId="0" applyNumberFormat="1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10" fontId="6" fillId="7" borderId="0" xfId="0" applyNumberFormat="1" applyFont="1" applyFill="1" applyAlignment="1">
      <alignment horizontal="center" vertical="center"/>
    </xf>
    <xf numFmtId="10" fontId="0" fillId="7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5"/>
  <sheetViews>
    <sheetView tabSelected="1" topLeftCell="A184" zoomScale="90" zoomScaleSheetLayoutView="100" workbookViewId="0">
      <selection activeCell="J227" sqref="J227"/>
    </sheetView>
  </sheetViews>
  <sheetFormatPr defaultColWidth="9" defaultRowHeight="15" x14ac:dyDescent="0.25"/>
  <cols>
    <col min="1" max="1" width="12.83203125" style="6" customWidth="1"/>
    <col min="2" max="2" width="13.9140625" style="6" customWidth="1"/>
    <col min="3" max="3" width="12.83203125" style="6" customWidth="1"/>
    <col min="4" max="4" width="7.5" style="6" customWidth="1"/>
    <col min="5" max="5" width="9.5" style="7" customWidth="1"/>
    <col min="6" max="7" width="9.5" style="8" customWidth="1"/>
    <col min="8" max="8" width="9.5" style="9" customWidth="1"/>
    <col min="9" max="9" width="9.5" style="10" customWidth="1"/>
    <col min="10" max="10" width="9.5" style="11" customWidth="1"/>
    <col min="11" max="12" width="9.5" style="12" customWidth="1"/>
    <col min="13" max="13" width="7.5" style="13" customWidth="1"/>
    <col min="14" max="14" width="11.5" style="13" customWidth="1"/>
    <col min="15" max="15" width="8.5" style="12" customWidth="1"/>
    <col min="16" max="17" width="7.5" style="8" customWidth="1"/>
    <col min="18" max="18" width="9.5" style="12" customWidth="1"/>
    <col min="19" max="19" width="15.58203125" style="6" customWidth="1"/>
    <col min="20" max="20" width="10.58203125" style="9" customWidth="1"/>
    <col min="22" max="22" width="11.58203125" customWidth="1"/>
  </cols>
  <sheetData>
    <row r="1" spans="1:23" ht="21" x14ac:dyDescent="0.25">
      <c r="A1" s="57" t="s">
        <v>0</v>
      </c>
      <c r="B1" s="57"/>
      <c r="C1" s="57"/>
      <c r="D1" s="57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7"/>
      <c r="T1" s="58"/>
    </row>
    <row r="2" spans="1:23" ht="31" customHeight="1" x14ac:dyDescent="0.25">
      <c r="A2" s="66" t="s">
        <v>1</v>
      </c>
      <c r="B2" s="66"/>
      <c r="C2" s="66"/>
      <c r="D2" s="66"/>
      <c r="E2" s="66"/>
      <c r="F2" s="64" t="s">
        <v>2</v>
      </c>
      <c r="G2" s="64"/>
      <c r="H2" s="64"/>
      <c r="I2" s="64"/>
      <c r="J2" s="64" t="s">
        <v>3</v>
      </c>
      <c r="K2" s="64"/>
      <c r="L2" s="64"/>
      <c r="M2" s="64"/>
      <c r="N2" s="64"/>
      <c r="O2" s="64" t="s">
        <v>4</v>
      </c>
      <c r="P2" s="64"/>
      <c r="Q2" s="64"/>
      <c r="R2" s="64"/>
      <c r="S2" s="64"/>
      <c r="T2" s="64"/>
      <c r="U2" s="15"/>
      <c r="V2" s="15"/>
      <c r="W2" s="15"/>
    </row>
    <row r="3" spans="1:23" ht="31" customHeight="1" x14ac:dyDescent="0.25">
      <c r="A3" s="66"/>
      <c r="B3" s="66"/>
      <c r="C3" s="66"/>
      <c r="D3" s="66"/>
      <c r="E3" s="66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15"/>
      <c r="V3" s="15"/>
      <c r="W3" s="15"/>
    </row>
    <row r="4" spans="1:23" ht="31" customHeight="1" x14ac:dyDescent="0.25">
      <c r="A4" s="66"/>
      <c r="B4" s="66"/>
      <c r="C4" s="66"/>
      <c r="D4" s="66"/>
      <c r="E4" s="66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15"/>
      <c r="V4" s="15"/>
      <c r="W4" s="15"/>
    </row>
    <row r="5" spans="1:23" ht="31" customHeight="1" x14ac:dyDescent="0.25">
      <c r="A5" s="66"/>
      <c r="B5" s="66"/>
      <c r="C5" s="66"/>
      <c r="D5" s="66"/>
      <c r="E5" s="66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15"/>
      <c r="V5" s="15"/>
      <c r="W5" s="15"/>
    </row>
    <row r="6" spans="1:23" ht="31" customHeight="1" x14ac:dyDescent="0.25">
      <c r="A6" s="66"/>
      <c r="B6" s="66"/>
      <c r="C6" s="66"/>
      <c r="D6" s="66"/>
      <c r="E6" s="66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15"/>
      <c r="V6" s="15"/>
      <c r="W6" s="15"/>
    </row>
    <row r="7" spans="1:23" ht="26" customHeight="1" x14ac:dyDescent="0.25">
      <c r="A7" s="64" t="s">
        <v>5</v>
      </c>
      <c r="B7" s="65"/>
      <c r="C7" s="65"/>
      <c r="D7" s="65"/>
      <c r="E7" s="65"/>
      <c r="F7" s="65" t="s">
        <v>6</v>
      </c>
      <c r="G7" s="64"/>
      <c r="H7" s="64"/>
      <c r="I7" s="64"/>
      <c r="J7" s="65" t="s">
        <v>7</v>
      </c>
      <c r="K7" s="64"/>
      <c r="L7" s="64"/>
      <c r="M7" s="64"/>
      <c r="N7" s="64"/>
      <c r="O7" s="65" t="s">
        <v>8</v>
      </c>
      <c r="P7" s="64"/>
      <c r="Q7" s="64"/>
      <c r="R7" s="64"/>
      <c r="S7" s="64"/>
      <c r="T7" s="64"/>
      <c r="U7" s="3"/>
      <c r="V7" s="3"/>
      <c r="W7" s="3"/>
    </row>
    <row r="8" spans="1:23" ht="26" customHeight="1" x14ac:dyDescent="0.25">
      <c r="A8" s="65"/>
      <c r="B8" s="65"/>
      <c r="C8" s="65"/>
      <c r="D8" s="65"/>
      <c r="E8" s="65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3"/>
      <c r="V8" s="3"/>
      <c r="W8" s="3"/>
    </row>
    <row r="9" spans="1:23" ht="26" customHeight="1" x14ac:dyDescent="0.25">
      <c r="A9" s="65"/>
      <c r="B9" s="65"/>
      <c r="C9" s="65"/>
      <c r="D9" s="65"/>
      <c r="E9" s="65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3"/>
      <c r="V9" s="3"/>
      <c r="W9" s="3"/>
    </row>
    <row r="10" spans="1:23" x14ac:dyDescent="0.2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</row>
    <row r="11" spans="1:23" x14ac:dyDescent="0.25">
      <c r="A11" s="6" t="s">
        <v>9</v>
      </c>
      <c r="B11" s="6" t="s">
        <v>10</v>
      </c>
      <c r="C11" s="6" t="s">
        <v>11</v>
      </c>
      <c r="D11" s="6" t="s">
        <v>12</v>
      </c>
      <c r="E11" s="7" t="s">
        <v>13</v>
      </c>
      <c r="F11" s="8" t="s">
        <v>14</v>
      </c>
      <c r="G11" s="8" t="s">
        <v>15</v>
      </c>
      <c r="H11" s="9" t="s">
        <v>16</v>
      </c>
      <c r="I11" s="10" t="s">
        <v>17</v>
      </c>
      <c r="J11" s="10" t="s">
        <v>18</v>
      </c>
      <c r="K11" s="12" t="s">
        <v>19</v>
      </c>
      <c r="L11" s="12" t="s">
        <v>20</v>
      </c>
      <c r="M11" s="13" t="s">
        <v>21</v>
      </c>
      <c r="N11" s="13" t="s">
        <v>22</v>
      </c>
      <c r="O11" s="12" t="s">
        <v>23</v>
      </c>
      <c r="P11" s="8" t="s">
        <v>24</v>
      </c>
      <c r="Q11" s="8" t="s">
        <v>25</v>
      </c>
      <c r="R11" s="12" t="s">
        <v>26</v>
      </c>
      <c r="S11" s="6" t="s">
        <v>27</v>
      </c>
      <c r="T11" s="9" t="s">
        <v>28</v>
      </c>
    </row>
    <row r="12" spans="1:23" x14ac:dyDescent="0.25">
      <c r="A12" s="6" t="s">
        <v>29</v>
      </c>
      <c r="B12" s="6" t="s">
        <v>30</v>
      </c>
      <c r="C12" s="6" t="s">
        <v>31</v>
      </c>
      <c r="D12" s="6" t="s">
        <v>32</v>
      </c>
      <c r="E12" s="7" t="s">
        <v>33</v>
      </c>
      <c r="F12" s="8">
        <f>106</f>
        <v>106</v>
      </c>
      <c r="G12" s="8">
        <f>608</f>
        <v>608</v>
      </c>
      <c r="H12" s="9">
        <f>(F12+G12)*(1+0.2+0.18)+311+(5.96%+1.8%)*I12</f>
        <v>4039.8860032000002</v>
      </c>
      <c r="I12" s="10">
        <f>15552*(1+0.466+0.3+0.2)+4780</f>
        <v>35355.232000000004</v>
      </c>
      <c r="J12" s="11">
        <f>80</f>
        <v>80</v>
      </c>
      <c r="K12" s="12">
        <f>0</f>
        <v>0</v>
      </c>
      <c r="L12" s="12">
        <f>38.4%+66.2%</f>
        <v>1.046</v>
      </c>
      <c r="M12" s="13">
        <f>63.55%+K12/2+L12/4-19.7%</f>
        <v>0.70000000000000007</v>
      </c>
      <c r="N12" s="13">
        <f>63.55%*2+K12+L12/2+19.7%*2-6.6%*2</f>
        <v>2.056</v>
      </c>
      <c r="O12" s="12">
        <f>0.466+0.5+0.33</f>
        <v>1.296</v>
      </c>
      <c r="P12" s="8">
        <f>0.5</f>
        <v>0.5</v>
      </c>
      <c r="Q12" s="8">
        <f>0.9</f>
        <v>0.9</v>
      </c>
      <c r="R12" s="12">
        <f>2.4257</f>
        <v>2.4257</v>
      </c>
      <c r="S12" s="6" t="s">
        <v>34</v>
      </c>
      <c r="T12" s="9">
        <f>H12*R12*(1+O12)*(1+N12)*P12*Q12*1.5*(1+(2.78*J12)/(J12+1400))</f>
        <v>53386.948774124219</v>
      </c>
    </row>
    <row r="13" spans="1:23" x14ac:dyDescent="0.25">
      <c r="A13" s="6" t="s">
        <v>29</v>
      </c>
      <c r="B13" s="6" t="s">
        <v>30</v>
      </c>
      <c r="C13" s="6" t="s">
        <v>31</v>
      </c>
      <c r="D13" s="6" t="s">
        <v>35</v>
      </c>
      <c r="E13" s="7" t="s">
        <v>33</v>
      </c>
      <c r="F13" s="8">
        <f>106</f>
        <v>106</v>
      </c>
      <c r="G13" s="8">
        <f>608</f>
        <v>608</v>
      </c>
      <c r="H13" s="9">
        <f>(F13+G13)*(1+0.2+0.18)+311+(5.96%+1.8%)*I13</f>
        <v>3477.5007999999998</v>
      </c>
      <c r="I13" s="10">
        <f>15552*(1+0.3+0.2)+4780</f>
        <v>28108</v>
      </c>
      <c r="J13" s="11">
        <f>80+187</f>
        <v>267</v>
      </c>
      <c r="K13" s="12">
        <f>0</f>
        <v>0</v>
      </c>
      <c r="L13" s="12">
        <f>38.4%+66.2%</f>
        <v>1.046</v>
      </c>
      <c r="M13" s="13">
        <f>63.55%+K13/2+L13/4-19.7%</f>
        <v>0.70000000000000007</v>
      </c>
      <c r="N13" s="13">
        <f>63.55%*2+K13+L13/2+19.7%*2-6.6%*2</f>
        <v>2.056</v>
      </c>
      <c r="O13" s="12">
        <f>0.466+0.5+0.33</f>
        <v>1.296</v>
      </c>
      <c r="P13" s="8">
        <f>0.5</f>
        <v>0.5</v>
      </c>
      <c r="Q13" s="8">
        <f>0.9</f>
        <v>0.9</v>
      </c>
      <c r="R13" s="12">
        <f>2.4257</f>
        <v>2.4257</v>
      </c>
      <c r="S13" s="6" t="s">
        <v>34</v>
      </c>
      <c r="T13" s="9">
        <f>H13*R13*(1+O13)*(1+N13)*P13*Q13*1.5*(1+(2.78*J13)/(J13+1400))</f>
        <v>57740.61478722524</v>
      </c>
    </row>
    <row r="14" spans="1:23" x14ac:dyDescent="0.25">
      <c r="A14" s="6" t="s">
        <v>29</v>
      </c>
      <c r="B14" s="6" t="s">
        <v>36</v>
      </c>
      <c r="C14" s="6" t="s">
        <v>31</v>
      </c>
      <c r="D14" s="6" t="s">
        <v>32</v>
      </c>
      <c r="E14" s="7" t="s">
        <v>33</v>
      </c>
      <c r="F14" s="8">
        <f>106</f>
        <v>106</v>
      </c>
      <c r="G14" s="8">
        <v>454</v>
      </c>
      <c r="H14" s="9">
        <f>(F14+G14)*(1+0.2+0.18)+311+(5.96%)*I14</f>
        <v>3005.5919871999999</v>
      </c>
      <c r="I14" s="10">
        <f>15552*(1+0.466+0.3)+4780</f>
        <v>32244.831999999999</v>
      </c>
      <c r="J14" s="11">
        <f>80+221</f>
        <v>301</v>
      </c>
      <c r="K14" s="12">
        <f>0</f>
        <v>0</v>
      </c>
      <c r="L14" s="12">
        <f>38.4%</f>
        <v>0.38400000000000001</v>
      </c>
      <c r="M14" s="13">
        <f>60.25%+K14/2+L14/4</f>
        <v>0.69850000000000001</v>
      </c>
      <c r="N14" s="13">
        <f>60.25%*2+K14+L14/2</f>
        <v>1.397</v>
      </c>
      <c r="O14" s="12">
        <f>0.466+0.5+0.33+0.36</f>
        <v>1.6560000000000001</v>
      </c>
      <c r="P14" s="8">
        <f>0.5</f>
        <v>0.5</v>
      </c>
      <c r="Q14" s="8">
        <f>0.9</f>
        <v>0.9</v>
      </c>
      <c r="R14" s="12">
        <f>2.4257</f>
        <v>2.4257</v>
      </c>
      <c r="S14" s="6" t="s">
        <v>34</v>
      </c>
      <c r="T14" s="9">
        <f>H14*R14*(1+O14)*(1+N14)*P14*Q14*1.5*(1+(2.78*J14)/(J14+1400))</f>
        <v>46743.006945727582</v>
      </c>
    </row>
    <row r="15" spans="1:23" x14ac:dyDescent="0.25">
      <c r="A15" s="6" t="s">
        <v>29</v>
      </c>
      <c r="B15" s="6" t="s">
        <v>36</v>
      </c>
      <c r="C15" s="6" t="s">
        <v>31</v>
      </c>
      <c r="D15" s="6" t="s">
        <v>35</v>
      </c>
      <c r="E15" s="7" t="s">
        <v>33</v>
      </c>
      <c r="F15" s="8">
        <f>106</f>
        <v>106</v>
      </c>
      <c r="G15" s="8">
        <v>454</v>
      </c>
      <c r="H15" s="9">
        <f>(F15+G15)*(1+0.2+0.18)+311+(5.96%)*I15</f>
        <v>2573.6569600000003</v>
      </c>
      <c r="I15" s="10">
        <f>15552*(1+0.3)+4780</f>
        <v>24997.600000000002</v>
      </c>
      <c r="J15" s="11">
        <f>80+187+221</f>
        <v>488</v>
      </c>
      <c r="K15" s="12">
        <f>0</f>
        <v>0</v>
      </c>
      <c r="L15" s="12">
        <f>38.4%</f>
        <v>0.38400000000000001</v>
      </c>
      <c r="M15" s="13">
        <f>60.25%+K15/2+L15/4</f>
        <v>0.69850000000000001</v>
      </c>
      <c r="N15" s="13">
        <f>60.25%*2+K15+L15/2</f>
        <v>1.397</v>
      </c>
      <c r="O15" s="12">
        <f>0.466+0.5+0.33+0.36</f>
        <v>1.6560000000000001</v>
      </c>
      <c r="P15" s="8">
        <f>0.5</f>
        <v>0.5</v>
      </c>
      <c r="Q15" s="8">
        <f>0.9</f>
        <v>0.9</v>
      </c>
      <c r="R15" s="12">
        <f>2.4257</f>
        <v>2.4257</v>
      </c>
      <c r="S15" s="6" t="s">
        <v>34</v>
      </c>
      <c r="T15" s="9">
        <f>H15*R15*(1+O15)*(1+N15)*P15*Q15*1.5*(1+(2.78*J15)/(J15+1400))</f>
        <v>46105.438137202509</v>
      </c>
    </row>
    <row r="17" spans="1:21" x14ac:dyDescent="0.25">
      <c r="A17" s="6" t="s">
        <v>29</v>
      </c>
      <c r="B17" s="6" t="s">
        <v>30</v>
      </c>
      <c r="C17" s="6" t="s">
        <v>37</v>
      </c>
      <c r="D17" s="6" t="s">
        <v>32</v>
      </c>
      <c r="E17" s="7" t="s">
        <v>33</v>
      </c>
      <c r="F17" s="8">
        <f>106</f>
        <v>106</v>
      </c>
      <c r="G17" s="8">
        <f>608</f>
        <v>608</v>
      </c>
      <c r="H17" s="9">
        <f>(F17+G17)*(1+0.2)+311+(5.96%+1.8%)*I17</f>
        <v>3911.3660032000007</v>
      </c>
      <c r="I17" s="10">
        <f>15552*(1+0.466+0.3+0.2)+4780</f>
        <v>35355.232000000004</v>
      </c>
      <c r="J17" s="11">
        <f>80</f>
        <v>80</v>
      </c>
      <c r="K17" s="12">
        <f>0</f>
        <v>0</v>
      </c>
      <c r="L17" s="12">
        <f>38.4%+66.2%</f>
        <v>1.046</v>
      </c>
      <c r="M17" s="13">
        <f>63.55%+K17/2+L17/4-19.7%</f>
        <v>0.70000000000000007</v>
      </c>
      <c r="N17" s="13">
        <f>63.55%*2+K17+L17/2+19.7%*2-6.6%*2</f>
        <v>2.056</v>
      </c>
      <c r="O17" s="12">
        <f>0.466+0.225+0.33</f>
        <v>1.0210000000000001</v>
      </c>
      <c r="P17" s="8">
        <f>0.5</f>
        <v>0.5</v>
      </c>
      <c r="Q17" s="8">
        <f>0.9</f>
        <v>0.9</v>
      </c>
      <c r="R17" s="12">
        <f>2.4257</f>
        <v>2.4257</v>
      </c>
      <c r="S17" s="6" t="s">
        <v>34</v>
      </c>
      <c r="T17" s="9">
        <f>H17*R17*(1+O17)*(1+N17)*P17*Q17*1.5*(1+(2.78*J17)/(J17+1400)+0.15)</f>
        <v>51430.721148416014</v>
      </c>
    </row>
    <row r="18" spans="1:21" x14ac:dyDescent="0.25">
      <c r="A18" s="6" t="s">
        <v>29</v>
      </c>
      <c r="B18" s="6" t="s">
        <v>30</v>
      </c>
      <c r="C18" s="6" t="s">
        <v>37</v>
      </c>
      <c r="D18" s="6" t="s">
        <v>35</v>
      </c>
      <c r="E18" s="7" t="s">
        <v>33</v>
      </c>
      <c r="F18" s="8">
        <f>106</f>
        <v>106</v>
      </c>
      <c r="G18" s="8">
        <f>608</f>
        <v>608</v>
      </c>
      <c r="H18" s="9">
        <f>(F18+G18)*(1+0.2)+311+(5.96%+1.8%)*I18</f>
        <v>3348.9808000000003</v>
      </c>
      <c r="I18" s="10">
        <f>15552*(1+0.3+0.2)+4780</f>
        <v>28108</v>
      </c>
      <c r="J18" s="11">
        <f>80+187</f>
        <v>267</v>
      </c>
      <c r="K18" s="12">
        <f>0</f>
        <v>0</v>
      </c>
      <c r="L18" s="12">
        <f>38.4%+66.2%</f>
        <v>1.046</v>
      </c>
      <c r="M18" s="13">
        <f>63.55%+K18/2+L18/4-19.7%</f>
        <v>0.70000000000000007</v>
      </c>
      <c r="N18" s="13">
        <f>63.55%*2+K18+L18/2+19.7%*2-6.6%*2</f>
        <v>2.056</v>
      </c>
      <c r="O18" s="12">
        <f>0.466+0.225+0.33</f>
        <v>1.0210000000000001</v>
      </c>
      <c r="P18" s="8">
        <f>0.5</f>
        <v>0.5</v>
      </c>
      <c r="Q18" s="8">
        <f>0.9</f>
        <v>0.9</v>
      </c>
      <c r="R18" s="12">
        <f>2.4257</f>
        <v>2.4257</v>
      </c>
      <c r="S18" s="6" t="s">
        <v>34</v>
      </c>
      <c r="T18" s="9">
        <f>H18*R18*(1+O18)*(1+N18)*P18*Q18*1.5*(1+(2.78*J18)/(J18+1400)+0.15)</f>
        <v>54026.464603692337</v>
      </c>
    </row>
    <row r="19" spans="1:21" x14ac:dyDescent="0.25">
      <c r="A19" s="6" t="s">
        <v>29</v>
      </c>
      <c r="B19" s="6" t="s">
        <v>36</v>
      </c>
      <c r="C19" s="6" t="s">
        <v>37</v>
      </c>
      <c r="D19" s="6" t="s">
        <v>32</v>
      </c>
      <c r="E19" s="7" t="s">
        <v>33</v>
      </c>
      <c r="F19" s="8">
        <f>106</f>
        <v>106</v>
      </c>
      <c r="G19" s="8">
        <v>454</v>
      </c>
      <c r="H19" s="9">
        <f>(F19+G19)*(1+0.2)+311+(5.96%)*I19</f>
        <v>2904.7919872000002</v>
      </c>
      <c r="I19" s="10">
        <f>15552*(1+0.466+0.3)+4780</f>
        <v>32244.831999999999</v>
      </c>
      <c r="J19" s="11">
        <f>80+221</f>
        <v>301</v>
      </c>
      <c r="K19" s="12">
        <f>0</f>
        <v>0</v>
      </c>
      <c r="L19" s="12">
        <f>38.4%</f>
        <v>0.38400000000000001</v>
      </c>
      <c r="M19" s="13">
        <f>60.25%+K19/2+L19/4</f>
        <v>0.69850000000000001</v>
      </c>
      <c r="N19" s="13">
        <f>60.25%*2+K19+L19/2</f>
        <v>1.397</v>
      </c>
      <c r="O19" s="12">
        <f>0.466+0.225+0.33+0.36</f>
        <v>1.3810000000000002</v>
      </c>
      <c r="P19" s="8">
        <f>0.5</f>
        <v>0.5</v>
      </c>
      <c r="Q19" s="8">
        <f>0.9</f>
        <v>0.9</v>
      </c>
      <c r="R19" s="12">
        <f>2.4257</f>
        <v>2.4257</v>
      </c>
      <c r="S19" s="6" t="s">
        <v>34</v>
      </c>
      <c r="T19" s="9">
        <f>H19*R19*(1+O19)*(1+N19)*P19*Q19*1.5*(1+(2.78*J19)/(J19+1400)+0.15)</f>
        <v>44569.633798427581</v>
      </c>
    </row>
    <row r="20" spans="1:21" x14ac:dyDescent="0.25">
      <c r="A20" s="6" t="s">
        <v>29</v>
      </c>
      <c r="B20" s="6" t="s">
        <v>36</v>
      </c>
      <c r="C20" s="6" t="s">
        <v>37</v>
      </c>
      <c r="D20" s="6" t="s">
        <v>35</v>
      </c>
      <c r="E20" s="7" t="s">
        <v>33</v>
      </c>
      <c r="F20" s="8">
        <f>106</f>
        <v>106</v>
      </c>
      <c r="G20" s="8">
        <v>454</v>
      </c>
      <c r="H20" s="9">
        <f>(F20+G20)*(1+0.2)+311+(5.96%)*I20</f>
        <v>2472.8569600000001</v>
      </c>
      <c r="I20" s="10">
        <f>15552*(1+0.3)+4780</f>
        <v>24997.600000000002</v>
      </c>
      <c r="J20" s="11">
        <f>80+187+221</f>
        <v>488</v>
      </c>
      <c r="K20" s="12">
        <f>0</f>
        <v>0</v>
      </c>
      <c r="L20" s="12">
        <f>38.4%</f>
        <v>0.38400000000000001</v>
      </c>
      <c r="M20" s="13">
        <f>60.25%+K20/2+L20/4</f>
        <v>0.69850000000000001</v>
      </c>
      <c r="N20" s="13">
        <f>60.25%*2+K20+L20/2</f>
        <v>1.397</v>
      </c>
      <c r="O20" s="12">
        <f>0.466+0.225+0.33+0.36</f>
        <v>1.3810000000000002</v>
      </c>
      <c r="P20" s="8">
        <f>0.5</f>
        <v>0.5</v>
      </c>
      <c r="Q20" s="8">
        <f>0.9</f>
        <v>0.9</v>
      </c>
      <c r="R20" s="12">
        <f>2.4257</f>
        <v>2.4257</v>
      </c>
      <c r="S20" s="6" t="s">
        <v>34</v>
      </c>
      <c r="T20" s="9">
        <f>H20*R20*(1+O20)*(1+N20)*P20*Q20*1.5*(1+(2.78*J20)/(J20+1400)+0.15)</f>
        <v>43179.158706164329</v>
      </c>
    </row>
    <row r="22" spans="1:21" x14ac:dyDescent="0.25">
      <c r="A22" s="6" t="s">
        <v>9</v>
      </c>
      <c r="B22" s="6" t="s">
        <v>10</v>
      </c>
      <c r="C22" s="6" t="s">
        <v>11</v>
      </c>
      <c r="D22" s="6" t="s">
        <v>12</v>
      </c>
      <c r="E22" s="7" t="s">
        <v>13</v>
      </c>
      <c r="F22" s="8" t="s">
        <v>14</v>
      </c>
      <c r="G22" s="8" t="s">
        <v>15</v>
      </c>
      <c r="H22" s="9" t="s">
        <v>16</v>
      </c>
      <c r="I22" s="10" t="s">
        <v>17</v>
      </c>
      <c r="J22" s="11" t="s">
        <v>38</v>
      </c>
      <c r="K22" s="12" t="s">
        <v>19</v>
      </c>
      <c r="L22" s="12" t="s">
        <v>20</v>
      </c>
      <c r="M22" s="13" t="s">
        <v>21</v>
      </c>
      <c r="N22" s="13" t="s">
        <v>22</v>
      </c>
      <c r="O22" s="12" t="s">
        <v>23</v>
      </c>
      <c r="P22" s="8" t="s">
        <v>24</v>
      </c>
      <c r="Q22" s="8" t="s">
        <v>25</v>
      </c>
      <c r="R22" s="12" t="s">
        <v>26</v>
      </c>
      <c r="S22" s="6" t="s">
        <v>27</v>
      </c>
      <c r="T22" s="9" t="s">
        <v>28</v>
      </c>
    </row>
    <row r="23" spans="1:21" x14ac:dyDescent="0.25">
      <c r="A23" s="6" t="s">
        <v>39</v>
      </c>
      <c r="B23" s="6" t="s">
        <v>40</v>
      </c>
      <c r="C23" s="6" t="s">
        <v>41</v>
      </c>
      <c r="D23" s="6" t="s">
        <v>42</v>
      </c>
      <c r="E23" s="7" t="s">
        <v>43</v>
      </c>
      <c r="F23" s="8">
        <v>202</v>
      </c>
      <c r="G23" s="8">
        <v>565</v>
      </c>
      <c r="H23" s="9">
        <f>(F23+G23)*(1+0.3+0.24)+311</f>
        <v>1492.18</v>
      </c>
      <c r="I23" s="10">
        <f>10331*(1+0.466+0.05*6)+4780</f>
        <v>23024.545999999998</v>
      </c>
      <c r="J23" s="14">
        <f>1+0.518+0.2+0.306+0.2</f>
        <v>2.2240000000000002</v>
      </c>
      <c r="K23" s="12">
        <f>0</f>
        <v>0</v>
      </c>
      <c r="L23" s="12">
        <f>0</f>
        <v>0</v>
      </c>
      <c r="M23" s="13">
        <v>0.7</v>
      </c>
      <c r="N23" s="13" t="s">
        <v>44</v>
      </c>
      <c r="O23" s="12">
        <f>0</f>
        <v>0</v>
      </c>
      <c r="P23" s="8">
        <f t="shared" ref="P23:P28" si="0">0.5</f>
        <v>0.5</v>
      </c>
      <c r="Q23" s="8">
        <f t="shared" ref="Q23:Q28" si="1">0.9</f>
        <v>0.9</v>
      </c>
      <c r="R23" s="12" t="s">
        <v>45</v>
      </c>
      <c r="S23" s="6" t="s">
        <v>46</v>
      </c>
      <c r="T23" s="9">
        <f>39.2%*I23+4829</f>
        <v>13854.622031999999</v>
      </c>
    </row>
    <row r="24" spans="1:21" x14ac:dyDescent="0.25">
      <c r="A24" s="6" t="s">
        <v>39</v>
      </c>
      <c r="B24" s="6" t="s">
        <v>47</v>
      </c>
      <c r="C24" s="6" t="s">
        <v>41</v>
      </c>
      <c r="D24" s="6" t="s">
        <v>48</v>
      </c>
      <c r="E24" s="7" t="s">
        <v>43</v>
      </c>
      <c r="F24" s="8">
        <v>202</v>
      </c>
      <c r="G24" s="8">
        <v>354</v>
      </c>
      <c r="H24" s="9">
        <f>(F24+G24)*(1+0.3+0.24)+311</f>
        <v>1167.24</v>
      </c>
      <c r="I24" s="10">
        <f>10331*(1+0.466*2+0.469+0.05*8)+4780</f>
        <v>33717.130999999994</v>
      </c>
      <c r="J24" s="14">
        <f>1+0.518+0.2+0.2</f>
        <v>1.9179999999999999</v>
      </c>
      <c r="K24" s="12">
        <f>0</f>
        <v>0</v>
      </c>
      <c r="L24" s="12">
        <v>0</v>
      </c>
      <c r="M24" s="13" t="s">
        <v>44</v>
      </c>
      <c r="N24" s="13" t="s">
        <v>44</v>
      </c>
      <c r="O24" s="12">
        <v>0</v>
      </c>
      <c r="P24" s="8">
        <f t="shared" si="0"/>
        <v>0.5</v>
      </c>
      <c r="Q24" s="8">
        <f t="shared" si="1"/>
        <v>0.9</v>
      </c>
      <c r="R24" s="12" t="s">
        <v>45</v>
      </c>
      <c r="S24" s="6" t="s">
        <v>46</v>
      </c>
      <c r="T24" s="9">
        <f>39.2%*I24+4829</f>
        <v>18046.115352000001</v>
      </c>
    </row>
    <row r="26" spans="1:21" x14ac:dyDescent="0.25">
      <c r="A26" s="6" t="s">
        <v>9</v>
      </c>
      <c r="B26" s="6" t="s">
        <v>10</v>
      </c>
      <c r="C26" s="6" t="s">
        <v>11</v>
      </c>
      <c r="D26" s="6" t="s">
        <v>12</v>
      </c>
      <c r="E26" s="7" t="s">
        <v>13</v>
      </c>
      <c r="F26" s="8" t="s">
        <v>14</v>
      </c>
      <c r="G26" s="8" t="s">
        <v>15</v>
      </c>
      <c r="H26" s="9" t="s">
        <v>16</v>
      </c>
      <c r="K26" s="12" t="s">
        <v>19</v>
      </c>
      <c r="L26" s="12" t="s">
        <v>20</v>
      </c>
      <c r="M26" s="13" t="s">
        <v>21</v>
      </c>
      <c r="N26" s="13" t="s">
        <v>22</v>
      </c>
      <c r="O26" s="12" t="s">
        <v>23</v>
      </c>
      <c r="P26" s="8" t="s">
        <v>24</v>
      </c>
      <c r="Q26" s="8" t="s">
        <v>25</v>
      </c>
      <c r="R26" s="12" t="s">
        <v>26</v>
      </c>
      <c r="S26" s="6" t="s">
        <v>27</v>
      </c>
      <c r="T26" s="9" t="s">
        <v>28</v>
      </c>
    </row>
    <row r="27" spans="1:21" x14ac:dyDescent="0.25">
      <c r="A27" s="6" t="s">
        <v>49</v>
      </c>
      <c r="B27" s="6" t="s">
        <v>50</v>
      </c>
      <c r="C27" s="6" t="s">
        <v>31</v>
      </c>
      <c r="D27" s="6" t="s">
        <v>51</v>
      </c>
      <c r="E27" s="7" t="s">
        <v>52</v>
      </c>
      <c r="F27" s="8">
        <v>323</v>
      </c>
      <c r="G27" s="8">
        <f>608</f>
        <v>608</v>
      </c>
      <c r="H27" s="9">
        <f>(F27+G27)*(1+0.3+0.466+0.2+0.18)+311</f>
        <v>2308.9259999999999</v>
      </c>
      <c r="K27" s="12">
        <f>19.2%</f>
        <v>0.192</v>
      </c>
      <c r="L27" s="12">
        <f>66.2%</f>
        <v>0.66200000000000003</v>
      </c>
      <c r="M27" s="13">
        <v>0.8</v>
      </c>
      <c r="N27" s="13">
        <f>63.55%*2+K27+L27/2+3.1%*2</f>
        <v>1.8559999999999999</v>
      </c>
      <c r="O27" s="12">
        <f>0.466+0.4+0.5</f>
        <v>1.3660000000000001</v>
      </c>
      <c r="P27" s="8">
        <f t="shared" si="0"/>
        <v>0.5</v>
      </c>
      <c r="Q27" s="8">
        <f t="shared" si="1"/>
        <v>0.9</v>
      </c>
      <c r="R27" s="12">
        <v>0.63590000000000002</v>
      </c>
      <c r="S27" s="6" t="s">
        <v>53</v>
      </c>
      <c r="T27" s="9">
        <f>H27*R27*(1+O27)*(1+N27)*P27*Q27*1.5879</f>
        <v>7089.3667669624356</v>
      </c>
      <c r="U27" s="9"/>
    </row>
    <row r="28" spans="1:21" x14ac:dyDescent="0.25">
      <c r="A28" s="6" t="s">
        <v>49</v>
      </c>
      <c r="B28" s="6" t="s">
        <v>54</v>
      </c>
      <c r="C28" s="6" t="s">
        <v>31</v>
      </c>
      <c r="D28" s="6" t="s">
        <v>51</v>
      </c>
      <c r="E28" s="7" t="s">
        <v>52</v>
      </c>
      <c r="F28" s="8">
        <v>323</v>
      </c>
      <c r="G28" s="8">
        <v>510</v>
      </c>
      <c r="H28" s="9">
        <f>(F28+G28)*(1+0.3+0.466+0.413+0.18)+311</f>
        <v>2276.047</v>
      </c>
      <c r="K28" s="12">
        <f>19.2%</f>
        <v>0.192</v>
      </c>
      <c r="L28" s="12">
        <f>0</f>
        <v>0</v>
      </c>
      <c r="M28" s="13">
        <f>60.25%+K28/2+L28/4</f>
        <v>0.69850000000000001</v>
      </c>
      <c r="N28" s="13">
        <f>60.25%*2+K28+L28/2</f>
        <v>1.397</v>
      </c>
      <c r="O28" s="12">
        <f>0.466+0.5+0.8</f>
        <v>1.766</v>
      </c>
      <c r="P28" s="8">
        <f t="shared" si="0"/>
        <v>0.5</v>
      </c>
      <c r="Q28" s="8">
        <f t="shared" si="1"/>
        <v>0.9</v>
      </c>
      <c r="R28" s="12">
        <v>0.63590000000000002</v>
      </c>
      <c r="S28" s="6" t="s">
        <v>53</v>
      </c>
      <c r="T28" s="9">
        <f>H28*R28*(1+O28)*(1+N28)*P28*Q28*1.5879</f>
        <v>6856.8701182019595</v>
      </c>
      <c r="U28" s="9"/>
    </row>
    <row r="30" spans="1:21" x14ac:dyDescent="0.25">
      <c r="A30" s="6" t="s">
        <v>9</v>
      </c>
      <c r="B30" s="6" t="s">
        <v>10</v>
      </c>
      <c r="C30" s="6" t="s">
        <v>11</v>
      </c>
      <c r="D30" s="6" t="s">
        <v>12</v>
      </c>
      <c r="E30" s="7" t="s">
        <v>13</v>
      </c>
      <c r="F30" s="8" t="s">
        <v>14</v>
      </c>
      <c r="G30" s="8" t="s">
        <v>15</v>
      </c>
      <c r="H30" s="9" t="s">
        <v>16</v>
      </c>
      <c r="I30" s="10" t="s">
        <v>18</v>
      </c>
      <c r="K30" s="12" t="s">
        <v>19</v>
      </c>
      <c r="L30" s="12" t="s">
        <v>20</v>
      </c>
      <c r="M30" s="13" t="s">
        <v>21</v>
      </c>
      <c r="N30" s="13" t="s">
        <v>22</v>
      </c>
      <c r="O30" s="12" t="s">
        <v>23</v>
      </c>
      <c r="P30" s="8" t="s">
        <v>24</v>
      </c>
      <c r="Q30" s="8" t="s">
        <v>25</v>
      </c>
      <c r="R30" s="12" t="s">
        <v>26</v>
      </c>
      <c r="S30" s="6" t="s">
        <v>27</v>
      </c>
      <c r="T30" s="9" t="s">
        <v>28</v>
      </c>
    </row>
    <row r="31" spans="1:21" x14ac:dyDescent="0.25">
      <c r="A31" s="6" t="s">
        <v>55</v>
      </c>
      <c r="B31" s="6" t="s">
        <v>56</v>
      </c>
      <c r="C31" s="6" t="s">
        <v>57</v>
      </c>
      <c r="D31" s="6" t="s">
        <v>51</v>
      </c>
      <c r="E31" s="7" t="s">
        <v>58</v>
      </c>
      <c r="F31" s="8">
        <v>240</v>
      </c>
      <c r="G31" s="8">
        <f>608</f>
        <v>608</v>
      </c>
      <c r="H31" s="9">
        <f>(F31+G31)*(1+0.3+0.466)+311</f>
        <v>1808.568</v>
      </c>
      <c r="I31" s="10">
        <f>80+80</f>
        <v>160</v>
      </c>
      <c r="K31" s="12">
        <f>33.1%</f>
        <v>0.33100000000000002</v>
      </c>
      <c r="L31" s="12">
        <f>0</f>
        <v>0</v>
      </c>
      <c r="M31" s="13">
        <f t="shared" ref="M31:M36" si="2">60.25%+K31/2+L31/4</f>
        <v>0.76800000000000002</v>
      </c>
      <c r="N31" s="13">
        <f t="shared" ref="N31:N36" si="3">60.25%*2+K31+L31/2</f>
        <v>1.536</v>
      </c>
      <c r="O31" s="12">
        <f>0.466+0.35+0.4+0.6+0.24+0.2</f>
        <v>2.2560000000000002</v>
      </c>
      <c r="P31" s="8">
        <f t="shared" ref="P31:P36" si="4">0.5</f>
        <v>0.5</v>
      </c>
      <c r="Q31" s="8">
        <f t="shared" ref="Q31:Q36" si="5">0.9</f>
        <v>0.9</v>
      </c>
      <c r="R31" s="12">
        <v>2.7292000000000001</v>
      </c>
      <c r="S31" s="6" t="s">
        <v>59</v>
      </c>
      <c r="T31" s="9">
        <f>H31*R31*(1+O31)*(1+N31)*P31*Q31*1.5*(1+(2.78*I31)/(I31+1400))</f>
        <v>35355.263513504397</v>
      </c>
    </row>
    <row r="32" spans="1:21" x14ac:dyDescent="0.25">
      <c r="A32" s="6" t="s">
        <v>55</v>
      </c>
      <c r="B32" s="6" t="s">
        <v>60</v>
      </c>
      <c r="C32" s="6" t="s">
        <v>57</v>
      </c>
      <c r="D32" s="6" t="s">
        <v>51</v>
      </c>
      <c r="E32" s="7" t="s">
        <v>58</v>
      </c>
      <c r="F32" s="8">
        <v>240</v>
      </c>
      <c r="G32" s="8">
        <v>510</v>
      </c>
      <c r="H32" s="9">
        <f>(F32+G32)*(1+0.3+0.466)+311</f>
        <v>1635.5</v>
      </c>
      <c r="I32" s="10">
        <f>80+80+480</f>
        <v>640</v>
      </c>
      <c r="K32" s="12">
        <f>0</f>
        <v>0</v>
      </c>
      <c r="L32" s="12">
        <f>55.1%</f>
        <v>0.55100000000000005</v>
      </c>
      <c r="M32" s="13">
        <f t="shared" si="2"/>
        <v>0.74025000000000007</v>
      </c>
      <c r="N32" s="13">
        <f t="shared" si="3"/>
        <v>1.4805000000000001</v>
      </c>
      <c r="O32" s="12">
        <f>0.466+0.35+0.6+0.24+0.2</f>
        <v>1.8559999999999999</v>
      </c>
      <c r="P32" s="8">
        <f t="shared" si="4"/>
        <v>0.5</v>
      </c>
      <c r="Q32" s="8">
        <f t="shared" si="5"/>
        <v>0.9</v>
      </c>
      <c r="R32" s="12">
        <v>2.7292000000000001</v>
      </c>
      <c r="S32" s="6" t="s">
        <v>59</v>
      </c>
      <c r="T32" s="9">
        <f>H32*R32*(1+O32)*(1+N32)*P32*Q32*1.5*(1+(2.78*I32)/(I32+1400))</f>
        <v>39960.356366790358</v>
      </c>
    </row>
    <row r="33" spans="1:20" x14ac:dyDescent="0.25">
      <c r="T33" s="7"/>
    </row>
    <row r="34" spans="1:20" x14ac:dyDescent="0.25">
      <c r="A34" s="6" t="s">
        <v>9</v>
      </c>
      <c r="B34" s="6" t="s">
        <v>10</v>
      </c>
      <c r="C34" s="6" t="s">
        <v>11</v>
      </c>
      <c r="D34" s="6" t="s">
        <v>12</v>
      </c>
      <c r="E34" s="7" t="s">
        <v>13</v>
      </c>
      <c r="F34" s="8" t="s">
        <v>14</v>
      </c>
      <c r="G34" s="8" t="s">
        <v>15</v>
      </c>
      <c r="H34" s="9" t="s">
        <v>16</v>
      </c>
      <c r="I34" s="10" t="s">
        <v>18</v>
      </c>
      <c r="K34" s="12" t="s">
        <v>19</v>
      </c>
      <c r="L34" s="12" t="s">
        <v>20</v>
      </c>
      <c r="M34" s="13" t="s">
        <v>21</v>
      </c>
      <c r="N34" s="13" t="s">
        <v>22</v>
      </c>
      <c r="O34" s="12" t="s">
        <v>23</v>
      </c>
      <c r="P34" s="8" t="s">
        <v>24</v>
      </c>
      <c r="Q34" s="8" t="s">
        <v>25</v>
      </c>
      <c r="R34" s="12" t="s">
        <v>26</v>
      </c>
      <c r="S34" s="6" t="s">
        <v>27</v>
      </c>
      <c r="T34" s="9" t="s">
        <v>28</v>
      </c>
    </row>
    <row r="35" spans="1:20" x14ac:dyDescent="0.25">
      <c r="A35" s="6" t="s">
        <v>61</v>
      </c>
      <c r="B35" s="6" t="s">
        <v>56</v>
      </c>
      <c r="C35" s="6" t="s">
        <v>37</v>
      </c>
      <c r="D35" s="6" t="s">
        <v>51</v>
      </c>
      <c r="E35" s="7" t="s">
        <v>33</v>
      </c>
      <c r="F35" s="8">
        <v>311</v>
      </c>
      <c r="G35" s="8">
        <f>608</f>
        <v>608</v>
      </c>
      <c r="H35" s="9">
        <f>(F35+G35)*(1+0.3+0.466)+311</f>
        <v>1933.954</v>
      </c>
      <c r="I35" s="10">
        <f>80</f>
        <v>80</v>
      </c>
      <c r="K35" s="12">
        <f>33.1%</f>
        <v>0.33100000000000002</v>
      </c>
      <c r="L35" s="12">
        <f t="shared" ref="L35:L40" si="6">0</f>
        <v>0</v>
      </c>
      <c r="M35" s="13">
        <f t="shared" si="2"/>
        <v>0.76800000000000002</v>
      </c>
      <c r="N35" s="13">
        <f t="shared" si="3"/>
        <v>1.536</v>
      </c>
      <c r="O35" s="12">
        <f>0.466+0.3+0.288+0.4+0.5</f>
        <v>1.9540000000000002</v>
      </c>
      <c r="P35" s="8">
        <f t="shared" si="4"/>
        <v>0.5</v>
      </c>
      <c r="Q35" s="8">
        <f t="shared" si="5"/>
        <v>0.9</v>
      </c>
      <c r="R35" s="12">
        <v>2.8325</v>
      </c>
      <c r="S35" s="6" t="s">
        <v>62</v>
      </c>
      <c r="T35" s="9">
        <f t="shared" ref="T35:T40" si="7">H35*R35*(1+O35)*(1+N35)*P35*Q35*1.5*(1+(2.78*I35)/(I35+1400)+0.15)</f>
        <v>36017.470103856205</v>
      </c>
    </row>
    <row r="36" spans="1:20" x14ac:dyDescent="0.25">
      <c r="A36" s="6" t="s">
        <v>61</v>
      </c>
      <c r="B36" s="6" t="s">
        <v>60</v>
      </c>
      <c r="C36" s="6" t="s">
        <v>37</v>
      </c>
      <c r="D36" s="6" t="s">
        <v>51</v>
      </c>
      <c r="E36" s="7" t="s">
        <v>33</v>
      </c>
      <c r="F36" s="8">
        <v>311</v>
      </c>
      <c r="G36" s="8">
        <v>510</v>
      </c>
      <c r="H36" s="9">
        <f>(F36+G36)*(1+0.3+0.466)+311</f>
        <v>1760.886</v>
      </c>
      <c r="I36" s="10">
        <f>80+480</f>
        <v>560</v>
      </c>
      <c r="K36" s="12">
        <f>0</f>
        <v>0</v>
      </c>
      <c r="L36" s="12">
        <f>55.1%</f>
        <v>0.55100000000000005</v>
      </c>
      <c r="M36" s="13">
        <f t="shared" si="2"/>
        <v>0.74025000000000007</v>
      </c>
      <c r="N36" s="13">
        <f t="shared" si="3"/>
        <v>1.4805000000000001</v>
      </c>
      <c r="O36" s="12">
        <f>0.466+0.3+0.5+0.288</f>
        <v>1.554</v>
      </c>
      <c r="P36" s="8">
        <f t="shared" si="4"/>
        <v>0.5</v>
      </c>
      <c r="Q36" s="8">
        <f t="shared" si="5"/>
        <v>0.9</v>
      </c>
      <c r="R36" s="12">
        <v>2.8325</v>
      </c>
      <c r="S36" s="6" t="s">
        <v>62</v>
      </c>
      <c r="T36" s="9">
        <f t="shared" si="7"/>
        <v>41469.150744674822</v>
      </c>
    </row>
    <row r="37" spans="1:20" x14ac:dyDescent="0.25">
      <c r="T37" s="7"/>
    </row>
    <row r="38" spans="1:20" x14ac:dyDescent="0.25">
      <c r="A38" s="6" t="s">
        <v>9</v>
      </c>
      <c r="B38" s="6" t="s">
        <v>10</v>
      </c>
      <c r="C38" s="6" t="s">
        <v>11</v>
      </c>
      <c r="D38" s="6" t="s">
        <v>12</v>
      </c>
      <c r="E38" s="7" t="s">
        <v>13</v>
      </c>
      <c r="F38" s="8" t="s">
        <v>14</v>
      </c>
      <c r="G38" s="8" t="s">
        <v>15</v>
      </c>
      <c r="H38" s="9" t="s">
        <v>16</v>
      </c>
      <c r="I38" s="10" t="s">
        <v>18</v>
      </c>
      <c r="K38" s="12" t="s">
        <v>19</v>
      </c>
      <c r="L38" s="12" t="s">
        <v>20</v>
      </c>
      <c r="M38" s="13" t="s">
        <v>21</v>
      </c>
      <c r="N38" s="13" t="s">
        <v>22</v>
      </c>
      <c r="O38" s="12" t="s">
        <v>23</v>
      </c>
      <c r="P38" s="8" t="s">
        <v>24</v>
      </c>
      <c r="Q38" s="8" t="s">
        <v>25</v>
      </c>
      <c r="R38" s="12" t="s">
        <v>26</v>
      </c>
      <c r="S38" s="6" t="s">
        <v>27</v>
      </c>
      <c r="T38" s="9" t="s">
        <v>28</v>
      </c>
    </row>
    <row r="39" spans="1:20" x14ac:dyDescent="0.25">
      <c r="A39" s="6" t="s">
        <v>63</v>
      </c>
      <c r="B39" s="6" t="s">
        <v>64</v>
      </c>
      <c r="C39" s="6" t="s">
        <v>37</v>
      </c>
      <c r="D39" s="6" t="s">
        <v>35</v>
      </c>
      <c r="E39" s="7" t="s">
        <v>33</v>
      </c>
      <c r="F39" s="8">
        <v>335</v>
      </c>
      <c r="G39" s="8">
        <f>608</f>
        <v>608</v>
      </c>
      <c r="H39" s="9">
        <f>(F39+G39)*(1+0.3+0.496+0.2)+311</f>
        <v>2193.2280000000001</v>
      </c>
      <c r="I39" s="10">
        <f>80+187</f>
        <v>267</v>
      </c>
      <c r="K39" s="12">
        <f>19.2%</f>
        <v>0.192</v>
      </c>
      <c r="L39" s="12">
        <f t="shared" si="6"/>
        <v>0</v>
      </c>
      <c r="M39" s="13">
        <f>60.25%+K39/2+L39/4</f>
        <v>0.69850000000000001</v>
      </c>
      <c r="N39" s="13">
        <f>60.25%*2+K39+L39/2</f>
        <v>1.397</v>
      </c>
      <c r="O39" s="12">
        <f>0.466+0.375+0.2</f>
        <v>1.0409999999999999</v>
      </c>
      <c r="P39" s="8">
        <f t="shared" ref="P39:P46" si="8">0.5</f>
        <v>0.5</v>
      </c>
      <c r="Q39" s="8">
        <f>0.9</f>
        <v>0.9</v>
      </c>
      <c r="R39" s="12">
        <v>3.2639999999999998</v>
      </c>
      <c r="S39" s="6" t="s">
        <v>65</v>
      </c>
      <c r="T39" s="9">
        <f t="shared" si="7"/>
        <v>37712.220998901008</v>
      </c>
    </row>
    <row r="40" spans="1:20" x14ac:dyDescent="0.25">
      <c r="A40" s="6" t="s">
        <v>63</v>
      </c>
      <c r="B40" s="6" t="s">
        <v>66</v>
      </c>
      <c r="C40" s="6" t="s">
        <v>37</v>
      </c>
      <c r="D40" s="6" t="s">
        <v>51</v>
      </c>
      <c r="E40" s="7" t="s">
        <v>33</v>
      </c>
      <c r="F40" s="8">
        <v>335</v>
      </c>
      <c r="G40" s="8">
        <v>510</v>
      </c>
      <c r="H40" s="9">
        <f>(F40+G40)*(1+0.3+0.466)+311</f>
        <v>1803.27</v>
      </c>
      <c r="I40" s="10">
        <f>80</f>
        <v>80</v>
      </c>
      <c r="K40" s="12">
        <f>19.2%+27.6%</f>
        <v>0.46800000000000003</v>
      </c>
      <c r="L40" s="12">
        <f t="shared" si="6"/>
        <v>0</v>
      </c>
      <c r="M40" s="13">
        <f>60.25%+K40/2+L40/4</f>
        <v>0.83650000000000002</v>
      </c>
      <c r="N40" s="13">
        <f>60.25%*2+K40+L40/2</f>
        <v>1.673</v>
      </c>
      <c r="O40" s="12">
        <f>0.466+0.375+0.2+0.4</f>
        <v>1.4409999999999998</v>
      </c>
      <c r="P40" s="8">
        <f t="shared" si="8"/>
        <v>0.5</v>
      </c>
      <c r="Q40" s="8">
        <f>0.9</f>
        <v>0.9</v>
      </c>
      <c r="R40" s="12">
        <v>3.2639999999999998</v>
      </c>
      <c r="S40" s="6" t="s">
        <v>65</v>
      </c>
      <c r="T40" s="9">
        <f t="shared" si="7"/>
        <v>33706.608095392454</v>
      </c>
    </row>
    <row r="42" spans="1:20" x14ac:dyDescent="0.25">
      <c r="A42" s="6" t="s">
        <v>9</v>
      </c>
      <c r="B42" s="6" t="s">
        <v>10</v>
      </c>
      <c r="C42" s="6" t="s">
        <v>11</v>
      </c>
      <c r="D42" s="6" t="s">
        <v>12</v>
      </c>
      <c r="E42" s="7" t="s">
        <v>13</v>
      </c>
      <c r="F42" s="8" t="s">
        <v>14</v>
      </c>
      <c r="G42" s="8" t="s">
        <v>15</v>
      </c>
      <c r="H42" s="9" t="s">
        <v>16</v>
      </c>
      <c r="I42" s="10" t="s">
        <v>67</v>
      </c>
      <c r="K42" s="12" t="s">
        <v>19</v>
      </c>
      <c r="L42" s="12" t="s">
        <v>20</v>
      </c>
      <c r="M42" s="13" t="s">
        <v>21</v>
      </c>
      <c r="N42" s="13" t="s">
        <v>22</v>
      </c>
      <c r="O42" s="12" t="s">
        <v>23</v>
      </c>
      <c r="P42" s="8" t="s">
        <v>24</v>
      </c>
      <c r="Q42" s="8" t="s">
        <v>25</v>
      </c>
      <c r="R42" s="12" t="s">
        <v>26</v>
      </c>
      <c r="S42" s="6" t="s">
        <v>27</v>
      </c>
      <c r="T42" s="9" t="s">
        <v>28</v>
      </c>
    </row>
    <row r="43" spans="1:20" x14ac:dyDescent="0.25">
      <c r="A43" s="6" t="s">
        <v>68</v>
      </c>
      <c r="B43" s="6" t="s">
        <v>69</v>
      </c>
      <c r="C43" s="6" t="s">
        <v>70</v>
      </c>
      <c r="D43" s="6" t="s">
        <v>71</v>
      </c>
      <c r="E43" s="7" t="s">
        <v>72</v>
      </c>
      <c r="F43" s="8">
        <v>249</v>
      </c>
      <c r="G43" s="8">
        <f>608</f>
        <v>608</v>
      </c>
      <c r="H43" s="9">
        <f>(F43+G43)*(1+0.3+0.496+0.4+0.24+0.466)+311</f>
        <v>2798.0140000000001</v>
      </c>
      <c r="I43" s="10">
        <f>799*(1+0.3)</f>
        <v>1038.7</v>
      </c>
      <c r="K43" s="12">
        <f>0</f>
        <v>0</v>
      </c>
      <c r="L43" s="12">
        <f>0</f>
        <v>0</v>
      </c>
      <c r="M43" s="13">
        <f>60.25%+K43/2+L43/4</f>
        <v>0.60250000000000004</v>
      </c>
      <c r="N43" s="13">
        <f>60.25%*2+K43+L43/2</f>
        <v>1.2050000000000001</v>
      </c>
      <c r="O43" s="12">
        <f>0.583+0.5</f>
        <v>1.083</v>
      </c>
      <c r="P43" s="8">
        <f t="shared" si="8"/>
        <v>0.5</v>
      </c>
      <c r="Q43" s="8">
        <v>1.0249999999999999</v>
      </c>
      <c r="R43" s="12">
        <v>7.2420000000000009</v>
      </c>
      <c r="S43" s="6" t="s">
        <v>73</v>
      </c>
      <c r="T43" s="9">
        <f>H43*R43*(1+O43)*(1+N43)*P43*Q43</f>
        <v>47697.996473314233</v>
      </c>
    </row>
    <row r="44" spans="1:20" x14ac:dyDescent="0.25">
      <c r="A44" s="6" t="s">
        <v>68</v>
      </c>
      <c r="B44" s="6" t="s">
        <v>74</v>
      </c>
      <c r="C44" s="6" t="s">
        <v>70</v>
      </c>
      <c r="D44" s="6" t="s">
        <v>71</v>
      </c>
      <c r="E44" s="7" t="s">
        <v>72</v>
      </c>
      <c r="F44" s="8">
        <v>249</v>
      </c>
      <c r="G44" s="8">
        <v>510</v>
      </c>
      <c r="H44" s="9">
        <f>(F44+G44)*(1+0.3+0.36+0.466)+311</f>
        <v>1924.6340000000002</v>
      </c>
      <c r="I44" s="10">
        <f>799*(1+0.3+0.517+0.36)</f>
        <v>1739.423</v>
      </c>
      <c r="K44" s="12">
        <f>0</f>
        <v>0</v>
      </c>
      <c r="L44" s="12">
        <f>0</f>
        <v>0</v>
      </c>
      <c r="M44" s="13">
        <f>60.25%+K44/2+L44/4</f>
        <v>0.60250000000000004</v>
      </c>
      <c r="N44" s="13">
        <f>60.25%*2+K44+L44/2</f>
        <v>1.2050000000000001</v>
      </c>
      <c r="O44" s="12">
        <f>0.583+0.5</f>
        <v>1.083</v>
      </c>
      <c r="P44" s="8">
        <f t="shared" si="8"/>
        <v>0.5</v>
      </c>
      <c r="Q44" s="8">
        <v>1.0249999999999999</v>
      </c>
      <c r="R44" s="12">
        <v>7.2420000000000009</v>
      </c>
      <c r="S44" s="6" t="s">
        <v>73</v>
      </c>
      <c r="T44" s="9">
        <f>H44*R44*(1+O44)*(1+N44)*P44*Q44</f>
        <v>32809.409010970165</v>
      </c>
    </row>
    <row r="45" spans="1:20" x14ac:dyDescent="0.25">
      <c r="A45" s="6" t="s">
        <v>68</v>
      </c>
      <c r="B45" s="6" t="s">
        <v>75</v>
      </c>
      <c r="C45" s="6" t="s">
        <v>76</v>
      </c>
      <c r="D45" s="6" t="s">
        <v>77</v>
      </c>
      <c r="E45" s="7" t="s">
        <v>78</v>
      </c>
      <c r="F45" s="8">
        <v>249</v>
      </c>
      <c r="G45" s="8">
        <v>565</v>
      </c>
      <c r="H45" s="9">
        <f>(F45+G45)*(1+0.3+0.24+0.2)+311</f>
        <v>1727.36</v>
      </c>
      <c r="I45" s="10">
        <f>799*(1+0.3+0.36+0.583*3)</f>
        <v>2723.7909999999997</v>
      </c>
      <c r="K45" s="12">
        <f>0</f>
        <v>0</v>
      </c>
      <c r="L45" s="12">
        <f>0</f>
        <v>0</v>
      </c>
      <c r="M45" s="13" t="s">
        <v>44</v>
      </c>
      <c r="N45" s="13" t="s">
        <v>44</v>
      </c>
      <c r="O45" s="12">
        <f>0.583+0.5</f>
        <v>1.083</v>
      </c>
      <c r="P45" s="8">
        <f t="shared" si="8"/>
        <v>0.5</v>
      </c>
      <c r="Q45" s="8">
        <v>1.0249999999999999</v>
      </c>
      <c r="R45" s="12">
        <v>3.2639999999999998</v>
      </c>
      <c r="S45" s="6" t="s">
        <v>79</v>
      </c>
      <c r="T45" s="9">
        <f>1773+288%*I45</f>
        <v>9617.518079999998</v>
      </c>
    </row>
    <row r="46" spans="1:20" x14ac:dyDescent="0.25">
      <c r="A46" s="6" t="s">
        <v>68</v>
      </c>
      <c r="B46" s="6" t="s">
        <v>74</v>
      </c>
      <c r="C46" s="6" t="s">
        <v>76</v>
      </c>
      <c r="D46" s="6" t="s">
        <v>77</v>
      </c>
      <c r="E46" s="7" t="s">
        <v>78</v>
      </c>
      <c r="F46" s="8">
        <v>249</v>
      </c>
      <c r="G46" s="8">
        <v>510</v>
      </c>
      <c r="H46" s="9">
        <f>(F46+G46)*(1+0.3+0.24+0.36+0.2)+311</f>
        <v>1904.9</v>
      </c>
      <c r="I46" s="10">
        <f>799*(1+0.3+0.517+0.36+0.583*3)</f>
        <v>3136.8740000000003</v>
      </c>
      <c r="K46" s="12">
        <f>0</f>
        <v>0</v>
      </c>
      <c r="L46" s="12">
        <f>0</f>
        <v>0</v>
      </c>
      <c r="M46" s="13" t="s">
        <v>44</v>
      </c>
      <c r="N46" s="13" t="s">
        <v>44</v>
      </c>
      <c r="O46" s="12">
        <f>0.583+0.5</f>
        <v>1.083</v>
      </c>
      <c r="P46" s="8">
        <f t="shared" si="8"/>
        <v>0.5</v>
      </c>
      <c r="Q46" s="8">
        <v>1.0249999999999999</v>
      </c>
      <c r="R46" s="12">
        <v>3.2639999999999998</v>
      </c>
      <c r="S46" s="6" t="s">
        <v>79</v>
      </c>
      <c r="T46" s="9">
        <f>1773+288%*I46</f>
        <v>10807.197120000001</v>
      </c>
    </row>
    <row r="48" spans="1:20" x14ac:dyDescent="0.25">
      <c r="A48" s="6" t="s">
        <v>9</v>
      </c>
      <c r="B48" s="6" t="s">
        <v>10</v>
      </c>
      <c r="C48" s="6" t="s">
        <v>11</v>
      </c>
      <c r="D48" s="6" t="s">
        <v>12</v>
      </c>
      <c r="E48" s="7" t="s">
        <v>13</v>
      </c>
      <c r="F48" s="8" t="s">
        <v>14</v>
      </c>
      <c r="G48" s="8" t="s">
        <v>15</v>
      </c>
      <c r="H48" s="9" t="s">
        <v>16</v>
      </c>
      <c r="I48" s="10" t="s">
        <v>18</v>
      </c>
      <c r="K48" s="12" t="s">
        <v>19</v>
      </c>
      <c r="L48" s="12" t="s">
        <v>20</v>
      </c>
      <c r="M48" s="13" t="s">
        <v>21</v>
      </c>
      <c r="N48" s="13" t="s">
        <v>22</v>
      </c>
      <c r="O48" s="12" t="s">
        <v>23</v>
      </c>
      <c r="P48" s="8" t="s">
        <v>24</v>
      </c>
      <c r="Q48" s="8" t="s">
        <v>25</v>
      </c>
      <c r="R48" s="12" t="s">
        <v>26</v>
      </c>
      <c r="S48" s="6" t="s">
        <v>27</v>
      </c>
      <c r="T48" s="9" t="s">
        <v>28</v>
      </c>
    </row>
    <row r="49" spans="1:20" x14ac:dyDescent="0.25">
      <c r="A49" s="6" t="s">
        <v>80</v>
      </c>
      <c r="B49" s="6" t="s">
        <v>81</v>
      </c>
      <c r="C49" s="6" t="s">
        <v>82</v>
      </c>
      <c r="D49" s="6" t="s">
        <v>51</v>
      </c>
      <c r="E49" s="7" t="s">
        <v>83</v>
      </c>
      <c r="F49" s="8">
        <v>223</v>
      </c>
      <c r="G49" s="8">
        <f>608</f>
        <v>608</v>
      </c>
      <c r="H49" s="9">
        <f>(F49+G49)*(1+0.3+0.24+0.466+0.2+0.2)+311</f>
        <v>2310.3860000000004</v>
      </c>
      <c r="I49" s="10">
        <f>80+160</f>
        <v>240</v>
      </c>
      <c r="K49" s="12">
        <f>0</f>
        <v>0</v>
      </c>
      <c r="L49" s="12">
        <f t="shared" ref="L49:L58" si="9">0</f>
        <v>0</v>
      </c>
      <c r="M49" s="13">
        <f t="shared" ref="M49:M56" si="10">60.25%+K49/2+L49/4</f>
        <v>0.60250000000000004</v>
      </c>
      <c r="N49" s="13">
        <f>60.25%*2+K49+L49/2</f>
        <v>1.2050000000000001</v>
      </c>
      <c r="O49" s="12">
        <f>0.466+0.2</f>
        <v>0.66600000000000004</v>
      </c>
      <c r="P49" s="8">
        <f t="shared" ref="P49:P58" si="11">0.5</f>
        <v>0.5</v>
      </c>
      <c r="Q49" s="8">
        <f t="shared" ref="Q49:Q58" si="12">0.9</f>
        <v>0.9</v>
      </c>
      <c r="R49" s="12">
        <v>10.1088</v>
      </c>
      <c r="S49" s="6" t="s">
        <v>84</v>
      </c>
      <c r="T49" s="9">
        <f>H49*R49*(1+O49)*(1+N49)*P49*Q49</f>
        <v>38608.262122565131</v>
      </c>
    </row>
    <row r="50" spans="1:20" x14ac:dyDescent="0.25">
      <c r="A50" s="6" t="s">
        <v>80</v>
      </c>
      <c r="B50" s="6" t="s">
        <v>85</v>
      </c>
      <c r="C50" s="6" t="s">
        <v>57</v>
      </c>
      <c r="D50" s="6" t="s">
        <v>51</v>
      </c>
      <c r="E50" s="7" t="s">
        <v>83</v>
      </c>
      <c r="F50" s="8">
        <v>223</v>
      </c>
      <c r="G50" s="8">
        <v>608</v>
      </c>
      <c r="H50" s="9">
        <f>(F50+G50)*(1+0.3+0.466+0.24+0.496)+311</f>
        <v>2390.1620000000003</v>
      </c>
      <c r="I50" s="10">
        <f>80+80</f>
        <v>160</v>
      </c>
      <c r="K50" s="12">
        <f>0</f>
        <v>0</v>
      </c>
      <c r="L50" s="12">
        <f t="shared" si="9"/>
        <v>0</v>
      </c>
      <c r="M50" s="13">
        <f t="shared" si="10"/>
        <v>0.60250000000000004</v>
      </c>
      <c r="N50" s="13">
        <f>60.25%*2+K50+L50/2</f>
        <v>1.2050000000000001</v>
      </c>
      <c r="O50" s="12">
        <f>0.466+0.35+0.12+0.4</f>
        <v>1.3360000000000001</v>
      </c>
      <c r="P50" s="8">
        <f t="shared" si="11"/>
        <v>0.5</v>
      </c>
      <c r="Q50" s="8">
        <f t="shared" si="12"/>
        <v>0.9</v>
      </c>
      <c r="R50" s="12">
        <v>2.2319999999999998</v>
      </c>
      <c r="S50" s="6" t="s">
        <v>86</v>
      </c>
      <c r="T50" s="9">
        <f>H50*R50*(1+O50)*(1+N50)*P50*Q50*1.5*(1+(2.78*I50)/(I50+1400)+0.15)</f>
        <v>26619.349153055431</v>
      </c>
    </row>
    <row r="52" spans="1:20" x14ac:dyDescent="0.25">
      <c r="A52" s="6" t="s">
        <v>9</v>
      </c>
      <c r="B52" s="6" t="s">
        <v>10</v>
      </c>
      <c r="C52" s="6" t="s">
        <v>11</v>
      </c>
      <c r="D52" s="6" t="s">
        <v>12</v>
      </c>
      <c r="E52" s="7" t="s">
        <v>13</v>
      </c>
      <c r="F52" s="8" t="s">
        <v>14</v>
      </c>
      <c r="G52" s="8" t="s">
        <v>15</v>
      </c>
      <c r="H52" s="9" t="s">
        <v>16</v>
      </c>
      <c r="I52" s="10" t="s">
        <v>18</v>
      </c>
      <c r="J52" s="14" t="s">
        <v>38</v>
      </c>
      <c r="K52" s="12" t="s">
        <v>19</v>
      </c>
      <c r="L52" s="12" t="s">
        <v>20</v>
      </c>
      <c r="M52" s="13" t="s">
        <v>21</v>
      </c>
      <c r="N52" s="13" t="s">
        <v>22</v>
      </c>
      <c r="O52" s="12" t="s">
        <v>23</v>
      </c>
      <c r="P52" s="8" t="s">
        <v>24</v>
      </c>
      <c r="Q52" s="8" t="s">
        <v>25</v>
      </c>
      <c r="R52" s="12" t="s">
        <v>26</v>
      </c>
      <c r="S52" s="6" t="s">
        <v>27</v>
      </c>
      <c r="T52" s="9" t="s">
        <v>28</v>
      </c>
    </row>
    <row r="53" spans="1:20" x14ac:dyDescent="0.25">
      <c r="A53" s="6" t="s">
        <v>87</v>
      </c>
      <c r="B53" s="11" t="s">
        <v>88</v>
      </c>
      <c r="C53" s="6" t="s">
        <v>89</v>
      </c>
      <c r="D53" s="11" t="s">
        <v>90</v>
      </c>
      <c r="E53" s="7" t="s">
        <v>91</v>
      </c>
      <c r="F53" s="8">
        <v>225</v>
      </c>
      <c r="G53" s="8">
        <v>608</v>
      </c>
      <c r="H53" s="9">
        <f>(F53+G53)*(1+0.3+0.25+0.28*(J53-1))+311</f>
        <v>1936.61616</v>
      </c>
      <c r="I53" s="10">
        <f>60+96</f>
        <v>156</v>
      </c>
      <c r="J53" s="14">
        <f>1+0.2+5.5%*3+0.551+0.518</f>
        <v>2.4340000000000002</v>
      </c>
      <c r="K53" s="12">
        <v>0</v>
      </c>
      <c r="L53" s="12">
        <f t="shared" si="9"/>
        <v>0</v>
      </c>
      <c r="M53" s="13">
        <f>60.25%+K53/2+L53/4</f>
        <v>0.60250000000000004</v>
      </c>
      <c r="N53" s="13">
        <f t="shared" ref="N53:N58" si="13">60.25%*2+K53+L53/2</f>
        <v>1.2050000000000001</v>
      </c>
      <c r="O53" s="12">
        <f>0.466+0.25*J53</f>
        <v>1.0745</v>
      </c>
      <c r="P53" s="8">
        <f t="shared" si="11"/>
        <v>0.5</v>
      </c>
      <c r="Q53" s="8">
        <f t="shared" si="12"/>
        <v>0.9</v>
      </c>
      <c r="R53" s="12">
        <v>2.38</v>
      </c>
      <c r="S53" s="6" t="s">
        <v>92</v>
      </c>
      <c r="T53" s="9">
        <f>(H53+1202)*R53*(1+O53)*(1+N53)*P53*Q53*1.5*(1+(2.78*I53)/(I53+1400))</f>
        <v>29492.705296855122</v>
      </c>
    </row>
    <row r="54" spans="1:20" x14ac:dyDescent="0.25">
      <c r="A54" s="6" t="s">
        <v>87</v>
      </c>
      <c r="B54" s="11" t="s">
        <v>88</v>
      </c>
      <c r="C54" s="6" t="s">
        <v>89</v>
      </c>
      <c r="D54" s="6" t="s">
        <v>35</v>
      </c>
      <c r="E54" s="7" t="s">
        <v>91</v>
      </c>
      <c r="F54" s="8">
        <v>225</v>
      </c>
      <c r="G54" s="8">
        <v>608</v>
      </c>
      <c r="H54" s="9">
        <f>(F54+G54)*(1+0.3+0.25+0.28*(J54-1))+311</f>
        <v>1815.7978400000002</v>
      </c>
      <c r="I54" s="10">
        <f>60+96+187</f>
        <v>343</v>
      </c>
      <c r="J54" s="14">
        <f>1+0.2+5.5%*3+0.551</f>
        <v>1.9159999999999999</v>
      </c>
      <c r="K54" s="12">
        <v>0</v>
      </c>
      <c r="L54" s="12">
        <f t="shared" si="9"/>
        <v>0</v>
      </c>
      <c r="M54" s="13">
        <f>60.25%+K54/2+L54/4</f>
        <v>0.60250000000000004</v>
      </c>
      <c r="N54" s="13">
        <f t="shared" si="13"/>
        <v>1.2050000000000001</v>
      </c>
      <c r="O54" s="12">
        <f>0.466+0.25*J54</f>
        <v>0.94500000000000006</v>
      </c>
      <c r="P54" s="8">
        <f t="shared" si="11"/>
        <v>0.5</v>
      </c>
      <c r="Q54" s="8">
        <f t="shared" si="12"/>
        <v>0.9</v>
      </c>
      <c r="R54" s="12">
        <v>2.38</v>
      </c>
      <c r="S54" s="6" t="s">
        <v>92</v>
      </c>
      <c r="T54" s="9">
        <f>(H54+1202)*R54*(1+O54)*(1+N54)*P54*Q54*1.5*(1+(2.78*I54)/(I54+1400))</f>
        <v>32166.85138111173</v>
      </c>
    </row>
    <row r="55" spans="1:20" x14ac:dyDescent="0.25">
      <c r="A55" s="6" t="s">
        <v>87</v>
      </c>
      <c r="B55" s="6" t="s">
        <v>93</v>
      </c>
      <c r="C55" s="6" t="s">
        <v>89</v>
      </c>
      <c r="D55" s="6" t="s">
        <v>90</v>
      </c>
      <c r="E55" s="7" t="s">
        <v>91</v>
      </c>
      <c r="F55" s="8">
        <v>225</v>
      </c>
      <c r="G55" s="8">
        <v>674</v>
      </c>
      <c r="H55" s="9">
        <f>(F55+G55)*(1+0.3+0.25)+311</f>
        <v>1704.45</v>
      </c>
      <c r="I55" s="10">
        <f>60+96</f>
        <v>156</v>
      </c>
      <c r="J55" s="14">
        <f>1+0.518+0.2+0.368+5.5%*3</f>
        <v>2.2509999999999999</v>
      </c>
      <c r="K55" s="12">
        <v>0.08</v>
      </c>
      <c r="L55" s="12">
        <f t="shared" si="9"/>
        <v>0</v>
      </c>
      <c r="M55" s="13">
        <f t="shared" si="10"/>
        <v>0.64250000000000007</v>
      </c>
      <c r="N55" s="13">
        <f t="shared" si="13"/>
        <v>1.2850000000000001</v>
      </c>
      <c r="O55" s="12">
        <f>0.466+0.25*J55</f>
        <v>1.0287500000000001</v>
      </c>
      <c r="P55" s="8">
        <f t="shared" si="11"/>
        <v>0.5</v>
      </c>
      <c r="Q55" s="8">
        <f t="shared" si="12"/>
        <v>0.9</v>
      </c>
      <c r="R55" s="12">
        <v>2.38</v>
      </c>
      <c r="S55" s="6" t="s">
        <v>92</v>
      </c>
      <c r="T55" s="9">
        <f>2996*R55*(1+O55)*(1+N55)*P55*Q55*1.5*(1+(2.78*I55)/(I55+1400))</f>
        <v>28530.600854572553</v>
      </c>
    </row>
    <row r="56" spans="1:20" x14ac:dyDescent="0.25">
      <c r="A56" s="6" t="s">
        <v>87</v>
      </c>
      <c r="B56" s="6" t="s">
        <v>93</v>
      </c>
      <c r="C56" s="6" t="s">
        <v>89</v>
      </c>
      <c r="D56" s="6" t="s">
        <v>35</v>
      </c>
      <c r="E56" s="7" t="s">
        <v>91</v>
      </c>
      <c r="F56" s="8">
        <v>225</v>
      </c>
      <c r="G56" s="8">
        <v>674</v>
      </c>
      <c r="H56" s="9">
        <f>(F56+G56)*(1+0.3+0.25)+311</f>
        <v>1704.45</v>
      </c>
      <c r="I56" s="10">
        <f>60+96+187</f>
        <v>343</v>
      </c>
      <c r="J56" s="14">
        <f>1+0.2+0.368+5.5%*3</f>
        <v>1.7330000000000001</v>
      </c>
      <c r="K56" s="12">
        <v>0.08</v>
      </c>
      <c r="L56" s="12">
        <f t="shared" si="9"/>
        <v>0</v>
      </c>
      <c r="M56" s="13">
        <f t="shared" si="10"/>
        <v>0.64250000000000007</v>
      </c>
      <c r="N56" s="13">
        <f t="shared" si="13"/>
        <v>1.2850000000000001</v>
      </c>
      <c r="O56" s="12">
        <f>0.466+0.25*J56</f>
        <v>0.8992500000000001</v>
      </c>
      <c r="P56" s="8">
        <f t="shared" si="11"/>
        <v>0.5</v>
      </c>
      <c r="Q56" s="8">
        <f t="shared" si="12"/>
        <v>0.9</v>
      </c>
      <c r="R56" s="12">
        <v>2.38</v>
      </c>
      <c r="S56" s="6" t="s">
        <v>92</v>
      </c>
      <c r="T56" s="9">
        <f>2996*R56*(1+O56)*(1+N56)*P56*Q56*1.5*(1+(2.78*I56)/(I56+1400))</f>
        <v>32314.717098039797</v>
      </c>
    </row>
    <row r="57" spans="1:20" x14ac:dyDescent="0.25">
      <c r="A57" s="6" t="s">
        <v>87</v>
      </c>
      <c r="B57" s="6" t="s">
        <v>94</v>
      </c>
      <c r="C57" s="6" t="s">
        <v>89</v>
      </c>
      <c r="D57" s="6" t="s">
        <v>90</v>
      </c>
      <c r="E57" s="7" t="s">
        <v>91</v>
      </c>
      <c r="F57" s="8">
        <v>225</v>
      </c>
      <c r="G57" s="8">
        <v>510</v>
      </c>
      <c r="H57" s="9">
        <f>(F57+G57)*(1+0.3+0.25)+311</f>
        <v>1450.25</v>
      </c>
      <c r="I57" s="10">
        <f>60+96</f>
        <v>156</v>
      </c>
      <c r="J57" s="14">
        <f>1+0.518+0.2+0.459+5.5%*3</f>
        <v>2.3420000000000001</v>
      </c>
      <c r="K57" s="12">
        <f>12%</f>
        <v>0.12</v>
      </c>
      <c r="L57" s="12">
        <f t="shared" si="9"/>
        <v>0</v>
      </c>
      <c r="M57" s="13">
        <f>60.25%+K57/2+L57/4-12%</f>
        <v>0.54250000000000009</v>
      </c>
      <c r="N57" s="13">
        <f t="shared" si="13"/>
        <v>1.3250000000000002</v>
      </c>
      <c r="O57" s="12">
        <f>0.466+0.25*J57+0.32</f>
        <v>1.3715000000000002</v>
      </c>
      <c r="P57" s="8">
        <f t="shared" si="11"/>
        <v>0.5</v>
      </c>
      <c r="Q57" s="8">
        <f t="shared" si="12"/>
        <v>0.9</v>
      </c>
      <c r="R57" s="12">
        <v>2.38</v>
      </c>
      <c r="S57" s="6" t="s">
        <v>92</v>
      </c>
      <c r="T57" s="9">
        <f>2726*R57*(1+O57)*(1+N57)*P57*Q57*1.5*(1+(2.78*I57)/(I57+1400))</f>
        <v>30876.375181652355</v>
      </c>
    </row>
    <row r="58" spans="1:20" x14ac:dyDescent="0.25">
      <c r="A58" s="6" t="s">
        <v>87</v>
      </c>
      <c r="B58" s="6" t="s">
        <v>94</v>
      </c>
      <c r="C58" s="6" t="s">
        <v>89</v>
      </c>
      <c r="D58" s="6" t="s">
        <v>35</v>
      </c>
      <c r="E58" s="7" t="s">
        <v>91</v>
      </c>
      <c r="F58" s="8">
        <v>225</v>
      </c>
      <c r="G58" s="8">
        <v>510</v>
      </c>
      <c r="H58" s="9">
        <f>(F58+G58)*(1+0.3+0.25)+311</f>
        <v>1450.25</v>
      </c>
      <c r="I58" s="10">
        <f>60+96+187</f>
        <v>343</v>
      </c>
      <c r="J58" s="14">
        <f>1+0.2+0.459+5.5%*3</f>
        <v>1.8240000000000001</v>
      </c>
      <c r="K58" s="12">
        <f>12%</f>
        <v>0.12</v>
      </c>
      <c r="L58" s="12">
        <f t="shared" si="9"/>
        <v>0</v>
      </c>
      <c r="M58" s="13">
        <f>60.25%+K58/2+L58/4-12%</f>
        <v>0.54250000000000009</v>
      </c>
      <c r="N58" s="13">
        <f t="shared" si="13"/>
        <v>1.3250000000000002</v>
      </c>
      <c r="O58" s="12">
        <f>0.466+0.25*J58+0.32</f>
        <v>1.242</v>
      </c>
      <c r="P58" s="8">
        <f t="shared" si="11"/>
        <v>0.5</v>
      </c>
      <c r="Q58" s="8">
        <f t="shared" si="12"/>
        <v>0.9</v>
      </c>
      <c r="R58" s="12">
        <v>2.38</v>
      </c>
      <c r="S58" s="6" t="s">
        <v>92</v>
      </c>
      <c r="T58" s="9">
        <f>2726*R58*(1+O58)*(1+N58)*P58*Q58*1.5*(1+(2.78*I58)/(I58+1400))</f>
        <v>35316.253594138667</v>
      </c>
    </row>
    <row r="59" spans="1:20" x14ac:dyDescent="0.25">
      <c r="J59" s="14"/>
    </row>
    <row r="60" spans="1:20" x14ac:dyDescent="0.25">
      <c r="A60" s="6" t="s">
        <v>9</v>
      </c>
      <c r="B60" s="6" t="s">
        <v>10</v>
      </c>
      <c r="C60" s="6" t="s">
        <v>11</v>
      </c>
      <c r="D60" s="6" t="s">
        <v>12</v>
      </c>
      <c r="E60" s="7" t="s">
        <v>13</v>
      </c>
      <c r="F60" s="8" t="s">
        <v>14</v>
      </c>
      <c r="G60" s="8" t="s">
        <v>15</v>
      </c>
      <c r="H60" s="9" t="s">
        <v>16</v>
      </c>
      <c r="I60" s="10" t="s">
        <v>18</v>
      </c>
      <c r="J60" s="11" t="s">
        <v>38</v>
      </c>
      <c r="K60" s="12" t="s">
        <v>19</v>
      </c>
      <c r="L60" s="12" t="s">
        <v>20</v>
      </c>
      <c r="M60" s="13" t="s">
        <v>21</v>
      </c>
      <c r="N60" s="13" t="s">
        <v>22</v>
      </c>
      <c r="O60" s="12" t="s">
        <v>23</v>
      </c>
      <c r="P60" s="8" t="s">
        <v>24</v>
      </c>
      <c r="Q60" s="8" t="s">
        <v>25</v>
      </c>
      <c r="R60" s="12" t="s">
        <v>26</v>
      </c>
      <c r="S60" s="6" t="s">
        <v>27</v>
      </c>
      <c r="T60" s="9" t="s">
        <v>28</v>
      </c>
    </row>
    <row r="61" spans="1:20" x14ac:dyDescent="0.25">
      <c r="A61" s="6" t="s">
        <v>95</v>
      </c>
      <c r="B61" s="6" t="s">
        <v>96</v>
      </c>
      <c r="C61" s="6" t="s">
        <v>82</v>
      </c>
      <c r="D61" s="6" t="s">
        <v>90</v>
      </c>
      <c r="E61" s="7" t="s">
        <v>91</v>
      </c>
      <c r="F61" s="8">
        <v>191</v>
      </c>
      <c r="G61" s="8">
        <v>674</v>
      </c>
      <c r="H61" s="9">
        <f>(F61+G61)*(1+0.3+0.2)+311</f>
        <v>1608.5</v>
      </c>
      <c r="I61" s="10">
        <f>80</f>
        <v>80</v>
      </c>
      <c r="J61" s="14">
        <f>1+0.518+0.267+0.2</f>
        <v>1.9850000000000001</v>
      </c>
      <c r="K61" s="12">
        <v>0</v>
      </c>
      <c r="L61" s="12">
        <f>0</f>
        <v>0</v>
      </c>
      <c r="M61" s="13">
        <f>60.25%+K61/2+L61/4</f>
        <v>0.60250000000000004</v>
      </c>
      <c r="N61" s="13">
        <f>60.25%*2+K61+L61/2</f>
        <v>1.2050000000000001</v>
      </c>
      <c r="O61" s="12">
        <f>0.466+0.2</f>
        <v>0.66600000000000004</v>
      </c>
      <c r="P61" s="8">
        <f>0.5</f>
        <v>0.5</v>
      </c>
      <c r="Q61" s="8">
        <f>0.9</f>
        <v>0.9</v>
      </c>
      <c r="R61" s="12">
        <v>4.9470000000000001</v>
      </c>
      <c r="S61" s="6" t="s">
        <v>65</v>
      </c>
      <c r="T61" s="9">
        <f>(H61+1.39*(F61+G61))*R61*(1+O61)*(1+N61)*P61*Q61*1.5*(1+(2.78*I61)/(I61+1400))</f>
        <v>39661.290350547235</v>
      </c>
    </row>
    <row r="62" spans="1:20" x14ac:dyDescent="0.25">
      <c r="A62" s="6" t="s">
        <v>95</v>
      </c>
      <c r="B62" s="6" t="s">
        <v>97</v>
      </c>
      <c r="C62" s="6" t="s">
        <v>82</v>
      </c>
      <c r="D62" s="6" t="s">
        <v>90</v>
      </c>
      <c r="E62" s="7" t="s">
        <v>91</v>
      </c>
      <c r="F62" s="8">
        <v>191</v>
      </c>
      <c r="G62" s="8">
        <v>608</v>
      </c>
      <c r="H62" s="9">
        <f>(F62+G62)*(1+0.3)+311</f>
        <v>1349.7</v>
      </c>
      <c r="I62" s="10">
        <f>80</f>
        <v>80</v>
      </c>
      <c r="J62" s="14">
        <f>1+0.518+0.267+0.2+0.551</f>
        <v>2.536</v>
      </c>
      <c r="K62" s="12">
        <v>0.04</v>
      </c>
      <c r="L62" s="12">
        <f>0</f>
        <v>0</v>
      </c>
      <c r="M62" s="13">
        <f>60.25%+K62/2+L62/4</f>
        <v>0.62250000000000005</v>
      </c>
      <c r="N62" s="13">
        <f>60.25%*2+K62+L62/2</f>
        <v>1.2450000000000001</v>
      </c>
      <c r="O62" s="12">
        <f>0.466+0.2</f>
        <v>0.66600000000000004</v>
      </c>
      <c r="P62" s="8">
        <f>0.5</f>
        <v>0.5</v>
      </c>
      <c r="Q62" s="8">
        <f>0.9</f>
        <v>0.9</v>
      </c>
      <c r="R62" s="12">
        <v>4.9470000000000001</v>
      </c>
      <c r="S62" s="6" t="s">
        <v>65</v>
      </c>
      <c r="T62" s="9">
        <f>(H62+1.39*(F62+G62))*R62*(1+O62)*(1+N62)*P62*Q62*1.5*(1+(2.78*I62)/(I62+1400))</f>
        <v>35344.899624093778</v>
      </c>
    </row>
    <row r="64" spans="1:20" x14ac:dyDescent="0.25">
      <c r="A64" s="6" t="s">
        <v>9</v>
      </c>
      <c r="B64" s="6" t="s">
        <v>10</v>
      </c>
      <c r="C64" s="6" t="s">
        <v>11</v>
      </c>
      <c r="D64" s="6" t="s">
        <v>12</v>
      </c>
      <c r="E64" s="7" t="s">
        <v>13</v>
      </c>
      <c r="F64" s="8" t="s">
        <v>14</v>
      </c>
      <c r="G64" s="8" t="s">
        <v>15</v>
      </c>
      <c r="H64" s="9" t="s">
        <v>16</v>
      </c>
      <c r="I64" s="10" t="s">
        <v>98</v>
      </c>
      <c r="J64" s="11" t="s">
        <v>38</v>
      </c>
      <c r="K64" s="12" t="s">
        <v>19</v>
      </c>
      <c r="L64" s="12" t="s">
        <v>20</v>
      </c>
      <c r="M64" s="13" t="s">
        <v>21</v>
      </c>
      <c r="N64" s="13" t="s">
        <v>22</v>
      </c>
      <c r="O64" s="12" t="s">
        <v>23</v>
      </c>
      <c r="P64" s="8" t="s">
        <v>24</v>
      </c>
      <c r="Q64" s="8" t="s">
        <v>25</v>
      </c>
      <c r="R64" s="12" t="s">
        <v>26</v>
      </c>
      <c r="S64" s="6" t="s">
        <v>27</v>
      </c>
      <c r="T64" s="9" t="s">
        <v>28</v>
      </c>
    </row>
    <row r="65" spans="1:21" x14ac:dyDescent="0.25">
      <c r="A65" s="6" t="s">
        <v>95</v>
      </c>
      <c r="B65" s="6" t="s">
        <v>96</v>
      </c>
      <c r="C65" s="6" t="s">
        <v>99</v>
      </c>
      <c r="D65" s="6" t="s">
        <v>100</v>
      </c>
      <c r="E65" s="7" t="s">
        <v>91</v>
      </c>
      <c r="F65" s="8">
        <v>191</v>
      </c>
      <c r="G65" s="8">
        <v>674</v>
      </c>
      <c r="H65" s="9">
        <f>(F65+G65)*(1+0.2+0.2)+311</f>
        <v>1522</v>
      </c>
      <c r="I65" s="10">
        <f>12397*(1+0.466+0.3)+4780</f>
        <v>26673.101999999999</v>
      </c>
      <c r="J65" s="14">
        <f>1+0.518+0.267+0.2</f>
        <v>1.9850000000000001</v>
      </c>
      <c r="K65" s="12">
        <v>0</v>
      </c>
      <c r="L65" s="12">
        <f>0</f>
        <v>0</v>
      </c>
      <c r="M65" s="13" t="s">
        <v>44</v>
      </c>
      <c r="N65" s="13" t="s">
        <v>44</v>
      </c>
      <c r="O65" s="12" t="s">
        <v>45</v>
      </c>
      <c r="P65" s="8">
        <f t="shared" ref="P65:P72" si="14">0.5</f>
        <v>0.5</v>
      </c>
      <c r="Q65" s="8">
        <f>0.9</f>
        <v>0.9</v>
      </c>
      <c r="R65" s="12" t="s">
        <v>45</v>
      </c>
      <c r="S65" s="6" t="s">
        <v>101</v>
      </c>
      <c r="T65" s="9">
        <f>(1588+12.75%*I65)*(1+0.15+0.358+0.2)</f>
        <v>8520.9054225399996</v>
      </c>
    </row>
    <row r="66" spans="1:21" x14ac:dyDescent="0.25">
      <c r="A66" s="6" t="s">
        <v>95</v>
      </c>
      <c r="B66" s="6" t="s">
        <v>97</v>
      </c>
      <c r="C66" s="6" t="s">
        <v>99</v>
      </c>
      <c r="D66" s="6" t="s">
        <v>100</v>
      </c>
      <c r="E66" s="7" t="s">
        <v>91</v>
      </c>
      <c r="F66" s="8">
        <v>191</v>
      </c>
      <c r="G66" s="8">
        <v>608</v>
      </c>
      <c r="H66" s="9">
        <f>(F66+G66)*(1+0.2)+311</f>
        <v>1269.8</v>
      </c>
      <c r="I66" s="10">
        <f>12397*(1+0.466+0.3)+4780</f>
        <v>26673.101999999999</v>
      </c>
      <c r="J66" s="14">
        <f>1+0.518+0.267+0.2+0.551</f>
        <v>2.536</v>
      </c>
      <c r="K66" s="12">
        <v>0.04</v>
      </c>
      <c r="L66" s="12">
        <f>0</f>
        <v>0</v>
      </c>
      <c r="M66" s="13" t="s">
        <v>44</v>
      </c>
      <c r="N66" s="13" t="s">
        <v>44</v>
      </c>
      <c r="O66" s="12" t="s">
        <v>45</v>
      </c>
      <c r="P66" s="8">
        <f t="shared" si="14"/>
        <v>0.5</v>
      </c>
      <c r="Q66" s="8">
        <f>0.9</f>
        <v>0.9</v>
      </c>
      <c r="R66" s="12" t="s">
        <v>45</v>
      </c>
      <c r="S66" s="6" t="s">
        <v>101</v>
      </c>
      <c r="T66" s="9">
        <f>(1588+12.75%*I66)*(1+0.15+0.358+0.2)</f>
        <v>8520.9054225399996</v>
      </c>
    </row>
    <row r="68" spans="1:21" x14ac:dyDescent="0.25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</row>
    <row r="69" spans="1:21" x14ac:dyDescent="0.25">
      <c r="A69" s="6" t="s">
        <v>9</v>
      </c>
      <c r="B69" s="6" t="s">
        <v>10</v>
      </c>
      <c r="C69" s="6" t="s">
        <v>11</v>
      </c>
      <c r="D69" s="6" t="s">
        <v>12</v>
      </c>
      <c r="E69" s="7" t="s">
        <v>13</v>
      </c>
      <c r="F69" s="8" t="s">
        <v>14</v>
      </c>
      <c r="G69" s="8" t="s">
        <v>15</v>
      </c>
      <c r="H69" s="9" t="s">
        <v>16</v>
      </c>
      <c r="I69" s="10" t="s">
        <v>98</v>
      </c>
      <c r="J69" s="14" t="s">
        <v>38</v>
      </c>
      <c r="K69" s="12" t="s">
        <v>19</v>
      </c>
      <c r="L69" s="12" t="s">
        <v>20</v>
      </c>
      <c r="M69" s="13" t="s">
        <v>21</v>
      </c>
      <c r="N69" s="13" t="s">
        <v>22</v>
      </c>
      <c r="O69" s="12" t="s">
        <v>23</v>
      </c>
      <c r="P69" s="8" t="s">
        <v>24</v>
      </c>
      <c r="Q69" s="8" t="s">
        <v>25</v>
      </c>
      <c r="R69" s="12" t="s">
        <v>26</v>
      </c>
      <c r="S69" s="6" t="s">
        <v>27</v>
      </c>
      <c r="T69" s="9" t="s">
        <v>28</v>
      </c>
    </row>
    <row r="70" spans="1:21" x14ac:dyDescent="0.25">
      <c r="A70" s="16" t="s">
        <v>102</v>
      </c>
      <c r="B70" s="16" t="s">
        <v>40</v>
      </c>
      <c r="C70" s="16" t="s">
        <v>82</v>
      </c>
      <c r="D70" s="16" t="s">
        <v>103</v>
      </c>
      <c r="E70" s="17" t="s">
        <v>104</v>
      </c>
      <c r="F70" s="8">
        <v>212</v>
      </c>
      <c r="G70" s="8">
        <v>565</v>
      </c>
      <c r="H70" s="9">
        <f>(F70+G70)*(1)+311</f>
        <v>1088</v>
      </c>
      <c r="I70" s="10">
        <f>10875*(1+0.3+0.466*2+0.24)+4780</f>
        <v>31663.000000000004</v>
      </c>
      <c r="J70" s="14">
        <f>1+0.6+0.306</f>
        <v>1.9060000000000001</v>
      </c>
      <c r="K70" s="12">
        <v>0</v>
      </c>
      <c r="L70" s="12">
        <v>0</v>
      </c>
      <c r="M70" s="13">
        <v>0.5</v>
      </c>
      <c r="N70" s="13">
        <v>0.6</v>
      </c>
      <c r="O70" s="12">
        <v>0.2</v>
      </c>
      <c r="P70" s="8">
        <f t="shared" si="14"/>
        <v>0.5</v>
      </c>
      <c r="Q70" s="8">
        <v>0.9</v>
      </c>
      <c r="R70" s="12">
        <v>0.12560000000000002</v>
      </c>
      <c r="S70" s="11" t="s">
        <v>105</v>
      </c>
      <c r="T70" s="9">
        <f>(I70*R70)*(1+O70)*(1+N70)*P70*Q70</f>
        <v>3436.018099200001</v>
      </c>
    </row>
    <row r="71" spans="1:21" x14ac:dyDescent="0.25">
      <c r="A71" s="16" t="s">
        <v>102</v>
      </c>
      <c r="B71" s="16" t="s">
        <v>106</v>
      </c>
      <c r="C71" s="16" t="s">
        <v>82</v>
      </c>
      <c r="D71" s="16" t="s">
        <v>107</v>
      </c>
      <c r="E71" s="17" t="s">
        <v>104</v>
      </c>
      <c r="F71" s="8">
        <v>212</v>
      </c>
      <c r="G71" s="8">
        <v>565</v>
      </c>
      <c r="H71" s="9">
        <f>(F71+G71)*(1)+311</f>
        <v>1088</v>
      </c>
      <c r="I71" s="10">
        <f>10875*(1+0.25+0.466*3+0.24)+4780</f>
        <v>36187</v>
      </c>
      <c r="J71" s="14">
        <f>1+0.7</f>
        <v>1.7</v>
      </c>
      <c r="K71" s="12">
        <v>0</v>
      </c>
      <c r="L71" s="12">
        <v>0</v>
      </c>
      <c r="M71" s="13" t="s">
        <v>44</v>
      </c>
      <c r="N71" s="13" t="s">
        <v>44</v>
      </c>
      <c r="O71" s="12">
        <v>0.2</v>
      </c>
      <c r="P71" s="8">
        <f t="shared" si="14"/>
        <v>0.5</v>
      </c>
      <c r="Q71" s="8">
        <v>0.9</v>
      </c>
      <c r="R71" s="12">
        <v>0.12560000000000002</v>
      </c>
      <c r="S71" s="11" t="s">
        <v>105</v>
      </c>
      <c r="T71" s="9">
        <f>(I71*R71)*(1+O71)*(1+0.5)*P71*Q71</f>
        <v>3681.5206320000002</v>
      </c>
    </row>
    <row r="72" spans="1:21" x14ac:dyDescent="0.25">
      <c r="A72" s="16" t="s">
        <v>102</v>
      </c>
      <c r="B72" s="16" t="s">
        <v>47</v>
      </c>
      <c r="C72" s="16" t="s">
        <v>82</v>
      </c>
      <c r="D72" s="16" t="s">
        <v>48</v>
      </c>
      <c r="E72" s="17" t="s">
        <v>104</v>
      </c>
      <c r="F72" s="8">
        <v>212</v>
      </c>
      <c r="G72" s="8">
        <v>354</v>
      </c>
      <c r="H72" s="9">
        <f>(F72+G72)*(1)+311</f>
        <v>877</v>
      </c>
      <c r="I72" s="10">
        <f>10875*(1+0.3+0.466*2+0.469+0.24)+4780</f>
        <v>36763.375</v>
      </c>
      <c r="J72" s="14">
        <f>1+0.55+0.518</f>
        <v>2.0680000000000001</v>
      </c>
      <c r="K72" s="12">
        <v>0</v>
      </c>
      <c r="L72" s="12">
        <v>0</v>
      </c>
      <c r="M72" s="13" t="s">
        <v>44</v>
      </c>
      <c r="N72" s="13" t="s">
        <v>44</v>
      </c>
      <c r="O72" s="12">
        <v>0.2</v>
      </c>
      <c r="P72" s="8">
        <f t="shared" si="14"/>
        <v>0.5</v>
      </c>
      <c r="Q72" s="8">
        <v>0.9</v>
      </c>
      <c r="R72" s="12">
        <v>0.12560000000000002</v>
      </c>
      <c r="S72" s="11" t="s">
        <v>105</v>
      </c>
      <c r="T72" s="9">
        <f>(I72*R72)*(1+O72)*(1+0.5)*P72*Q72</f>
        <v>3740.1587190000005</v>
      </c>
    </row>
    <row r="73" spans="1:2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1:21" x14ac:dyDescent="0.25">
      <c r="A74" s="6" t="s">
        <v>9</v>
      </c>
      <c r="B74" s="6" t="s">
        <v>10</v>
      </c>
      <c r="C74" s="6" t="s">
        <v>11</v>
      </c>
      <c r="D74" s="6" t="s">
        <v>12</v>
      </c>
      <c r="E74" s="7" t="s">
        <v>13</v>
      </c>
      <c r="F74" s="8" t="s">
        <v>14</v>
      </c>
      <c r="G74" s="8" t="s">
        <v>15</v>
      </c>
      <c r="H74" s="9" t="s">
        <v>16</v>
      </c>
      <c r="I74" s="10" t="s">
        <v>108</v>
      </c>
      <c r="J74" s="14" t="s">
        <v>38</v>
      </c>
      <c r="K74" s="12" t="s">
        <v>19</v>
      </c>
      <c r="L74" s="12" t="s">
        <v>20</v>
      </c>
      <c r="M74" s="13" t="s">
        <v>21</v>
      </c>
      <c r="N74" s="13" t="s">
        <v>22</v>
      </c>
      <c r="O74" s="12" t="s">
        <v>23</v>
      </c>
      <c r="P74" s="8" t="s">
        <v>24</v>
      </c>
      <c r="Q74" s="8" t="s">
        <v>25</v>
      </c>
      <c r="R74" s="12" t="s">
        <v>26</v>
      </c>
      <c r="S74" s="6" t="s">
        <v>27</v>
      </c>
      <c r="T74" s="9" t="s">
        <v>28</v>
      </c>
      <c r="U74" s="22"/>
    </row>
    <row r="75" spans="1:21" x14ac:dyDescent="0.25">
      <c r="A75" s="16" t="s">
        <v>109</v>
      </c>
      <c r="B75" s="16" t="s">
        <v>110</v>
      </c>
      <c r="C75" s="16" t="s">
        <v>111</v>
      </c>
      <c r="D75" s="16" t="s">
        <v>112</v>
      </c>
      <c r="E75" s="17" t="s">
        <v>113</v>
      </c>
      <c r="F75" s="8">
        <v>244</v>
      </c>
      <c r="G75" s="8">
        <v>542</v>
      </c>
      <c r="H75" s="9">
        <f>(F75+G75)*(1+0.2)+311</f>
        <v>1254.1999999999998</v>
      </c>
      <c r="I75" s="10">
        <f>14450*(1+0.3+0.16+0.18)+4780</f>
        <v>28478</v>
      </c>
      <c r="J75" s="14">
        <f>1+0.2+0.2+0.518</f>
        <v>1.9179999999999999</v>
      </c>
      <c r="K75" s="12">
        <v>0.192</v>
      </c>
      <c r="L75" s="12">
        <v>0.88200000000000001</v>
      </c>
      <c r="M75" s="13">
        <f>60.25%+K75/2+L75/4-11.9%</f>
        <v>0.8</v>
      </c>
      <c r="N75" s="13">
        <f>60.25%*2+K75+L75/2+11.9%*2</f>
        <v>2.0760000000000001</v>
      </c>
      <c r="O75" s="12">
        <f>0.466+0.25*J75+0.2</f>
        <v>1.1455</v>
      </c>
      <c r="P75" s="8">
        <f>0.5</f>
        <v>0.5</v>
      </c>
      <c r="Q75" s="8">
        <v>0.9</v>
      </c>
      <c r="R75" s="12">
        <v>8.77E-2</v>
      </c>
      <c r="S75" s="11" t="s">
        <v>114</v>
      </c>
      <c r="T75" s="9">
        <f>(I75*R75)*(1+O75)*(1+N75)*P75*Q75</f>
        <v>7417.1394251526608</v>
      </c>
      <c r="U75" s="23"/>
    </row>
    <row r="76" spans="1:21" x14ac:dyDescent="0.25">
      <c r="A76" s="16" t="s">
        <v>109</v>
      </c>
      <c r="B76" s="16" t="s">
        <v>110</v>
      </c>
      <c r="C76" s="16" t="s">
        <v>111</v>
      </c>
      <c r="D76" s="16" t="s">
        <v>115</v>
      </c>
      <c r="E76" s="17" t="s">
        <v>113</v>
      </c>
      <c r="F76" s="8">
        <v>244</v>
      </c>
      <c r="G76" s="8">
        <v>542</v>
      </c>
      <c r="H76" s="9">
        <f>(F76+G76)*(1+0.2)+311</f>
        <v>1254.1999999999998</v>
      </c>
      <c r="I76" s="10">
        <f>14450*(1+0.3+0.16+0.18+0.466)+4780</f>
        <v>35211.699999999997</v>
      </c>
      <c r="J76" s="14">
        <f>1+0.2+0.2</f>
        <v>1.4</v>
      </c>
      <c r="K76" s="12">
        <v>0.192</v>
      </c>
      <c r="L76" s="12">
        <v>0.88200000000000001</v>
      </c>
      <c r="M76" s="13">
        <f>60.25%+K76/2+L76/4-11.9%</f>
        <v>0.8</v>
      </c>
      <c r="N76" s="13">
        <f>60.25%*2+K76+L76/2+11.9%*2</f>
        <v>2.0760000000000001</v>
      </c>
      <c r="O76" s="12">
        <f>0.466+0.25*J76+0.2</f>
        <v>1.016</v>
      </c>
      <c r="P76" s="8">
        <f>0.5</f>
        <v>0.5</v>
      </c>
      <c r="Q76" s="8">
        <v>0.9</v>
      </c>
      <c r="R76" s="12">
        <v>8.77E-2</v>
      </c>
      <c r="S76" s="11" t="s">
        <v>114</v>
      </c>
      <c r="T76" s="9">
        <f>(I76*R76)*(1+O76)*(1+N76)*P76*Q76</f>
        <v>8617.3941808644468</v>
      </c>
      <c r="U76" s="23"/>
    </row>
    <row r="77" spans="1:21" x14ac:dyDescent="0.25">
      <c r="A77" s="16" t="s">
        <v>109</v>
      </c>
      <c r="B77" s="16" t="s">
        <v>81</v>
      </c>
      <c r="C77" s="16" t="s">
        <v>111</v>
      </c>
      <c r="D77" s="16" t="s">
        <v>115</v>
      </c>
      <c r="E77" s="17" t="s">
        <v>113</v>
      </c>
      <c r="F77" s="8">
        <v>244</v>
      </c>
      <c r="G77" s="8">
        <v>608</v>
      </c>
      <c r="H77" s="9">
        <f>(F77+G77)*(1+0.2)+311</f>
        <v>1333.4</v>
      </c>
      <c r="I77" s="10">
        <f>14450*(1+0.3+0.466+0.18)+4780</f>
        <v>32899.699999999997</v>
      </c>
      <c r="J77" s="14">
        <f>1+0.2+0.2+0.551</f>
        <v>1.9510000000000001</v>
      </c>
      <c r="K77" s="12">
        <v>0.192</v>
      </c>
      <c r="L77" s="12">
        <v>0</v>
      </c>
      <c r="M77" s="13">
        <f>60.25%+K77/2+L77/4</f>
        <v>0.69850000000000001</v>
      </c>
      <c r="N77" s="13">
        <f>60.25%*2+K77+L77/2</f>
        <v>1.397</v>
      </c>
      <c r="O77" s="12">
        <f>0.466+0.25*J77</f>
        <v>0.9537500000000001</v>
      </c>
      <c r="P77" s="8">
        <f>0.5</f>
        <v>0.5</v>
      </c>
      <c r="Q77" s="8">
        <v>0.9</v>
      </c>
      <c r="R77" s="12">
        <v>8.77E-2</v>
      </c>
      <c r="S77" s="11" t="s">
        <v>114</v>
      </c>
      <c r="T77" s="9">
        <f>(I77*R77)*(1+O77)*(1+N77)*P77*Q77</f>
        <v>6080.5248822706444</v>
      </c>
      <c r="U77" s="23"/>
    </row>
    <row r="78" spans="1:21" x14ac:dyDescent="0.25">
      <c r="A78" s="16" t="s">
        <v>109</v>
      </c>
      <c r="B78" s="16" t="s">
        <v>116</v>
      </c>
      <c r="C78" s="16" t="s">
        <v>111</v>
      </c>
      <c r="D78" s="16" t="s">
        <v>115</v>
      </c>
      <c r="E78" s="17" t="s">
        <v>113</v>
      </c>
      <c r="F78" s="8">
        <v>244</v>
      </c>
      <c r="G78" s="8">
        <v>454</v>
      </c>
      <c r="H78" s="9">
        <f>(F78+G78)*(1+0.2)+311</f>
        <v>1148.5999999999999</v>
      </c>
      <c r="I78" s="10">
        <f>14450*(1+0.3+0.466+0.18)+4780</f>
        <v>32899.699999999997</v>
      </c>
      <c r="J78" s="14">
        <f>1+0.2+0.2+0.613</f>
        <v>2.0129999999999999</v>
      </c>
      <c r="K78" s="12">
        <v>0.192</v>
      </c>
      <c r="L78" s="12">
        <v>0</v>
      </c>
      <c r="M78" s="13">
        <f>60.25%+K78/2+L78/4</f>
        <v>0.69850000000000001</v>
      </c>
      <c r="N78" s="13">
        <f>60.25%*2+K78+L78/2</f>
        <v>1.397</v>
      </c>
      <c r="O78" s="12">
        <f>0.466+0.25*J78</f>
        <v>0.96924999999999994</v>
      </c>
      <c r="P78" s="8">
        <f>0.5</f>
        <v>0.5</v>
      </c>
      <c r="Q78" s="8">
        <v>0.9</v>
      </c>
      <c r="R78" s="12">
        <v>8.77E-2</v>
      </c>
      <c r="S78" s="11" t="s">
        <v>114</v>
      </c>
      <c r="T78" s="9">
        <f>(I78*R78)*(1+O78)*(1+N78)*P78*Q78</f>
        <v>6128.7644910615318</v>
      </c>
      <c r="U78" s="23"/>
    </row>
    <row r="79" spans="1:2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1:21" s="4" customFormat="1" x14ac:dyDescent="0.25">
      <c r="A80" s="6" t="s">
        <v>9</v>
      </c>
      <c r="B80" s="6" t="s">
        <v>10</v>
      </c>
      <c r="C80" s="6" t="s">
        <v>11</v>
      </c>
      <c r="D80" s="6" t="s">
        <v>12</v>
      </c>
      <c r="E80" s="7" t="s">
        <v>13</v>
      </c>
      <c r="F80" s="8" t="s">
        <v>14</v>
      </c>
      <c r="G80" s="8" t="s">
        <v>15</v>
      </c>
      <c r="H80" s="9" t="s">
        <v>16</v>
      </c>
      <c r="I80" s="10" t="s">
        <v>98</v>
      </c>
      <c r="J80" s="14"/>
      <c r="K80" s="12" t="s">
        <v>19</v>
      </c>
      <c r="L80" s="12" t="s">
        <v>20</v>
      </c>
      <c r="M80" s="13" t="s">
        <v>21</v>
      </c>
      <c r="N80" s="13" t="s">
        <v>22</v>
      </c>
      <c r="O80" s="12" t="s">
        <v>23</v>
      </c>
      <c r="P80" s="8" t="s">
        <v>24</v>
      </c>
      <c r="Q80" s="8" t="s">
        <v>25</v>
      </c>
      <c r="R80" s="12" t="s">
        <v>26</v>
      </c>
      <c r="S80" s="6" t="s">
        <v>27</v>
      </c>
      <c r="T80" s="9" t="s">
        <v>28</v>
      </c>
      <c r="U80" s="22" t="s">
        <v>117</v>
      </c>
    </row>
    <row r="81" spans="1:22" s="4" customFormat="1" x14ac:dyDescent="0.25">
      <c r="A81" s="16" t="s">
        <v>118</v>
      </c>
      <c r="B81" s="16" t="s">
        <v>119</v>
      </c>
      <c r="C81" s="16" t="s">
        <v>120</v>
      </c>
      <c r="D81" s="16" t="s">
        <v>121</v>
      </c>
      <c r="E81" s="17" t="s">
        <v>122</v>
      </c>
      <c r="F81" s="8">
        <v>299</v>
      </c>
      <c r="G81" s="8">
        <v>608</v>
      </c>
      <c r="H81" s="9">
        <f>(F81+G81)*(1+0.3+0.466+0.18)+311</f>
        <v>2076.0219999999999</v>
      </c>
      <c r="I81" s="10">
        <f>13715*(1+0.2)+4780</f>
        <v>21238</v>
      </c>
      <c r="J81" s="14"/>
      <c r="K81" s="12">
        <v>0.33100000000000002</v>
      </c>
      <c r="L81" s="12">
        <v>0.38400000000000001</v>
      </c>
      <c r="M81" s="13">
        <f>60.25%+K81/2+L81/4-6.4%</f>
        <v>0.8</v>
      </c>
      <c r="N81" s="13">
        <f>60.25%*2+K81+L81/2+6.4%*2</f>
        <v>1.8559999999999999</v>
      </c>
      <c r="O81" s="12">
        <f>0.466+0.52</f>
        <v>0.98599999999999999</v>
      </c>
      <c r="P81" s="8">
        <f>0.5</f>
        <v>0.5</v>
      </c>
      <c r="Q81" s="8">
        <v>0.9</v>
      </c>
      <c r="R81" s="12">
        <v>1.0455000000000001</v>
      </c>
      <c r="S81" s="11" t="s">
        <v>123</v>
      </c>
      <c r="T81" s="9">
        <f>(H81*(R81+0.7)+2*1.11%*I81)*(1+O81)*(1+N81)*P81*Q81</f>
        <v>10452.566919848408</v>
      </c>
      <c r="U81" s="23">
        <f>(H81*(R81)+2*1.11%*I81)*(1+O81)*(1+N81)*P81*Q81</f>
        <v>6743.3694697375277</v>
      </c>
      <c r="V81" s="22"/>
    </row>
    <row r="82" spans="1:22" s="4" customFormat="1" x14ac:dyDescent="0.25">
      <c r="A82" s="16" t="s">
        <v>118</v>
      </c>
      <c r="B82" s="16" t="s">
        <v>124</v>
      </c>
      <c r="C82" s="16" t="s">
        <v>125</v>
      </c>
      <c r="D82" s="16" t="s">
        <v>121</v>
      </c>
      <c r="E82" s="17" t="s">
        <v>122</v>
      </c>
      <c r="F82" s="8">
        <v>299</v>
      </c>
      <c r="G82" s="8">
        <v>542</v>
      </c>
      <c r="H82" s="9">
        <f>(F82+G82)*(1+0.3+0.466)+311+1.2%*I82</f>
        <v>2083.9780000000001</v>
      </c>
      <c r="I82" s="10">
        <f>13715*(1+0.2+0.2)+4780</f>
        <v>23981</v>
      </c>
      <c r="J82" s="14"/>
      <c r="K82" s="12">
        <v>0.441</v>
      </c>
      <c r="L82" s="12">
        <v>0.38400000000000001</v>
      </c>
      <c r="M82" s="13">
        <f>60.25%+K82/2+L82/4-11.9%</f>
        <v>0.8</v>
      </c>
      <c r="N82" s="13">
        <f>60.25%*2+K82+L82/2+11.9%*2</f>
        <v>2.0760000000000001</v>
      </c>
      <c r="O82" s="12">
        <f>0.466+0.15+0.3</f>
        <v>0.91599999999999993</v>
      </c>
      <c r="P82" s="8">
        <f>0.5</f>
        <v>0.5</v>
      </c>
      <c r="Q82" s="8">
        <v>0.9</v>
      </c>
      <c r="R82" s="12">
        <v>1.0455000000000001</v>
      </c>
      <c r="S82" s="11" t="s">
        <v>126</v>
      </c>
      <c r="T82" s="9">
        <f>(H82*(R82)+2*1.11%*I82)*(1+O82)*(1+N82)*P82*Q82</f>
        <v>7190.3867934877135</v>
      </c>
      <c r="U82" s="23">
        <f>(H82*(R82)+2*1.11%*I82)*(1+O82)*(1+N82)*P82*Q82</f>
        <v>7190.3867934877135</v>
      </c>
    </row>
    <row r="83" spans="1:22" s="4" customFormat="1" x14ac:dyDescent="0.25">
      <c r="A83" s="16" t="s">
        <v>118</v>
      </c>
      <c r="B83" s="16" t="s">
        <v>127</v>
      </c>
      <c r="C83" s="16" t="s">
        <v>120</v>
      </c>
      <c r="D83" s="16" t="s">
        <v>121</v>
      </c>
      <c r="E83" s="17" t="s">
        <v>122</v>
      </c>
      <c r="F83" s="8">
        <v>299</v>
      </c>
      <c r="G83" s="8">
        <v>510</v>
      </c>
      <c r="H83" s="9">
        <f>(F83+G83)*(1+0.3+0.466+0.18)+311</f>
        <v>1885.3139999999999</v>
      </c>
      <c r="I83" s="10">
        <f>13715*(1+0.2)+4780</f>
        <v>21238</v>
      </c>
      <c r="J83" s="14"/>
      <c r="K83" s="12">
        <v>0.27600000000000002</v>
      </c>
      <c r="L83" s="12">
        <v>0.38400000000000001</v>
      </c>
      <c r="M83" s="13">
        <f>60.25%+K83/2+L83/4-3.65%</f>
        <v>0.8</v>
      </c>
      <c r="N83" s="13">
        <f>60.25%*2+K83+L83/2+3.65%*2</f>
        <v>1.746</v>
      </c>
      <c r="O83" s="12">
        <f>0.466+0.4</f>
        <v>0.8660000000000001</v>
      </c>
      <c r="P83" s="8">
        <f>0.5</f>
        <v>0.5</v>
      </c>
      <c r="Q83" s="8">
        <v>0.9</v>
      </c>
      <c r="R83" s="12">
        <v>1.0455000000000001</v>
      </c>
      <c r="S83" s="11" t="s">
        <v>123</v>
      </c>
      <c r="T83" s="9">
        <f>(H83*(R83+0.7)+2*1.11%*I83)*(1+O83)*(1+N83)*P83*Q83</f>
        <v>8675.1704146314314</v>
      </c>
      <c r="U83" s="23">
        <f>(H83*(R83)+2*1.11%*I83)*(1+O83)*(1+N83)*P83*Q83</f>
        <v>5632.1391203306694</v>
      </c>
      <c r="V83" s="22"/>
    </row>
    <row r="84" spans="1:22" s="4" customFormat="1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</row>
    <row r="85" spans="1:22" x14ac:dyDescent="0.25">
      <c r="A85" s="6" t="s">
        <v>9</v>
      </c>
      <c r="B85" s="6" t="s">
        <v>10</v>
      </c>
      <c r="C85" s="6" t="s">
        <v>11</v>
      </c>
      <c r="D85" s="6" t="s">
        <v>12</v>
      </c>
      <c r="E85" s="7" t="s">
        <v>13</v>
      </c>
      <c r="F85" s="8" t="s">
        <v>14</v>
      </c>
      <c r="G85" s="8" t="s">
        <v>15</v>
      </c>
      <c r="H85" s="9" t="s">
        <v>16</v>
      </c>
      <c r="I85" s="10" t="s">
        <v>98</v>
      </c>
      <c r="J85" s="14" t="s">
        <v>128</v>
      </c>
      <c r="K85" s="12" t="s">
        <v>19</v>
      </c>
      <c r="L85" s="12" t="s">
        <v>20</v>
      </c>
      <c r="M85" s="13" t="s">
        <v>21</v>
      </c>
      <c r="N85" s="13" t="s">
        <v>22</v>
      </c>
      <c r="O85" s="12" t="s">
        <v>23</v>
      </c>
      <c r="P85" s="8" t="s">
        <v>24</v>
      </c>
      <c r="Q85" s="8" t="s">
        <v>25</v>
      </c>
      <c r="R85" s="12" t="s">
        <v>26</v>
      </c>
      <c r="S85" s="6" t="s">
        <v>27</v>
      </c>
      <c r="T85" s="9" t="s">
        <v>28</v>
      </c>
    </row>
    <row r="86" spans="1:22" x14ac:dyDescent="0.25">
      <c r="A86" s="6" t="s">
        <v>129</v>
      </c>
      <c r="B86" s="6" t="s">
        <v>130</v>
      </c>
      <c r="C86" s="6" t="s">
        <v>131</v>
      </c>
      <c r="D86" s="6" t="s">
        <v>132</v>
      </c>
      <c r="E86" s="7" t="s">
        <v>133</v>
      </c>
      <c r="F86" s="8">
        <v>234</v>
      </c>
      <c r="G86" s="8">
        <v>608</v>
      </c>
      <c r="H86" s="9">
        <f>(F86+G86)*(1+0.2)+311</f>
        <v>1321.4</v>
      </c>
      <c r="I86" s="10">
        <f>13471*(1+14*5%+0.466+0.496)+4780</f>
        <v>40639.802000000003</v>
      </c>
      <c r="J86" s="14">
        <f>0.25+0.15+0.1+0.358</f>
        <v>0.85799999999999998</v>
      </c>
      <c r="K86" s="12">
        <v>0</v>
      </c>
      <c r="L86" s="12">
        <f>0</f>
        <v>0</v>
      </c>
      <c r="M86" s="13">
        <v>0</v>
      </c>
      <c r="N86" s="13">
        <v>0</v>
      </c>
      <c r="O86" s="12">
        <f>0.466+0.288</f>
        <v>0.754</v>
      </c>
      <c r="P86" s="8">
        <f>0.5</f>
        <v>0.5</v>
      </c>
      <c r="Q86" s="8">
        <f>0.9</f>
        <v>0.9</v>
      </c>
      <c r="R86" s="12">
        <v>0.95730000000000004</v>
      </c>
      <c r="S86" s="6" t="s">
        <v>134</v>
      </c>
      <c r="T86" s="9">
        <f>(H86*R86+I86*(8.71%+1%+15%*J86))*(1+O86)*(1+N86)*P86*Q86</f>
        <v>8241.4313637058804</v>
      </c>
    </row>
    <row r="87" spans="1:22" x14ac:dyDescent="0.25">
      <c r="A87" s="6" t="s">
        <v>129</v>
      </c>
      <c r="B87" s="6" t="s">
        <v>135</v>
      </c>
      <c r="C87" s="6" t="s">
        <v>131</v>
      </c>
      <c r="D87" s="6" t="s">
        <v>132</v>
      </c>
      <c r="E87" s="7" t="s">
        <v>133</v>
      </c>
      <c r="F87" s="8">
        <v>234</v>
      </c>
      <c r="G87" s="8">
        <v>510</v>
      </c>
      <c r="H87" s="9">
        <f>(F87+G87)*(1+0.2)+311</f>
        <v>1203.8</v>
      </c>
      <c r="I87" s="10">
        <f>13471*(1+14*5%+0.466+0.413)+4780</f>
        <v>39521.709000000003</v>
      </c>
      <c r="J87" s="14">
        <f>0.25+0.15+0.358</f>
        <v>0.75800000000000001</v>
      </c>
      <c r="K87" s="12">
        <v>0</v>
      </c>
      <c r="L87" s="12">
        <f>0</f>
        <v>0</v>
      </c>
      <c r="M87" s="13">
        <v>0</v>
      </c>
      <c r="N87" s="13">
        <v>0</v>
      </c>
      <c r="O87" s="12">
        <f>0.466+0.288</f>
        <v>0.754</v>
      </c>
      <c r="P87" s="8">
        <f>0.5</f>
        <v>0.5</v>
      </c>
      <c r="Q87" s="8">
        <f>0.9</f>
        <v>0.9</v>
      </c>
      <c r="R87" s="12">
        <v>0.95730000000000004</v>
      </c>
      <c r="S87" s="6" t="s">
        <v>134</v>
      </c>
      <c r="T87" s="9">
        <f>(H87*R87+I87*(8.71%+15%*J87))*(1+O87)*(1+N87)*P87*Q87</f>
        <v>7173.4401068529614</v>
      </c>
    </row>
    <row r="88" spans="1:22" x14ac:dyDescent="0.25">
      <c r="A88" s="6" t="s">
        <v>129</v>
      </c>
      <c r="B88" s="6" t="s">
        <v>136</v>
      </c>
      <c r="C88" s="6" t="s">
        <v>76</v>
      </c>
      <c r="D88" s="6" t="s">
        <v>137</v>
      </c>
      <c r="E88" s="7" t="s">
        <v>138</v>
      </c>
      <c r="F88" s="8">
        <v>234</v>
      </c>
      <c r="G88" s="8">
        <v>401</v>
      </c>
      <c r="H88" s="9">
        <f>(F88+G88)*(1+0.2)+311</f>
        <v>1073</v>
      </c>
      <c r="I88" s="10">
        <f>13471*(1+14*5%+0.466*2+0.352+0.2)+4780</f>
        <v>47671.664000000004</v>
      </c>
      <c r="J88" s="14">
        <f>0.25+0.358</f>
        <v>0.60799999999999998</v>
      </c>
      <c r="K88" s="12">
        <v>0</v>
      </c>
      <c r="L88" s="12">
        <f>0</f>
        <v>0</v>
      </c>
      <c r="M88" s="13">
        <v>0</v>
      </c>
      <c r="N88" s="13">
        <v>0</v>
      </c>
      <c r="O88" s="12">
        <f>0.288</f>
        <v>0.28799999999999998</v>
      </c>
      <c r="P88" s="8">
        <f>0.5</f>
        <v>0.5</v>
      </c>
      <c r="Q88" s="8">
        <f>0.9</f>
        <v>0.9</v>
      </c>
      <c r="R88" s="12">
        <v>0.95730000000000004</v>
      </c>
      <c r="S88" s="6" t="s">
        <v>139</v>
      </c>
      <c r="T88" s="9">
        <f>(862+7.48%*I88)*(1+J88)</f>
        <v>7119.9674712576016</v>
      </c>
    </row>
    <row r="89" spans="1:22" x14ac:dyDescent="0.25">
      <c r="A89" s="6" t="s">
        <v>129</v>
      </c>
      <c r="B89" s="6" t="s">
        <v>135</v>
      </c>
      <c r="C89" s="6" t="s">
        <v>76</v>
      </c>
      <c r="D89" s="6" t="s">
        <v>137</v>
      </c>
      <c r="E89" s="7" t="s">
        <v>138</v>
      </c>
      <c r="F89" s="8">
        <v>234</v>
      </c>
      <c r="G89" s="8">
        <v>510</v>
      </c>
      <c r="H89" s="9">
        <f>(F89+G89)*(1+0.2)+311</f>
        <v>1203.8</v>
      </c>
      <c r="I89" s="10">
        <f>13471*(1+14*5%+0.466*2+0.413+0.2)+4780</f>
        <v>48493.395000000004</v>
      </c>
      <c r="J89" s="14">
        <f>0.25+0.358</f>
        <v>0.60799999999999998</v>
      </c>
      <c r="K89" s="12">
        <v>0</v>
      </c>
      <c r="L89" s="12">
        <f>0</f>
        <v>0</v>
      </c>
      <c r="M89" s="13">
        <v>0</v>
      </c>
      <c r="N89" s="13">
        <v>0</v>
      </c>
      <c r="O89" s="12">
        <f>0.288</f>
        <v>0.28799999999999998</v>
      </c>
      <c r="P89" s="8">
        <f>0.5</f>
        <v>0.5</v>
      </c>
      <c r="Q89" s="8">
        <f>0.9</f>
        <v>0.9</v>
      </c>
      <c r="R89" s="12">
        <v>0.95730000000000004</v>
      </c>
      <c r="S89" s="6" t="s">
        <v>139</v>
      </c>
      <c r="T89" s="9">
        <f>(862+7.48%*I89)*(1+J89)</f>
        <v>7218.8039611680015</v>
      </c>
    </row>
    <row r="91" spans="1:22" x14ac:dyDescent="0.25">
      <c r="A91" s="6" t="s">
        <v>9</v>
      </c>
      <c r="B91" s="6" t="s">
        <v>10</v>
      </c>
      <c r="C91" s="6" t="s">
        <v>11</v>
      </c>
      <c r="D91" s="6" t="s">
        <v>12</v>
      </c>
      <c r="E91" s="7" t="s">
        <v>13</v>
      </c>
      <c r="F91" s="8" t="s">
        <v>14</v>
      </c>
      <c r="G91" s="8" t="s">
        <v>15</v>
      </c>
      <c r="H91" s="9" t="s">
        <v>16</v>
      </c>
      <c r="I91" s="10" t="s">
        <v>18</v>
      </c>
      <c r="J91" s="14"/>
      <c r="K91" s="12" t="s">
        <v>19</v>
      </c>
      <c r="L91" s="12" t="s">
        <v>20</v>
      </c>
      <c r="M91" s="13" t="s">
        <v>21</v>
      </c>
      <c r="N91" s="13" t="s">
        <v>22</v>
      </c>
      <c r="O91" s="12" t="s">
        <v>23</v>
      </c>
      <c r="P91" s="8" t="s">
        <v>24</v>
      </c>
      <c r="Q91" s="8" t="s">
        <v>25</v>
      </c>
      <c r="R91" s="12" t="s">
        <v>26</v>
      </c>
      <c r="S91" s="6" t="s">
        <v>27</v>
      </c>
      <c r="T91" s="9" t="s">
        <v>28</v>
      </c>
    </row>
    <row r="92" spans="1:22" x14ac:dyDescent="0.25">
      <c r="A92" s="6" t="s">
        <v>140</v>
      </c>
      <c r="B92" s="6" t="s">
        <v>141</v>
      </c>
      <c r="C92" s="11" t="s">
        <v>142</v>
      </c>
      <c r="D92" s="6" t="s">
        <v>121</v>
      </c>
      <c r="E92" s="7" t="s">
        <v>143</v>
      </c>
      <c r="F92" s="8">
        <v>301</v>
      </c>
      <c r="G92" s="8">
        <v>608</v>
      </c>
      <c r="H92" s="9">
        <f>(F92+G92)*(1+0.3+0.466)+311</f>
        <v>1916.2940000000001</v>
      </c>
      <c r="I92" s="10">
        <f>80+80</f>
        <v>160</v>
      </c>
      <c r="J92" s="14"/>
      <c r="K92" s="12">
        <v>0.33100000000000002</v>
      </c>
      <c r="L92" s="12">
        <f t="shared" ref="L92:L99" si="15">0</f>
        <v>0</v>
      </c>
      <c r="M92" s="13">
        <f>60.25%+K92/2+L92/4</f>
        <v>0.76800000000000002</v>
      </c>
      <c r="N92" s="13">
        <f>60.25%*2+K92+L92/2</f>
        <v>1.536</v>
      </c>
      <c r="O92" s="12">
        <f>0.466+0.288+0.15+0.12</f>
        <v>1.024</v>
      </c>
      <c r="P92" s="8">
        <f>0.5</f>
        <v>0.5</v>
      </c>
      <c r="Q92" s="8">
        <f>0.9</f>
        <v>0.9</v>
      </c>
      <c r="R92" s="12">
        <v>8.3520000000000003</v>
      </c>
      <c r="S92" s="6" t="s">
        <v>144</v>
      </c>
      <c r="T92" s="9">
        <f>((F92+G92)*(1+0.2+0.466+0.18+0.48)+311)*R92*(1+O92)*(1+N92)*P92*Q92*2*(1+(2.78*I92)/(I92+1400))</f>
        <v>120257.11002258841</v>
      </c>
    </row>
    <row r="93" spans="1:22" x14ac:dyDescent="0.25">
      <c r="A93" s="6" t="s">
        <v>140</v>
      </c>
      <c r="B93" s="6" t="s">
        <v>141</v>
      </c>
      <c r="C93" s="6" t="s">
        <v>145</v>
      </c>
      <c r="D93" s="6" t="s">
        <v>121</v>
      </c>
      <c r="E93" s="7" t="s">
        <v>143</v>
      </c>
      <c r="F93" s="8">
        <v>301</v>
      </c>
      <c r="G93" s="8">
        <v>608</v>
      </c>
      <c r="H93" s="9">
        <f>(F93+G93)*(1+0.3+0.466+0.18)+311</f>
        <v>2079.9139999999998</v>
      </c>
      <c r="I93" s="10">
        <f>80</f>
        <v>80</v>
      </c>
      <c r="J93" s="14"/>
      <c r="K93" s="12">
        <v>0.33100000000000002</v>
      </c>
      <c r="L93" s="12">
        <f t="shared" si="15"/>
        <v>0</v>
      </c>
      <c r="M93" s="13">
        <f>60.25%+K93/2+L93/4</f>
        <v>0.76800000000000002</v>
      </c>
      <c r="N93" s="13">
        <f>60.25%*2+K93+L93/2</f>
        <v>1.536</v>
      </c>
      <c r="O93" s="12">
        <f>0.466+0.288+0.15+0.12</f>
        <v>1.024</v>
      </c>
      <c r="P93" s="8">
        <f>0.5</f>
        <v>0.5</v>
      </c>
      <c r="Q93" s="8">
        <f>0.9</f>
        <v>0.9</v>
      </c>
      <c r="R93" s="12">
        <v>8.3520000000000003</v>
      </c>
      <c r="S93" s="6" t="s">
        <v>144</v>
      </c>
      <c r="T93" s="9">
        <f>((F93+G93)*(1+0.2+0.466+0.18+0.48)+311)*R93*(1+O93)*(1+N93)*P93*Q93*2*(1+(2.78*I93)/(I93+1400))</f>
        <v>107637.6488319348</v>
      </c>
    </row>
    <row r="94" spans="1:22" x14ac:dyDescent="0.25">
      <c r="A94" s="6" t="s">
        <v>140</v>
      </c>
      <c r="B94" s="6" t="s">
        <v>146</v>
      </c>
      <c r="C94" s="6" t="s">
        <v>145</v>
      </c>
      <c r="D94" s="6" t="s">
        <v>121</v>
      </c>
      <c r="E94" s="7" t="s">
        <v>143</v>
      </c>
      <c r="F94" s="8">
        <v>301</v>
      </c>
      <c r="G94" s="8">
        <v>674</v>
      </c>
      <c r="H94" s="9">
        <f>(F94+G94)*(1+0.3+0.466+0.18)+311</f>
        <v>2208.35</v>
      </c>
      <c r="I94" s="10">
        <f>80</f>
        <v>80</v>
      </c>
      <c r="J94" s="14"/>
      <c r="K94" s="12">
        <v>0.221</v>
      </c>
      <c r="L94" s="12">
        <v>0.2</v>
      </c>
      <c r="M94" s="13">
        <f>60.25%+K94/2+L94/4</f>
        <v>0.76300000000000012</v>
      </c>
      <c r="N94" s="13">
        <f>60.25%*2+K94+L94/2</f>
        <v>1.5260000000000002</v>
      </c>
      <c r="O94" s="12">
        <f>0.466+0.288+0.15</f>
        <v>0.90400000000000003</v>
      </c>
      <c r="P94" s="8">
        <f>0.5</f>
        <v>0.5</v>
      </c>
      <c r="Q94" s="8">
        <f>0.9</f>
        <v>0.9</v>
      </c>
      <c r="R94" s="12">
        <v>8.3520000000000003</v>
      </c>
      <c r="S94" s="6" t="s">
        <v>144</v>
      </c>
      <c r="T94" s="9">
        <f>H94*R94*(1+O94)*(1+N94)*P94*Q94*2*(1+(2.78*I94)/(I94+1400))</f>
        <v>91833.489320623834</v>
      </c>
    </row>
    <row r="95" spans="1:22" x14ac:dyDescent="0.25">
      <c r="A95" s="6" t="s">
        <v>140</v>
      </c>
      <c r="B95" s="6" t="s">
        <v>54</v>
      </c>
      <c r="C95" s="6" t="s">
        <v>145</v>
      </c>
      <c r="D95" s="6" t="s">
        <v>121</v>
      </c>
      <c r="E95" s="7" t="s">
        <v>143</v>
      </c>
      <c r="F95" s="8">
        <v>301</v>
      </c>
      <c r="G95" s="8">
        <v>510</v>
      </c>
      <c r="H95" s="9">
        <f>(F95+G95)*(1+0.3+0.466+0.18+0.413)+311</f>
        <v>2224.1489999999999</v>
      </c>
      <c r="I95" s="10">
        <f>80</f>
        <v>80</v>
      </c>
      <c r="J95" s="14"/>
      <c r="K95" s="12">
        <v>0</v>
      </c>
      <c r="L95" s="12">
        <f t="shared" si="15"/>
        <v>0</v>
      </c>
      <c r="M95" s="13">
        <f>60.25%+K95/2+L95/4</f>
        <v>0.60250000000000004</v>
      </c>
      <c r="N95" s="13">
        <f>60.25%*2+K95+L95/2</f>
        <v>1.2050000000000001</v>
      </c>
      <c r="O95" s="12">
        <f>0.466+0.288+0.15</f>
        <v>0.90400000000000003</v>
      </c>
      <c r="P95" s="8">
        <f>0.5</f>
        <v>0.5</v>
      </c>
      <c r="Q95" s="8">
        <f>0.9</f>
        <v>0.9</v>
      </c>
      <c r="R95" s="12">
        <v>8.3520000000000003</v>
      </c>
      <c r="S95" s="6" t="s">
        <v>144</v>
      </c>
      <c r="T95" s="9">
        <f>H95*R95*(1+O95)*(1+N95)*P95*Q95*2*(1+(2.78*I95)/(I95+1400))</f>
        <v>80736.943908502479</v>
      </c>
    </row>
    <row r="96" spans="1:22" x14ac:dyDescent="0.25">
      <c r="A96" s="6" t="s">
        <v>140</v>
      </c>
      <c r="B96" s="11" t="s">
        <v>147</v>
      </c>
      <c r="C96" s="6" t="s">
        <v>145</v>
      </c>
      <c r="D96" s="6" t="s">
        <v>121</v>
      </c>
      <c r="E96" s="7" t="s">
        <v>143</v>
      </c>
      <c r="F96" s="8">
        <v>301</v>
      </c>
      <c r="G96" s="8">
        <v>510</v>
      </c>
      <c r="H96" s="9">
        <f>(F96+G96)*(1+0.3+0.466+0.18)+311</f>
        <v>1889.2059999999999</v>
      </c>
      <c r="I96" s="10">
        <f>80</f>
        <v>80</v>
      </c>
      <c r="J96" s="14"/>
      <c r="K96" s="12">
        <v>0.27600000000000002</v>
      </c>
      <c r="L96" s="12">
        <f t="shared" si="15"/>
        <v>0</v>
      </c>
      <c r="M96" s="13">
        <f>60.25%+K96/2+L96/4</f>
        <v>0.74050000000000005</v>
      </c>
      <c r="N96" s="13">
        <f>60.25%*2+K96+L96/2</f>
        <v>1.4810000000000001</v>
      </c>
      <c r="O96" s="12">
        <f>0.466+0.288+0.15</f>
        <v>0.90400000000000003</v>
      </c>
      <c r="P96" s="8">
        <f>0.5</f>
        <v>0.5</v>
      </c>
      <c r="Q96" s="8">
        <f>0.9</f>
        <v>0.9</v>
      </c>
      <c r="R96" s="12">
        <v>8.3520000000000003</v>
      </c>
      <c r="S96" s="6" t="s">
        <v>144</v>
      </c>
      <c r="T96" s="9">
        <f>H96*R96*(1+O96)*(1+N96)*P96*Q96*2*(1+(2.78*I96)/(I96+1400))</f>
        <v>77162.433348042556</v>
      </c>
    </row>
    <row r="98" spans="1:20" x14ac:dyDescent="0.25">
      <c r="A98" s="6" t="s">
        <v>9</v>
      </c>
      <c r="B98" s="6" t="s">
        <v>10</v>
      </c>
      <c r="C98" s="6" t="s">
        <v>11</v>
      </c>
      <c r="D98" s="6" t="s">
        <v>12</v>
      </c>
      <c r="E98" s="7" t="s">
        <v>13</v>
      </c>
      <c r="F98" s="8" t="s">
        <v>14</v>
      </c>
      <c r="G98" s="8" t="s">
        <v>15</v>
      </c>
      <c r="H98" s="9" t="s">
        <v>16</v>
      </c>
      <c r="I98" s="10" t="s">
        <v>98</v>
      </c>
      <c r="J98" s="14" t="s">
        <v>38</v>
      </c>
      <c r="K98" s="12" t="s">
        <v>19</v>
      </c>
      <c r="L98" s="12" t="s">
        <v>20</v>
      </c>
      <c r="M98" s="13" t="s">
        <v>21</v>
      </c>
      <c r="N98" s="13" t="s">
        <v>22</v>
      </c>
      <c r="O98" s="12" t="s">
        <v>23</v>
      </c>
      <c r="P98" s="8" t="s">
        <v>24</v>
      </c>
      <c r="Q98" s="8" t="s">
        <v>25</v>
      </c>
      <c r="R98" s="12" t="s">
        <v>26</v>
      </c>
      <c r="S98" s="6" t="s">
        <v>27</v>
      </c>
      <c r="T98" s="9" t="s">
        <v>28</v>
      </c>
    </row>
    <row r="99" spans="1:20" x14ac:dyDescent="0.25">
      <c r="A99" s="6" t="s">
        <v>148</v>
      </c>
      <c r="B99" s="6" t="s">
        <v>149</v>
      </c>
      <c r="C99" s="6" t="s">
        <v>150</v>
      </c>
      <c r="D99" s="6" t="s">
        <v>121</v>
      </c>
      <c r="E99" s="7" t="s">
        <v>151</v>
      </c>
      <c r="F99" s="8">
        <v>202</v>
      </c>
      <c r="G99" s="8">
        <v>454</v>
      </c>
      <c r="H99" s="9">
        <f>(F99+G99)*(1+0.3+0.466+0.24)+311</f>
        <v>1626.9360000000001</v>
      </c>
      <c r="I99" s="10">
        <f>10222*(1+0.2)+4780</f>
        <v>17046.400000000001</v>
      </c>
      <c r="J99" s="14">
        <f>1+0.2+0.613</f>
        <v>1.8129999999999999</v>
      </c>
      <c r="K99" s="12">
        <v>0</v>
      </c>
      <c r="L99" s="12">
        <f t="shared" si="15"/>
        <v>0</v>
      </c>
      <c r="M99" s="13">
        <f t="shared" ref="M99:M105" si="16">60.25%+K99/2+L99/4</f>
        <v>0.60250000000000004</v>
      </c>
      <c r="N99" s="13">
        <f t="shared" ref="N99:N105" si="17">60.25%*2+K99+L99/2</f>
        <v>1.2050000000000001</v>
      </c>
      <c r="O99" s="12">
        <f>0.466+0.15+0.2+0.2</f>
        <v>1.016</v>
      </c>
      <c r="P99" s="8">
        <f t="shared" ref="P99:P105" si="18">0.5</f>
        <v>0.5</v>
      </c>
      <c r="Q99" s="8">
        <v>1.0249999999999999</v>
      </c>
      <c r="R99" s="12">
        <v>1.1533</v>
      </c>
      <c r="S99" s="6" t="s">
        <v>152</v>
      </c>
      <c r="T99" s="9">
        <f t="shared" ref="T99:T105" si="19">H99*R99*(1+O99)*(1+N99)*P99*Q99</f>
        <v>4274.7010950158929</v>
      </c>
    </row>
    <row r="100" spans="1:20" x14ac:dyDescent="0.25">
      <c r="A100" s="6" t="s">
        <v>148</v>
      </c>
      <c r="B100" s="6" t="s">
        <v>124</v>
      </c>
      <c r="C100" s="6" t="s">
        <v>89</v>
      </c>
      <c r="D100" s="6" t="s">
        <v>112</v>
      </c>
      <c r="E100" s="7" t="s">
        <v>151</v>
      </c>
      <c r="F100" s="8">
        <v>202</v>
      </c>
      <c r="G100" s="8">
        <v>542</v>
      </c>
      <c r="H100" s="9">
        <f>(F100+G100)*(1+0.3+0.24)+311+1.2%*I100</f>
        <v>1685.8496</v>
      </c>
      <c r="I100" s="10">
        <f>10222*(1+0.2+0.2)+4780</f>
        <v>19090.8</v>
      </c>
      <c r="J100" s="14">
        <f>1+0.2+0.518+0.2</f>
        <v>1.9179999999999999</v>
      </c>
      <c r="K100" s="12">
        <v>0.441</v>
      </c>
      <c r="L100" s="12">
        <v>0</v>
      </c>
      <c r="M100" s="13">
        <v>0.8</v>
      </c>
      <c r="N100" s="13">
        <f>60.25%*2+K100+L100/2+2.3%*2</f>
        <v>1.6920000000000002</v>
      </c>
      <c r="O100" s="12">
        <f>0.466+0.25*J100+0.2</f>
        <v>1.1455</v>
      </c>
      <c r="P100" s="8">
        <f t="shared" si="18"/>
        <v>0.5</v>
      </c>
      <c r="Q100" s="8">
        <v>1.0249999999999999</v>
      </c>
      <c r="R100" s="12">
        <v>1.1533</v>
      </c>
      <c r="S100" s="6" t="s">
        <v>152</v>
      </c>
      <c r="T100" s="9">
        <f t="shared" si="19"/>
        <v>5755.1753904379802</v>
      </c>
    </row>
    <row r="101" spans="1:20" x14ac:dyDescent="0.25">
      <c r="J101" s="14"/>
    </row>
    <row r="102" spans="1:20" x14ac:dyDescent="0.25">
      <c r="A102" s="6" t="s">
        <v>9</v>
      </c>
      <c r="B102" s="6" t="s">
        <v>10</v>
      </c>
      <c r="C102" s="6" t="s">
        <v>11</v>
      </c>
      <c r="D102" s="6" t="s">
        <v>12</v>
      </c>
      <c r="E102" s="7" t="s">
        <v>13</v>
      </c>
      <c r="F102" s="8" t="s">
        <v>14</v>
      </c>
      <c r="G102" s="8" t="s">
        <v>15</v>
      </c>
      <c r="H102" s="9" t="s">
        <v>16</v>
      </c>
      <c r="I102" s="10" t="s">
        <v>38</v>
      </c>
      <c r="J102" s="14" t="s">
        <v>18</v>
      </c>
      <c r="K102" s="12" t="s">
        <v>19</v>
      </c>
      <c r="L102" s="12" t="s">
        <v>20</v>
      </c>
      <c r="M102" s="13" t="s">
        <v>21</v>
      </c>
      <c r="N102" s="13" t="s">
        <v>22</v>
      </c>
      <c r="O102" s="12" t="s">
        <v>23</v>
      </c>
      <c r="P102" s="8" t="s">
        <v>24</v>
      </c>
      <c r="Q102" s="8" t="s">
        <v>25</v>
      </c>
      <c r="R102" s="12" t="s">
        <v>26</v>
      </c>
      <c r="S102" s="6" t="s">
        <v>27</v>
      </c>
      <c r="T102" s="9" t="s">
        <v>28</v>
      </c>
    </row>
    <row r="103" spans="1:20" x14ac:dyDescent="0.25">
      <c r="A103" s="6" t="s">
        <v>153</v>
      </c>
      <c r="B103" s="6" t="s">
        <v>60</v>
      </c>
      <c r="C103" s="6" t="s">
        <v>89</v>
      </c>
      <c r="D103" s="6" t="s">
        <v>121</v>
      </c>
      <c r="E103" s="7" t="s">
        <v>133</v>
      </c>
      <c r="F103" s="8">
        <v>287</v>
      </c>
      <c r="G103" s="8">
        <v>510</v>
      </c>
      <c r="H103" s="9">
        <f>(F103+G103)*(1+0.3+0.466)+311</f>
        <v>1718.502</v>
      </c>
      <c r="I103" s="19">
        <f>1+0.3+0.32+0.2</f>
        <v>1.82</v>
      </c>
      <c r="J103" s="20">
        <v>80</v>
      </c>
      <c r="K103" s="12">
        <v>0</v>
      </c>
      <c r="L103" s="12">
        <v>0.55100000000000005</v>
      </c>
      <c r="M103" s="13">
        <f t="shared" si="16"/>
        <v>0.74025000000000007</v>
      </c>
      <c r="N103" s="13">
        <f t="shared" si="17"/>
        <v>1.4805000000000001</v>
      </c>
      <c r="O103" s="12">
        <f>0.466+0.6+0.45*I103+0.96</f>
        <v>2.8450000000000002</v>
      </c>
      <c r="P103" s="8">
        <f t="shared" si="18"/>
        <v>0.5</v>
      </c>
      <c r="Q103" s="8">
        <v>0.9</v>
      </c>
      <c r="R103" s="12">
        <v>7.9632000000000005</v>
      </c>
      <c r="S103" s="6" t="s">
        <v>154</v>
      </c>
      <c r="T103" s="9">
        <f>H103*R103*(1+O103)*(1+N103)*P103*Q103*2*(1+(2.78*J103)/(J103+1400))</f>
        <v>135118.75827766486</v>
      </c>
    </row>
    <row r="104" spans="1:20" x14ac:dyDescent="0.25">
      <c r="A104" s="6" t="s">
        <v>153</v>
      </c>
      <c r="B104" s="6" t="s">
        <v>136</v>
      </c>
      <c r="C104" s="6" t="s">
        <v>82</v>
      </c>
      <c r="D104" s="6" t="s">
        <v>112</v>
      </c>
      <c r="E104" s="7" t="s">
        <v>133</v>
      </c>
      <c r="F104" s="8">
        <v>287</v>
      </c>
      <c r="G104" s="8">
        <v>401</v>
      </c>
      <c r="H104" s="9">
        <f>(F104+G104)*(1+0.3)+311</f>
        <v>1205.4000000000001</v>
      </c>
      <c r="I104" s="19">
        <f>1+0.518+0.3+0.32</f>
        <v>2.1379999999999999</v>
      </c>
      <c r="J104" s="14"/>
      <c r="K104" s="12">
        <v>0</v>
      </c>
      <c r="L104" s="12">
        <v>0</v>
      </c>
      <c r="M104" s="13">
        <f t="shared" si="16"/>
        <v>0.60250000000000004</v>
      </c>
      <c r="N104" s="13">
        <f t="shared" si="17"/>
        <v>1.2050000000000001</v>
      </c>
      <c r="O104" s="12">
        <f>0.466+0.2+0.6+0.2*I104</f>
        <v>1.6936</v>
      </c>
      <c r="P104" s="8">
        <f t="shared" si="18"/>
        <v>0.5</v>
      </c>
      <c r="Q104" s="8">
        <v>0.9</v>
      </c>
      <c r="R104" s="12">
        <v>7.9632000000000005</v>
      </c>
      <c r="S104" s="6" t="s">
        <v>155</v>
      </c>
      <c r="T104" s="9">
        <f t="shared" si="19"/>
        <v>25655.059220551491</v>
      </c>
    </row>
    <row r="105" spans="1:20" x14ac:dyDescent="0.25">
      <c r="A105" s="6" t="s">
        <v>153</v>
      </c>
      <c r="B105" s="6" t="s">
        <v>135</v>
      </c>
      <c r="C105" s="6" t="s">
        <v>82</v>
      </c>
      <c r="D105" s="6" t="s">
        <v>112</v>
      </c>
      <c r="E105" s="7" t="s">
        <v>133</v>
      </c>
      <c r="F105" s="8">
        <v>287</v>
      </c>
      <c r="G105" s="8">
        <v>510</v>
      </c>
      <c r="H105" s="9">
        <f>(F105+G105)*(1+0.3)+311</f>
        <v>1347.1000000000001</v>
      </c>
      <c r="I105" s="19">
        <f>1+0.518+0.3+0.32</f>
        <v>2.1379999999999999</v>
      </c>
      <c r="J105" s="14"/>
      <c r="K105" s="12">
        <v>0</v>
      </c>
      <c r="L105" s="12">
        <v>0</v>
      </c>
      <c r="M105" s="13">
        <f t="shared" si="16"/>
        <v>0.60250000000000004</v>
      </c>
      <c r="N105" s="13">
        <f t="shared" si="17"/>
        <v>1.2050000000000001</v>
      </c>
      <c r="O105" s="12">
        <f>0.466+0.2+0.6+0.2*I105</f>
        <v>1.6936</v>
      </c>
      <c r="P105" s="8">
        <f t="shared" si="18"/>
        <v>0.5</v>
      </c>
      <c r="Q105" s="8">
        <v>0.9</v>
      </c>
      <c r="R105" s="12">
        <v>7.9632000000000005</v>
      </c>
      <c r="S105" s="6" t="s">
        <v>155</v>
      </c>
      <c r="T105" s="9">
        <f t="shared" si="19"/>
        <v>28670.92274432132</v>
      </c>
    </row>
    <row r="106" spans="1:20" x14ac:dyDescent="0.25">
      <c r="J106" s="14"/>
    </row>
    <row r="107" spans="1:20" x14ac:dyDescent="0.25">
      <c r="A107" s="6" t="s">
        <v>9</v>
      </c>
      <c r="B107" s="6" t="s">
        <v>10</v>
      </c>
      <c r="C107" s="6" t="s">
        <v>11</v>
      </c>
      <c r="D107" s="6" t="s">
        <v>12</v>
      </c>
      <c r="E107" s="7" t="s">
        <v>13</v>
      </c>
      <c r="F107" s="8" t="s">
        <v>14</v>
      </c>
      <c r="G107" s="8" t="s">
        <v>15</v>
      </c>
      <c r="H107" s="9" t="s">
        <v>16</v>
      </c>
      <c r="I107" s="10" t="s">
        <v>98</v>
      </c>
      <c r="J107" s="14" t="s">
        <v>128</v>
      </c>
      <c r="K107" s="12" t="s">
        <v>19</v>
      </c>
      <c r="L107" s="12" t="s">
        <v>20</v>
      </c>
      <c r="M107" s="13" t="s">
        <v>21</v>
      </c>
      <c r="N107" s="13" t="s">
        <v>22</v>
      </c>
      <c r="O107" s="12" t="s">
        <v>23</v>
      </c>
      <c r="P107" s="8" t="s">
        <v>24</v>
      </c>
      <c r="Q107" s="8" t="s">
        <v>25</v>
      </c>
      <c r="R107" s="12" t="s">
        <v>26</v>
      </c>
      <c r="S107" s="6" t="s">
        <v>27</v>
      </c>
      <c r="T107" s="9" t="s">
        <v>28</v>
      </c>
    </row>
    <row r="108" spans="1:20" x14ac:dyDescent="0.25">
      <c r="A108" s="6" t="s">
        <v>156</v>
      </c>
      <c r="B108" s="6" t="s">
        <v>130</v>
      </c>
      <c r="C108" s="6" t="s">
        <v>99</v>
      </c>
      <c r="D108" s="6" t="s">
        <v>137</v>
      </c>
      <c r="E108" s="7" t="s">
        <v>157</v>
      </c>
      <c r="F108" s="8">
        <v>159</v>
      </c>
      <c r="G108" s="8">
        <v>608</v>
      </c>
      <c r="H108" s="9">
        <f>(F108+G108)*(1+0.2)+311</f>
        <v>1231.4000000000001</v>
      </c>
      <c r="I108" s="10">
        <f>9787*(1+0.466*2+5%*11+0.24+0.496)+4780</f>
        <v>36274.566000000006</v>
      </c>
      <c r="J108" s="14">
        <f>0.15+0.358+0.1</f>
        <v>0.60799999999999998</v>
      </c>
      <c r="K108" s="12">
        <v>0</v>
      </c>
      <c r="L108" s="12">
        <v>0</v>
      </c>
      <c r="M108" s="13" t="s">
        <v>44</v>
      </c>
      <c r="N108" s="13" t="s">
        <v>44</v>
      </c>
      <c r="O108" s="12">
        <v>0</v>
      </c>
      <c r="P108" s="8">
        <f>0.5</f>
        <v>0.5</v>
      </c>
      <c r="Q108" s="8">
        <v>0.9</v>
      </c>
      <c r="R108" s="12">
        <v>0</v>
      </c>
      <c r="S108" s="6" t="s">
        <v>158</v>
      </c>
      <c r="T108" s="9">
        <f>(4335+35.2%*I108)*(1+0.2+J108)</f>
        <v>30923.394195456003</v>
      </c>
    </row>
    <row r="109" spans="1:20" x14ac:dyDescent="0.25">
      <c r="A109" s="6" t="s">
        <v>156</v>
      </c>
      <c r="B109" s="6" t="s">
        <v>136</v>
      </c>
      <c r="C109" s="6" t="s">
        <v>99</v>
      </c>
      <c r="D109" s="6" t="s">
        <v>137</v>
      </c>
      <c r="E109" s="7" t="s">
        <v>157</v>
      </c>
      <c r="F109" s="8">
        <v>159</v>
      </c>
      <c r="G109" s="8">
        <v>401</v>
      </c>
      <c r="H109" s="9">
        <f>(F109+G109)*(1+0.2)+311</f>
        <v>983</v>
      </c>
      <c r="I109" s="10">
        <f>9787*(1+0.466*2+5%*11+0.24+0.352)+4780</f>
        <v>34865.237999999998</v>
      </c>
      <c r="J109" s="14">
        <f>0.15+0.358</f>
        <v>0.50800000000000001</v>
      </c>
      <c r="K109" s="12">
        <v>0</v>
      </c>
      <c r="L109" s="12">
        <v>0</v>
      </c>
      <c r="M109" s="13" t="s">
        <v>44</v>
      </c>
      <c r="N109" s="13" t="s">
        <v>44</v>
      </c>
      <c r="O109" s="12">
        <v>0</v>
      </c>
      <c r="P109" s="8">
        <f>0.5</f>
        <v>0.5</v>
      </c>
      <c r="Q109" s="8">
        <v>0.9</v>
      </c>
      <c r="R109" s="12">
        <v>0</v>
      </c>
      <c r="S109" s="6" t="s">
        <v>158</v>
      </c>
      <c r="T109" s="9">
        <f>(4335+35.2%*I109)*(1+0.2+J109)</f>
        <v>28365.718929408005</v>
      </c>
    </row>
    <row r="110" spans="1:20" x14ac:dyDescent="0.25">
      <c r="A110" s="6" t="s">
        <v>156</v>
      </c>
      <c r="B110" s="6" t="s">
        <v>135</v>
      </c>
      <c r="C110" s="6" t="s">
        <v>99</v>
      </c>
      <c r="D110" s="6" t="s">
        <v>137</v>
      </c>
      <c r="E110" s="7" t="s">
        <v>157</v>
      </c>
      <c r="F110" s="8">
        <v>159</v>
      </c>
      <c r="G110" s="8">
        <v>510</v>
      </c>
      <c r="H110" s="9">
        <f>(F110+G110)*(1+0.2)+311</f>
        <v>1113.8</v>
      </c>
      <c r="I110" s="10">
        <f>9787*(1+0.466*2+5%*11+0.24+0.413)+4780</f>
        <v>35462.245000000003</v>
      </c>
      <c r="J110" s="14">
        <f>0.15+0.358</f>
        <v>0.50800000000000001</v>
      </c>
      <c r="K110" s="12">
        <v>0</v>
      </c>
      <c r="L110" s="12">
        <v>0</v>
      </c>
      <c r="M110" s="13" t="s">
        <v>44</v>
      </c>
      <c r="N110" s="13" t="s">
        <v>44</v>
      </c>
      <c r="O110" s="12">
        <v>0</v>
      </c>
      <c r="P110" s="8">
        <f>0.5</f>
        <v>0.5</v>
      </c>
      <c r="Q110" s="8">
        <v>0.9</v>
      </c>
      <c r="R110" s="12">
        <v>0</v>
      </c>
      <c r="S110" s="6" t="s">
        <v>158</v>
      </c>
      <c r="T110" s="9">
        <f>(4335+35.2%*I110)*(1+0.2+J110)</f>
        <v>28724.64908992</v>
      </c>
    </row>
    <row r="111" spans="1:20" x14ac:dyDescent="0.25">
      <c r="I111" s="19"/>
      <c r="J111" s="14"/>
    </row>
    <row r="112" spans="1:20" x14ac:dyDescent="0.25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</row>
    <row r="113" spans="1:20" x14ac:dyDescent="0.25">
      <c r="A113" s="6" t="s">
        <v>9</v>
      </c>
      <c r="B113" s="6" t="s">
        <v>10</v>
      </c>
      <c r="C113" s="6" t="s">
        <v>11</v>
      </c>
      <c r="D113" s="6" t="s">
        <v>12</v>
      </c>
      <c r="E113" s="7" t="s">
        <v>13</v>
      </c>
      <c r="F113" s="8" t="s">
        <v>14</v>
      </c>
      <c r="G113" s="8" t="s">
        <v>15</v>
      </c>
      <c r="H113" s="9" t="s">
        <v>16</v>
      </c>
      <c r="J113" s="14"/>
      <c r="K113" s="12" t="s">
        <v>19</v>
      </c>
      <c r="L113" s="12" t="s">
        <v>20</v>
      </c>
      <c r="M113" s="13" t="s">
        <v>21</v>
      </c>
      <c r="N113" s="13" t="s">
        <v>22</v>
      </c>
      <c r="O113" s="12" t="s">
        <v>23</v>
      </c>
      <c r="P113" s="8" t="s">
        <v>24</v>
      </c>
      <c r="Q113" s="8" t="s">
        <v>25</v>
      </c>
      <c r="R113" s="12" t="s">
        <v>26</v>
      </c>
      <c r="S113" s="6" t="s">
        <v>27</v>
      </c>
      <c r="T113" s="9" t="s">
        <v>28</v>
      </c>
    </row>
    <row r="114" spans="1:20" x14ac:dyDescent="0.25">
      <c r="A114" s="11" t="s">
        <v>159</v>
      </c>
      <c r="B114" s="11" t="s">
        <v>160</v>
      </c>
      <c r="C114" s="6" t="s">
        <v>161</v>
      </c>
      <c r="D114" s="11" t="s">
        <v>162</v>
      </c>
      <c r="E114" s="17" t="s">
        <v>163</v>
      </c>
      <c r="F114" s="8">
        <v>225</v>
      </c>
      <c r="G114" s="8">
        <v>674</v>
      </c>
      <c r="H114" s="9">
        <f>(F114+G114)*(1+0.331+0.466+0.3)+311</f>
        <v>2196.203</v>
      </c>
      <c r="J114" s="14"/>
      <c r="K114" s="12">
        <v>0</v>
      </c>
      <c r="L114" s="12">
        <v>0</v>
      </c>
      <c r="M114" s="13">
        <f>60.25%+K114/2+L114/4</f>
        <v>0.60250000000000004</v>
      </c>
      <c r="N114" s="13">
        <f>60.25%*2+K114+L114/2</f>
        <v>1.2050000000000001</v>
      </c>
      <c r="O114" s="12">
        <f>0.466+0.15+0.12+0.24</f>
        <v>0.97599999999999998</v>
      </c>
      <c r="P114" s="8">
        <f>0.5</f>
        <v>0.5</v>
      </c>
      <c r="Q114" s="8">
        <v>0.9</v>
      </c>
      <c r="R114" s="12">
        <f>4.8348+1.2087*4+2.4174</f>
        <v>12.087000000000002</v>
      </c>
      <c r="S114" s="11" t="s">
        <v>164</v>
      </c>
      <c r="T114" s="9">
        <f>H114*R114*(1+O114)*(1+N114+0.32)*P114*Q114</f>
        <v>59600.765675247043</v>
      </c>
    </row>
    <row r="115" spans="1:20" x14ac:dyDescent="0.25">
      <c r="A115" s="11" t="s">
        <v>159</v>
      </c>
      <c r="B115" s="11" t="s">
        <v>56</v>
      </c>
      <c r="C115" s="6" t="s">
        <v>161</v>
      </c>
      <c r="D115" s="11" t="s">
        <v>162</v>
      </c>
      <c r="E115" s="17" t="s">
        <v>163</v>
      </c>
      <c r="F115" s="8">
        <v>225</v>
      </c>
      <c r="G115" s="8">
        <v>608</v>
      </c>
      <c r="H115" s="9">
        <f>(F115+G115)*(1+0.466+0.3)+311</f>
        <v>1782.078</v>
      </c>
      <c r="J115" s="14"/>
      <c r="K115" s="12">
        <v>0.33100000000000002</v>
      </c>
      <c r="L115" s="12">
        <v>0</v>
      </c>
      <c r="M115" s="13">
        <f>60.25%+K115/2+L115/4</f>
        <v>0.76800000000000002</v>
      </c>
      <c r="N115" s="13">
        <f>60.25%*2+K115+L115/2</f>
        <v>1.536</v>
      </c>
      <c r="O115" s="12">
        <f>0.466+0.15+0.16+0.24</f>
        <v>1.016</v>
      </c>
      <c r="P115" s="8">
        <f>0.5</f>
        <v>0.5</v>
      </c>
      <c r="Q115" s="8">
        <v>0.9</v>
      </c>
      <c r="R115" s="12">
        <f>4.8348+1.2087*4+2.4174</f>
        <v>12.087000000000002</v>
      </c>
      <c r="S115" s="11" t="s">
        <v>164</v>
      </c>
      <c r="T115" s="9">
        <f>H115*R115*(1+O115)*(1+N115+0.32)*P115*Q115</f>
        <v>55809.287181380285</v>
      </c>
    </row>
    <row r="116" spans="1:20" x14ac:dyDescent="0.25">
      <c r="A116" s="11" t="s">
        <v>159</v>
      </c>
      <c r="B116" s="11" t="s">
        <v>165</v>
      </c>
      <c r="C116" s="6" t="s">
        <v>161</v>
      </c>
      <c r="D116" s="11" t="s">
        <v>162</v>
      </c>
      <c r="E116" s="17" t="s">
        <v>163</v>
      </c>
      <c r="F116" s="8">
        <v>225</v>
      </c>
      <c r="G116" s="8">
        <v>510</v>
      </c>
      <c r="H116" s="9">
        <f>(F116+G116)*(1+0.466+0.3)+311</f>
        <v>1609.01</v>
      </c>
      <c r="J116" s="14"/>
      <c r="K116" s="12">
        <v>0.27600000000000002</v>
      </c>
      <c r="L116" s="12">
        <v>0</v>
      </c>
      <c r="M116" s="13">
        <f>60.25%+K116/2+L116/4</f>
        <v>0.74050000000000005</v>
      </c>
      <c r="N116" s="13">
        <f>60.25%*2+K116+L116/2</f>
        <v>1.4810000000000001</v>
      </c>
      <c r="O116" s="12">
        <f>0.466+0.15+0.4+0.24</f>
        <v>1.256</v>
      </c>
      <c r="P116" s="8">
        <f>0.5</f>
        <v>0.5</v>
      </c>
      <c r="Q116" s="8">
        <v>0.9</v>
      </c>
      <c r="R116" s="12">
        <f>4.8348+1.2087*4+2.4174</f>
        <v>12.087000000000002</v>
      </c>
      <c r="S116" s="11" t="s">
        <v>164</v>
      </c>
      <c r="T116" s="9">
        <f>H116*R116*(1+O116)*(1+N116+0.32)*P116*Q116</f>
        <v>55302.145851756031</v>
      </c>
    </row>
    <row r="117" spans="1:20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 x14ac:dyDescent="0.25">
      <c r="A118" s="6" t="s">
        <v>9</v>
      </c>
      <c r="B118" s="6" t="s">
        <v>10</v>
      </c>
      <c r="C118" s="6" t="s">
        <v>11</v>
      </c>
      <c r="D118" s="6" t="s">
        <v>12</v>
      </c>
      <c r="E118" s="7" t="s">
        <v>13</v>
      </c>
      <c r="F118" s="8" t="s">
        <v>14</v>
      </c>
      <c r="G118" s="8" t="s">
        <v>15</v>
      </c>
      <c r="H118" s="9" t="s">
        <v>16</v>
      </c>
      <c r="I118" s="10" t="s">
        <v>18</v>
      </c>
      <c r="J118" s="14" t="s">
        <v>128</v>
      </c>
      <c r="K118" s="12" t="s">
        <v>19</v>
      </c>
      <c r="L118" s="12" t="s">
        <v>20</v>
      </c>
      <c r="M118" s="13" t="s">
        <v>21</v>
      </c>
      <c r="N118" s="13" t="s">
        <v>22</v>
      </c>
      <c r="O118" s="12" t="s">
        <v>23</v>
      </c>
      <c r="P118" s="8" t="s">
        <v>24</v>
      </c>
      <c r="Q118" s="8" t="s">
        <v>25</v>
      </c>
      <c r="R118" s="12" t="s">
        <v>26</v>
      </c>
      <c r="S118" s="6" t="s">
        <v>27</v>
      </c>
      <c r="T118" s="9" t="s">
        <v>28</v>
      </c>
    </row>
    <row r="119" spans="1:20" x14ac:dyDescent="0.25">
      <c r="A119" s="6" t="s">
        <v>166</v>
      </c>
      <c r="B119" s="6" t="s">
        <v>64</v>
      </c>
      <c r="C119" s="6" t="s">
        <v>161</v>
      </c>
      <c r="D119" s="6" t="s">
        <v>167</v>
      </c>
      <c r="E119" s="7" t="s">
        <v>157</v>
      </c>
      <c r="F119" s="8">
        <v>244</v>
      </c>
      <c r="G119" s="8">
        <v>608</v>
      </c>
      <c r="H119" s="9">
        <f>(F119+G119)*(1+0.3+0.496+0.466+0.2)+311</f>
        <v>2408.6240000000003</v>
      </c>
      <c r="I119" s="10">
        <f>96+187+160</f>
        <v>443</v>
      </c>
      <c r="J119" s="14">
        <f>0.358</f>
        <v>0.35799999999999998</v>
      </c>
      <c r="K119" s="12">
        <v>0</v>
      </c>
      <c r="L119" s="12">
        <v>0</v>
      </c>
      <c r="M119" s="13" t="s">
        <v>44</v>
      </c>
      <c r="N119" s="13" t="s">
        <v>44</v>
      </c>
      <c r="O119" s="12">
        <v>0.15</v>
      </c>
      <c r="P119" s="8">
        <f t="shared" ref="P119:P125" si="20">0.5</f>
        <v>0.5</v>
      </c>
      <c r="Q119" s="8">
        <v>0.9</v>
      </c>
      <c r="R119" s="12">
        <v>0</v>
      </c>
      <c r="S119" s="6" t="s">
        <v>168</v>
      </c>
      <c r="T119" s="9">
        <f>(1280+159.74%*H119)*(1+J119)</f>
        <v>6963.1938575808008</v>
      </c>
    </row>
    <row r="120" spans="1:20" x14ac:dyDescent="0.25">
      <c r="A120" s="6" t="s">
        <v>166</v>
      </c>
      <c r="B120" s="6" t="s">
        <v>169</v>
      </c>
      <c r="C120" s="6" t="s">
        <v>161</v>
      </c>
      <c r="D120" s="6" t="s">
        <v>167</v>
      </c>
      <c r="E120" s="7" t="s">
        <v>157</v>
      </c>
      <c r="F120" s="8">
        <v>244</v>
      </c>
      <c r="G120" s="8">
        <v>454</v>
      </c>
      <c r="H120" s="9">
        <f>(F120+G120)*(1+0.3+0.466)+311</f>
        <v>1543.6680000000001</v>
      </c>
      <c r="I120" s="10">
        <f>96+187+160</f>
        <v>443</v>
      </c>
      <c r="J120" s="14">
        <f>0.358</f>
        <v>0.35799999999999998</v>
      </c>
      <c r="K120" s="12">
        <v>0</v>
      </c>
      <c r="L120" s="12">
        <v>0</v>
      </c>
      <c r="M120" s="13" t="s">
        <v>44</v>
      </c>
      <c r="N120" s="13" t="s">
        <v>44</v>
      </c>
      <c r="O120" s="12">
        <v>0.15</v>
      </c>
      <c r="P120" s="8">
        <f t="shared" si="20"/>
        <v>0.5</v>
      </c>
      <c r="Q120" s="8">
        <v>0.9</v>
      </c>
      <c r="R120" s="12">
        <v>0</v>
      </c>
      <c r="S120" s="6" t="s">
        <v>168</v>
      </c>
      <c r="T120" s="9">
        <f>(1280+159.74%*H120)*(1+J120)</f>
        <v>5086.8714474256012</v>
      </c>
    </row>
    <row r="121" spans="1:20" x14ac:dyDescent="0.25">
      <c r="J121" s="14"/>
    </row>
    <row r="122" spans="1:20" x14ac:dyDescent="0.25">
      <c r="A122" s="6" t="s">
        <v>9</v>
      </c>
      <c r="B122" s="6" t="s">
        <v>10</v>
      </c>
      <c r="C122" s="6" t="s">
        <v>11</v>
      </c>
      <c r="D122" s="6" t="s">
        <v>12</v>
      </c>
      <c r="E122" s="7" t="s">
        <v>13</v>
      </c>
      <c r="F122" s="8" t="s">
        <v>14</v>
      </c>
      <c r="G122" s="8" t="s">
        <v>15</v>
      </c>
      <c r="H122" s="9" t="s">
        <v>16</v>
      </c>
      <c r="I122" s="10" t="s">
        <v>18</v>
      </c>
      <c r="J122" s="14" t="s">
        <v>38</v>
      </c>
      <c r="K122" s="12" t="s">
        <v>19</v>
      </c>
      <c r="L122" s="12" t="s">
        <v>20</v>
      </c>
      <c r="M122" s="13" t="s">
        <v>21</v>
      </c>
      <c r="N122" s="13" t="s">
        <v>22</v>
      </c>
      <c r="O122" s="12" t="s">
        <v>23</v>
      </c>
      <c r="P122" s="8" t="s">
        <v>24</v>
      </c>
      <c r="Q122" s="8" t="s">
        <v>25</v>
      </c>
      <c r="R122" s="12" t="s">
        <v>26</v>
      </c>
      <c r="S122" s="6" t="s">
        <v>27</v>
      </c>
      <c r="T122" s="9" t="s">
        <v>28</v>
      </c>
    </row>
    <row r="123" spans="1:20" x14ac:dyDescent="0.25">
      <c r="A123" s="6" t="s">
        <v>170</v>
      </c>
      <c r="B123" s="6" t="s">
        <v>171</v>
      </c>
      <c r="C123" s="6" t="s">
        <v>161</v>
      </c>
      <c r="D123" s="6" t="s">
        <v>172</v>
      </c>
      <c r="E123" s="7" t="s">
        <v>173</v>
      </c>
      <c r="F123" s="8">
        <v>297</v>
      </c>
      <c r="G123" s="8">
        <v>608</v>
      </c>
      <c r="H123" s="9">
        <f>(F123+G123)*(1+0.2)+311</f>
        <v>1397</v>
      </c>
      <c r="I123" s="10">
        <f>115+187*3+160+195</f>
        <v>1031</v>
      </c>
      <c r="J123" s="14">
        <f>1+5.5%*4</f>
        <v>1.22</v>
      </c>
      <c r="K123" s="12">
        <v>0</v>
      </c>
      <c r="L123" s="12">
        <v>0</v>
      </c>
      <c r="M123" s="13" t="s">
        <v>44</v>
      </c>
      <c r="N123" s="13" t="s">
        <v>44</v>
      </c>
      <c r="O123" s="12">
        <v>0</v>
      </c>
      <c r="P123" s="8">
        <f t="shared" si="20"/>
        <v>0.5</v>
      </c>
      <c r="Q123" s="8">
        <v>1.1499999999999999</v>
      </c>
      <c r="R123" s="12">
        <v>0</v>
      </c>
      <c r="S123" s="6" t="s">
        <v>174</v>
      </c>
      <c r="T123" s="9">
        <f>868*Q123*(1+0.6+(16*I123)/(I123+2000))</f>
        <v>7029.7518706697465</v>
      </c>
    </row>
    <row r="124" spans="1:20" x14ac:dyDescent="0.25">
      <c r="A124" s="6" t="s">
        <v>170</v>
      </c>
      <c r="B124" s="6" t="s">
        <v>175</v>
      </c>
      <c r="C124" s="6" t="s">
        <v>161</v>
      </c>
      <c r="D124" s="6" t="s">
        <v>172</v>
      </c>
      <c r="E124" s="7" t="s">
        <v>173</v>
      </c>
      <c r="F124" s="8">
        <v>297</v>
      </c>
      <c r="G124" s="8">
        <v>510</v>
      </c>
      <c r="H124" s="9">
        <f>(F124+G124)*(1+0.2)+311</f>
        <v>1279.4000000000001</v>
      </c>
      <c r="I124" s="10">
        <f>115+187*3+160+165</f>
        <v>1001</v>
      </c>
      <c r="J124" s="14">
        <f>1+5.5%*4</f>
        <v>1.22</v>
      </c>
      <c r="K124" s="12">
        <v>0</v>
      </c>
      <c r="L124" s="12">
        <v>0</v>
      </c>
      <c r="M124" s="13" t="s">
        <v>44</v>
      </c>
      <c r="N124" s="13" t="s">
        <v>44</v>
      </c>
      <c r="O124" s="12">
        <v>0</v>
      </c>
      <c r="P124" s="8">
        <f t="shared" si="20"/>
        <v>0.5</v>
      </c>
      <c r="Q124" s="8">
        <v>1.1499999999999999</v>
      </c>
      <c r="R124" s="12">
        <v>0</v>
      </c>
      <c r="S124" s="6" t="s">
        <v>174</v>
      </c>
      <c r="T124" s="9">
        <f>868*Q124*(1+0.6+(16*I124)/(I124+2000))</f>
        <v>6924.4013062312561</v>
      </c>
    </row>
    <row r="125" spans="1:20" x14ac:dyDescent="0.25">
      <c r="A125" s="6" t="s">
        <v>170</v>
      </c>
      <c r="B125" s="11" t="s">
        <v>149</v>
      </c>
      <c r="C125" s="6" t="s">
        <v>161</v>
      </c>
      <c r="D125" s="6" t="s">
        <v>172</v>
      </c>
      <c r="E125" s="7" t="s">
        <v>173</v>
      </c>
      <c r="F125" s="8">
        <v>297</v>
      </c>
      <c r="G125" s="8">
        <v>454</v>
      </c>
      <c r="H125" s="9">
        <f>(F125+G125)*(1+0.2)+311</f>
        <v>1212.1999999999998</v>
      </c>
      <c r="I125" s="10">
        <f>115+187*3+160</f>
        <v>836</v>
      </c>
      <c r="J125" s="14">
        <f>1+5.5%*4+0.613</f>
        <v>1.833</v>
      </c>
      <c r="K125" s="12">
        <v>0</v>
      </c>
      <c r="L125" s="12">
        <v>0</v>
      </c>
      <c r="M125" s="13" t="s">
        <v>44</v>
      </c>
      <c r="N125" s="13" t="s">
        <v>44</v>
      </c>
      <c r="O125" s="12">
        <v>0</v>
      </c>
      <c r="P125" s="8">
        <f t="shared" si="20"/>
        <v>0.5</v>
      </c>
      <c r="Q125" s="8">
        <v>1.1499999999999999</v>
      </c>
      <c r="R125" s="12">
        <v>0</v>
      </c>
      <c r="S125" s="6" t="s">
        <v>174</v>
      </c>
      <c r="T125" s="9">
        <f>868*Q125*(1+0.6+(16*I125)/(I125+2000))</f>
        <v>6305.1324118476714</v>
      </c>
    </row>
    <row r="127" spans="1:20" x14ac:dyDescent="0.25">
      <c r="A127" s="6" t="s">
        <v>9</v>
      </c>
      <c r="B127" s="6" t="s">
        <v>10</v>
      </c>
      <c r="C127" s="6" t="s">
        <v>11</v>
      </c>
      <c r="D127" s="6" t="s">
        <v>12</v>
      </c>
      <c r="E127" s="7" t="s">
        <v>13</v>
      </c>
      <c r="F127" s="8" t="s">
        <v>14</v>
      </c>
      <c r="G127" s="8" t="s">
        <v>15</v>
      </c>
      <c r="H127" s="9" t="s">
        <v>16</v>
      </c>
      <c r="I127" s="10" t="s">
        <v>17</v>
      </c>
      <c r="K127" s="12" t="s">
        <v>19</v>
      </c>
      <c r="L127" s="12" t="s">
        <v>20</v>
      </c>
      <c r="M127" s="13" t="s">
        <v>21</v>
      </c>
      <c r="N127" s="13" t="s">
        <v>22</v>
      </c>
      <c r="O127" s="12" t="s">
        <v>23</v>
      </c>
      <c r="P127" s="8" t="s">
        <v>24</v>
      </c>
      <c r="Q127" s="8" t="s">
        <v>25</v>
      </c>
      <c r="R127" s="12" t="s">
        <v>26</v>
      </c>
      <c r="S127" s="6" t="s">
        <v>27</v>
      </c>
      <c r="T127" s="9" t="s">
        <v>28</v>
      </c>
    </row>
    <row r="128" spans="1:20" x14ac:dyDescent="0.25">
      <c r="A128" s="6" t="s">
        <v>176</v>
      </c>
      <c r="B128" s="6" t="s">
        <v>177</v>
      </c>
      <c r="C128" s="11" t="s">
        <v>178</v>
      </c>
      <c r="D128" s="6" t="s">
        <v>162</v>
      </c>
      <c r="E128" s="7" t="s">
        <v>179</v>
      </c>
      <c r="F128" s="8">
        <v>349</v>
      </c>
      <c r="G128" s="8">
        <v>674</v>
      </c>
      <c r="H128" s="9">
        <f>(F128+G128)*(1+0.3+0.466+0.18)+311</f>
        <v>2301.7579999999998</v>
      </c>
      <c r="J128" s="21">
        <f>(F128+G128)*(1+0.3+0.466+0.18+7*3.2%+0.18)+311</f>
        <v>2715.05</v>
      </c>
      <c r="K128" s="12">
        <f>19.2%+22.1%</f>
        <v>0.41300000000000003</v>
      </c>
      <c r="L128" s="12">
        <f>0</f>
        <v>0</v>
      </c>
      <c r="M128" s="13">
        <v>0.8</v>
      </c>
      <c r="N128" s="13">
        <f>60.25%*2+K128+L128/2+0.9%*2</f>
        <v>1.6360000000000001</v>
      </c>
      <c r="O128" s="12">
        <f>0.466+0.12+0.9065+0.05</f>
        <v>1.5425000000000002</v>
      </c>
      <c r="P128" s="8">
        <f>0.5</f>
        <v>0.5</v>
      </c>
      <c r="Q128" s="8">
        <f>0.9</f>
        <v>0.9</v>
      </c>
      <c r="R128" s="12">
        <v>4.0401999999999996</v>
      </c>
      <c r="S128" s="11" t="s">
        <v>180</v>
      </c>
      <c r="T128" s="9">
        <f>J128*R128*(1+O128)*(1+N128)*P128*Q128</f>
        <v>33082.595701816637</v>
      </c>
    </row>
    <row r="129" spans="1:20" x14ac:dyDescent="0.25">
      <c r="A129" s="6" t="s">
        <v>176</v>
      </c>
      <c r="B129" s="6" t="s">
        <v>30</v>
      </c>
      <c r="C129" s="11" t="s">
        <v>178</v>
      </c>
      <c r="D129" s="6" t="s">
        <v>162</v>
      </c>
      <c r="E129" s="7" t="s">
        <v>179</v>
      </c>
      <c r="F129" s="8">
        <v>349</v>
      </c>
      <c r="G129" s="8">
        <v>608</v>
      </c>
      <c r="H129" s="9">
        <f>(F129+G129)*(1+0.3+0.466+0.18)+311+0.8%*I129</f>
        <v>2354.2052000000003</v>
      </c>
      <c r="I129" s="10">
        <f>12736*(1+0.2+0.2)+4780</f>
        <v>22610.399999999998</v>
      </c>
      <c r="J129" s="21">
        <f>(F129+G129)*(1+0.3+0.466+0.18+0.18)+311+0.8%*I129</f>
        <v>2526.4651999999996</v>
      </c>
      <c r="K129" s="12">
        <f>19.2%</f>
        <v>0.192</v>
      </c>
      <c r="L129" s="12">
        <f>66.2%</f>
        <v>0.66200000000000003</v>
      </c>
      <c r="M129" s="13">
        <v>0.8</v>
      </c>
      <c r="N129" s="13">
        <f>60.25%*2+K129+L129/2+6.4%*2</f>
        <v>1.8559999999999999</v>
      </c>
      <c r="O129" s="12">
        <f>0.466+0.9065+0.05</f>
        <v>1.4225000000000001</v>
      </c>
      <c r="P129" s="8">
        <f>0.5</f>
        <v>0.5</v>
      </c>
      <c r="Q129" s="8">
        <f>0.9</f>
        <v>0.9</v>
      </c>
      <c r="R129" s="12">
        <v>4.0401999999999996</v>
      </c>
      <c r="S129" s="6" t="s">
        <v>180</v>
      </c>
      <c r="T129" s="9">
        <f>J129*R129*(1+O129)*(1+N129)*P129*Q129</f>
        <v>31779.765441943833</v>
      </c>
    </row>
    <row r="130" spans="1:20" x14ac:dyDescent="0.25">
      <c r="A130" s="6" t="s">
        <v>176</v>
      </c>
      <c r="B130" s="6" t="s">
        <v>181</v>
      </c>
      <c r="C130" s="11" t="s">
        <v>178</v>
      </c>
      <c r="D130" s="6" t="s">
        <v>162</v>
      </c>
      <c r="E130" s="7" t="s">
        <v>179</v>
      </c>
      <c r="F130" s="8">
        <v>349</v>
      </c>
      <c r="G130" s="8">
        <v>454</v>
      </c>
      <c r="H130" s="9">
        <f>(F130+G130)*(1+0.3+0.466+0.18+0.24)+311</f>
        <v>2066.3580000000002</v>
      </c>
      <c r="J130" s="21">
        <f>(F130+G130)*(1+0.3+0.466+0.18+0.24+0.18)+311</f>
        <v>2210.8980000000001</v>
      </c>
      <c r="K130" s="12">
        <f>19.2%+36.8%</f>
        <v>0.56000000000000005</v>
      </c>
      <c r="L130" s="12">
        <f>0</f>
        <v>0</v>
      </c>
      <c r="M130" s="13">
        <v>0.8</v>
      </c>
      <c r="N130" s="13">
        <f>60.25%*2+K130+L130/2+8.25%*2</f>
        <v>1.9300000000000002</v>
      </c>
      <c r="O130" s="12">
        <f>0.466+0.9065+0.05</f>
        <v>1.4225000000000001</v>
      </c>
      <c r="P130" s="8">
        <f>0.5</f>
        <v>0.5</v>
      </c>
      <c r="Q130" s="8">
        <f>0.9</f>
        <v>0.9</v>
      </c>
      <c r="R130" s="12">
        <v>4.0401999999999996</v>
      </c>
      <c r="S130" s="6" t="s">
        <v>180</v>
      </c>
      <c r="T130" s="9">
        <f>J130*R130*(1+O130)*(1+N130)*P130*Q130</f>
        <v>28530.9012742665</v>
      </c>
    </row>
    <row r="132" spans="1:20" x14ac:dyDescent="0.25">
      <c r="A132" s="6" t="s">
        <v>9</v>
      </c>
      <c r="B132" s="6" t="s">
        <v>10</v>
      </c>
      <c r="C132" s="6" t="s">
        <v>11</v>
      </c>
      <c r="D132" s="6" t="s">
        <v>12</v>
      </c>
      <c r="E132" s="7" t="s">
        <v>13</v>
      </c>
      <c r="F132" s="8" t="s">
        <v>14</v>
      </c>
      <c r="G132" s="8" t="s">
        <v>15</v>
      </c>
      <c r="H132" s="9" t="s">
        <v>16</v>
      </c>
      <c r="I132" s="10" t="s">
        <v>18</v>
      </c>
      <c r="J132" s="14" t="s">
        <v>38</v>
      </c>
      <c r="K132" s="12" t="s">
        <v>19</v>
      </c>
      <c r="L132" s="12" t="s">
        <v>20</v>
      </c>
      <c r="M132" s="13" t="s">
        <v>21</v>
      </c>
      <c r="N132" s="13" t="s">
        <v>22</v>
      </c>
      <c r="O132" s="12" t="s">
        <v>23</v>
      </c>
      <c r="P132" s="8" t="s">
        <v>24</v>
      </c>
      <c r="Q132" s="8" t="s">
        <v>25</v>
      </c>
      <c r="R132" s="12" t="s">
        <v>26</v>
      </c>
      <c r="S132" s="6" t="s">
        <v>27</v>
      </c>
      <c r="T132" s="9" t="s">
        <v>28</v>
      </c>
    </row>
    <row r="133" spans="1:20" x14ac:dyDescent="0.25">
      <c r="A133" s="6" t="s">
        <v>182</v>
      </c>
      <c r="B133" s="6" t="s">
        <v>81</v>
      </c>
      <c r="C133" s="6" t="s">
        <v>161</v>
      </c>
      <c r="D133" s="6" t="s">
        <v>172</v>
      </c>
      <c r="E133" s="7" t="s">
        <v>173</v>
      </c>
      <c r="F133" s="8">
        <v>263</v>
      </c>
      <c r="G133" s="8">
        <v>608</v>
      </c>
      <c r="H133" s="9">
        <f>(F133+G133)*(1+0.2)+311</f>
        <v>1356.2</v>
      </c>
      <c r="I133" s="10">
        <f>187*3+160+60</f>
        <v>781</v>
      </c>
      <c r="J133" s="14">
        <f>1+0.551+0.2+0.32</f>
        <v>2.0710000000000002</v>
      </c>
      <c r="K133" s="12">
        <v>0</v>
      </c>
      <c r="L133" s="12">
        <v>0</v>
      </c>
      <c r="M133" s="13" t="s">
        <v>44</v>
      </c>
      <c r="N133" s="13" t="s">
        <v>44</v>
      </c>
      <c r="O133" s="12">
        <v>0</v>
      </c>
      <c r="P133" s="8">
        <f>0.5</f>
        <v>0.5</v>
      </c>
      <c r="Q133" s="8">
        <v>1.1499999999999999</v>
      </c>
      <c r="R133" s="12">
        <v>0</v>
      </c>
      <c r="S133" s="6" t="s">
        <v>174</v>
      </c>
      <c r="T133" s="9">
        <f>868*Q133*(1+0.6+(16*I133+1600)/(I133+2000+100))</f>
        <v>6481.0586324192982</v>
      </c>
    </row>
    <row r="134" spans="1:20" x14ac:dyDescent="0.25">
      <c r="A134" s="6" t="s">
        <v>182</v>
      </c>
      <c r="B134" s="6" t="s">
        <v>116</v>
      </c>
      <c r="C134" s="6" t="s">
        <v>161</v>
      </c>
      <c r="D134" s="6" t="s">
        <v>172</v>
      </c>
      <c r="E134" s="17" t="s">
        <v>173</v>
      </c>
      <c r="F134" s="8">
        <v>263</v>
      </c>
      <c r="G134" s="8">
        <v>454</v>
      </c>
      <c r="H134" s="9">
        <f>(F134+G134)*(1+0.2)+311</f>
        <v>1171.4000000000001</v>
      </c>
      <c r="I134" s="10">
        <f>187*3+160</f>
        <v>721</v>
      </c>
      <c r="J134" s="14">
        <f>1+0.613+0.2+0.32</f>
        <v>2.133</v>
      </c>
      <c r="K134" s="12">
        <v>0</v>
      </c>
      <c r="L134" s="12">
        <v>0</v>
      </c>
      <c r="M134" s="13" t="s">
        <v>44</v>
      </c>
      <c r="N134" s="13" t="s">
        <v>44</v>
      </c>
      <c r="O134" s="12">
        <v>0</v>
      </c>
      <c r="P134" s="8">
        <f>0.5</f>
        <v>0.5</v>
      </c>
      <c r="Q134" s="8">
        <v>1.1499999999999999</v>
      </c>
      <c r="R134" s="12">
        <v>0</v>
      </c>
      <c r="S134" s="6" t="s">
        <v>174</v>
      </c>
      <c r="T134" s="9">
        <f>868*Q134*(1+0.6+(16*I134)/(I134+2000))</f>
        <v>5829.1064755604548</v>
      </c>
    </row>
    <row r="135" spans="1:20" x14ac:dyDescent="0.25">
      <c r="A135" s="6" t="s">
        <v>182</v>
      </c>
      <c r="B135" s="6" t="s">
        <v>183</v>
      </c>
      <c r="C135" s="6" t="s">
        <v>161</v>
      </c>
      <c r="D135" s="6" t="s">
        <v>184</v>
      </c>
      <c r="E135" s="7" t="s">
        <v>173</v>
      </c>
      <c r="F135" s="8">
        <v>263</v>
      </c>
      <c r="G135" s="8">
        <v>510</v>
      </c>
      <c r="H135" s="9">
        <f>(F135+G135)*(1+0.2)+311</f>
        <v>1238.5999999999999</v>
      </c>
      <c r="I135" s="10">
        <f>187*2+160+165</f>
        <v>699</v>
      </c>
      <c r="J135" s="14">
        <f>1+0.518+0.2+0.32</f>
        <v>2.0379999999999998</v>
      </c>
      <c r="K135" s="12">
        <v>0</v>
      </c>
      <c r="L135" s="12">
        <v>0</v>
      </c>
      <c r="M135" s="13" t="s">
        <v>44</v>
      </c>
      <c r="N135" s="13" t="s">
        <v>44</v>
      </c>
      <c r="O135" s="12">
        <v>0</v>
      </c>
      <c r="P135" s="8">
        <f>0.5</f>
        <v>0.5</v>
      </c>
      <c r="Q135" s="8">
        <v>1.1499999999999999</v>
      </c>
      <c r="R135" s="12">
        <v>0</v>
      </c>
      <c r="S135" s="6" t="s">
        <v>174</v>
      </c>
      <c r="T135" s="9">
        <f>868*Q135*(1+0.6+(16*I135)/(I135+2000))</f>
        <v>5733.4181845127814</v>
      </c>
    </row>
    <row r="137" spans="1:20" x14ac:dyDescent="0.25">
      <c r="A137" s="6" t="s">
        <v>9</v>
      </c>
      <c r="B137" s="6" t="s">
        <v>10</v>
      </c>
      <c r="C137" s="6" t="s">
        <v>11</v>
      </c>
      <c r="D137" s="6" t="s">
        <v>12</v>
      </c>
      <c r="E137" s="7" t="s">
        <v>13</v>
      </c>
      <c r="F137" s="8" t="s">
        <v>14</v>
      </c>
      <c r="G137" s="8" t="s">
        <v>15</v>
      </c>
      <c r="H137" s="9" t="s">
        <v>16</v>
      </c>
      <c r="I137" s="14" t="s">
        <v>38</v>
      </c>
      <c r="J137" s="14" t="s">
        <v>128</v>
      </c>
      <c r="K137" s="12" t="s">
        <v>19</v>
      </c>
      <c r="L137" s="12" t="s">
        <v>20</v>
      </c>
      <c r="M137" s="13" t="s">
        <v>21</v>
      </c>
      <c r="N137" s="13" t="s">
        <v>22</v>
      </c>
      <c r="O137" s="12" t="s">
        <v>23</v>
      </c>
      <c r="P137" s="8" t="s">
        <v>24</v>
      </c>
      <c r="Q137" s="8" t="s">
        <v>25</v>
      </c>
      <c r="R137" s="12" t="s">
        <v>26</v>
      </c>
      <c r="S137" s="6" t="s">
        <v>27</v>
      </c>
      <c r="T137" s="9" t="s">
        <v>28</v>
      </c>
    </row>
    <row r="138" spans="1:20" x14ac:dyDescent="0.25">
      <c r="A138" s="6" t="s">
        <v>185</v>
      </c>
      <c r="B138" s="11" t="s">
        <v>186</v>
      </c>
      <c r="C138" s="6" t="s">
        <v>161</v>
      </c>
      <c r="D138" s="6" t="s">
        <v>187</v>
      </c>
      <c r="E138" s="7" t="s">
        <v>188</v>
      </c>
      <c r="F138" s="8">
        <v>239</v>
      </c>
      <c r="G138" s="8">
        <v>454</v>
      </c>
      <c r="H138" s="9">
        <f>(F138+G138)*(1+0.3+0.466*2+0.551)+311</f>
        <v>2239.6190000000001</v>
      </c>
      <c r="I138" s="14">
        <f>1+0.459+0.2</f>
        <v>1.659</v>
      </c>
      <c r="J138" s="14">
        <f>0.358+0.222</f>
        <v>0.57999999999999996</v>
      </c>
      <c r="K138" s="12">
        <v>0</v>
      </c>
      <c r="L138" s="12">
        <v>0</v>
      </c>
      <c r="M138" s="13" t="s">
        <v>44</v>
      </c>
      <c r="N138" s="13" t="s">
        <v>44</v>
      </c>
      <c r="O138" s="12">
        <v>0</v>
      </c>
      <c r="P138" s="8">
        <f>0.5</f>
        <v>0.5</v>
      </c>
      <c r="Q138" s="8">
        <v>0.9</v>
      </c>
      <c r="R138" s="12">
        <v>0</v>
      </c>
      <c r="S138" s="6" t="s">
        <v>101</v>
      </c>
      <c r="T138" s="9">
        <f>(3389+452.16%*H138)*(1+J138)</f>
        <v>21354.744807232004</v>
      </c>
    </row>
    <row r="139" spans="1:20" x14ac:dyDescent="0.25">
      <c r="A139" s="6" t="s">
        <v>185</v>
      </c>
      <c r="B139" s="6" t="s">
        <v>189</v>
      </c>
      <c r="C139" s="6" t="s">
        <v>161</v>
      </c>
      <c r="D139" s="6" t="s">
        <v>187</v>
      </c>
      <c r="E139" s="7" t="s">
        <v>188</v>
      </c>
      <c r="F139" s="8">
        <v>239</v>
      </c>
      <c r="G139" s="8">
        <v>454</v>
      </c>
      <c r="H139" s="9">
        <f>(F139+G139)*(1+0.3+0.466*2)+311</f>
        <v>1857.7760000000001</v>
      </c>
      <c r="I139" s="14">
        <f>1+0.613+0.2</f>
        <v>1.8129999999999999</v>
      </c>
      <c r="J139" s="14">
        <f>0.358+0.222</f>
        <v>0.57999999999999996</v>
      </c>
      <c r="K139" s="12">
        <v>0</v>
      </c>
      <c r="L139" s="12">
        <v>0</v>
      </c>
      <c r="M139" s="13" t="s">
        <v>44</v>
      </c>
      <c r="N139" s="13" t="s">
        <v>44</v>
      </c>
      <c r="O139" s="12">
        <v>0</v>
      </c>
      <c r="P139" s="8">
        <f>0.5</f>
        <v>0.5</v>
      </c>
      <c r="Q139" s="8">
        <v>0.9</v>
      </c>
      <c r="R139" s="12">
        <v>0</v>
      </c>
      <c r="S139" s="6" t="s">
        <v>101</v>
      </c>
      <c r="T139" s="9">
        <f>(3389+452.16%*H139)*(1+J139)</f>
        <v>18626.809539328002</v>
      </c>
    </row>
    <row r="140" spans="1:20" x14ac:dyDescent="0.25">
      <c r="A140" s="6" t="s">
        <v>185</v>
      </c>
      <c r="B140" s="6" t="s">
        <v>96</v>
      </c>
      <c r="C140" s="6" t="s">
        <v>161</v>
      </c>
      <c r="D140" s="6" t="s">
        <v>190</v>
      </c>
      <c r="E140" s="7" t="s">
        <v>188</v>
      </c>
      <c r="F140" s="8">
        <v>239</v>
      </c>
      <c r="G140" s="8">
        <v>674</v>
      </c>
      <c r="H140" s="9">
        <f>(F140+G140)*(1+0.3+0.466+0.2)+311</f>
        <v>2105.9580000000001</v>
      </c>
      <c r="I140" s="14">
        <f>1+0.518+0.2</f>
        <v>1.718</v>
      </c>
      <c r="J140" s="14">
        <f>0.358+0.222</f>
        <v>0.57999999999999996</v>
      </c>
      <c r="K140" s="12">
        <v>0</v>
      </c>
      <c r="L140" s="12">
        <v>0</v>
      </c>
      <c r="M140" s="13" t="s">
        <v>44</v>
      </c>
      <c r="N140" s="13" t="s">
        <v>44</v>
      </c>
      <c r="O140" s="12">
        <v>0</v>
      </c>
      <c r="P140" s="8">
        <f>0.5</f>
        <v>0.5</v>
      </c>
      <c r="Q140" s="8">
        <v>0.9</v>
      </c>
      <c r="R140" s="12">
        <v>0</v>
      </c>
      <c r="S140" s="6" t="s">
        <v>101</v>
      </c>
      <c r="T140" s="9">
        <f>(3389+452.16%*H140)*(1+J140)</f>
        <v>20399.853514624003</v>
      </c>
    </row>
    <row r="142" spans="1:20" x14ac:dyDescent="0.25">
      <c r="A142" s="6" t="s">
        <v>9</v>
      </c>
      <c r="B142" s="6" t="s">
        <v>10</v>
      </c>
      <c r="C142" s="6" t="s">
        <v>11</v>
      </c>
      <c r="D142" s="6" t="s">
        <v>12</v>
      </c>
      <c r="E142" s="7" t="s">
        <v>13</v>
      </c>
      <c r="F142" s="8" t="s">
        <v>14</v>
      </c>
      <c r="G142" s="8" t="s">
        <v>15</v>
      </c>
      <c r="H142" s="9" t="s">
        <v>16</v>
      </c>
      <c r="I142" s="10" t="s">
        <v>18</v>
      </c>
      <c r="J142" s="14"/>
      <c r="K142" s="12" t="s">
        <v>19</v>
      </c>
      <c r="L142" s="12" t="s">
        <v>20</v>
      </c>
      <c r="M142" s="13" t="s">
        <v>21</v>
      </c>
      <c r="N142" s="13" t="s">
        <v>22</v>
      </c>
      <c r="O142" s="12" t="s">
        <v>23</v>
      </c>
      <c r="P142" s="8" t="s">
        <v>24</v>
      </c>
      <c r="Q142" s="8" t="s">
        <v>25</v>
      </c>
      <c r="R142" s="12" t="s">
        <v>26</v>
      </c>
      <c r="S142" s="6" t="s">
        <v>27</v>
      </c>
      <c r="T142" s="9" t="s">
        <v>28</v>
      </c>
    </row>
    <row r="143" spans="1:20" x14ac:dyDescent="0.25">
      <c r="A143" s="6" t="s">
        <v>191</v>
      </c>
      <c r="B143" s="6" t="s">
        <v>192</v>
      </c>
      <c r="C143" s="6" t="s">
        <v>161</v>
      </c>
      <c r="D143" s="6" t="s">
        <v>184</v>
      </c>
      <c r="E143" s="7" t="s">
        <v>173</v>
      </c>
      <c r="F143" s="8">
        <v>170</v>
      </c>
      <c r="G143" s="8">
        <v>454</v>
      </c>
      <c r="H143" s="9">
        <f>(F143+G143)*(1+0.2)+311</f>
        <v>1059.8</v>
      </c>
      <c r="I143" s="10">
        <f>187*2+160+221</f>
        <v>755</v>
      </c>
      <c r="J143" s="14"/>
      <c r="K143" s="12">
        <v>0</v>
      </c>
      <c r="L143" s="12">
        <v>0</v>
      </c>
      <c r="M143" s="13" t="s">
        <v>44</v>
      </c>
      <c r="N143" s="13" t="s">
        <v>44</v>
      </c>
      <c r="O143" s="12">
        <v>0</v>
      </c>
      <c r="P143" s="8">
        <f>0.5</f>
        <v>0.5</v>
      </c>
      <c r="Q143" s="8">
        <v>1.1499999999999999</v>
      </c>
      <c r="R143" s="12">
        <v>0</v>
      </c>
      <c r="S143" s="6" t="s">
        <v>174</v>
      </c>
      <c r="T143" s="9">
        <f>868*Q143*(1+0.6+(16*I143)/(I143+2000))</f>
        <v>5973.9824319419231</v>
      </c>
    </row>
    <row r="144" spans="1:20" x14ac:dyDescent="0.25">
      <c r="A144" s="6" t="s">
        <v>191</v>
      </c>
      <c r="B144" s="6" t="s">
        <v>135</v>
      </c>
      <c r="C144" s="6" t="s">
        <v>161</v>
      </c>
      <c r="D144" s="6" t="s">
        <v>184</v>
      </c>
      <c r="E144" s="7" t="s">
        <v>173</v>
      </c>
      <c r="F144" s="8">
        <v>170</v>
      </c>
      <c r="G144" s="8">
        <v>510</v>
      </c>
      <c r="H144" s="9">
        <f>(F144+G144)*(1+0.2)+311</f>
        <v>1127</v>
      </c>
      <c r="I144" s="10">
        <f>187*2+160</f>
        <v>534</v>
      </c>
      <c r="J144" s="14"/>
      <c r="K144" s="12">
        <v>0</v>
      </c>
      <c r="L144" s="12">
        <v>0</v>
      </c>
      <c r="M144" s="13" t="s">
        <v>44</v>
      </c>
      <c r="N144" s="13" t="s">
        <v>44</v>
      </c>
      <c r="O144" s="12">
        <v>0</v>
      </c>
      <c r="P144" s="8">
        <f>0.5</f>
        <v>0.5</v>
      </c>
      <c r="Q144" s="8">
        <v>1.1499999999999999</v>
      </c>
      <c r="R144" s="12">
        <v>0</v>
      </c>
      <c r="S144" s="6" t="s">
        <v>174</v>
      </c>
      <c r="T144" s="9">
        <f>868*Q144*(1+0.6+(16*I144)/(I144+2000))</f>
        <v>4962.7951381215471</v>
      </c>
    </row>
    <row r="145" spans="1:22" x14ac:dyDescent="0.25">
      <c r="A145" s="6" t="s">
        <v>191</v>
      </c>
      <c r="B145" s="6" t="s">
        <v>136</v>
      </c>
      <c r="C145" s="6" t="s">
        <v>161</v>
      </c>
      <c r="D145" s="6" t="s">
        <v>184</v>
      </c>
      <c r="E145" s="7" t="s">
        <v>173</v>
      </c>
      <c r="F145" s="8">
        <v>170</v>
      </c>
      <c r="G145" s="8">
        <v>401</v>
      </c>
      <c r="H145" s="9">
        <f>(F145+G145)*(1+0.2)+311</f>
        <v>996.19999999999993</v>
      </c>
      <c r="I145" s="10">
        <f>187*2+160</f>
        <v>534</v>
      </c>
      <c r="J145" s="14"/>
      <c r="K145" s="12">
        <v>0</v>
      </c>
      <c r="L145" s="12">
        <v>0</v>
      </c>
      <c r="M145" s="13" t="s">
        <v>44</v>
      </c>
      <c r="N145" s="13" t="s">
        <v>44</v>
      </c>
      <c r="O145" s="12">
        <v>0</v>
      </c>
      <c r="P145" s="8">
        <f>0.5</f>
        <v>0.5</v>
      </c>
      <c r="Q145" s="8">
        <v>1.1499999999999999</v>
      </c>
      <c r="R145" s="12">
        <v>0</v>
      </c>
      <c r="S145" s="6" t="s">
        <v>174</v>
      </c>
      <c r="T145" s="9">
        <f>868*Q145*(1+0.6+(16*I145)/(I145+2000))</f>
        <v>4962.7951381215471</v>
      </c>
    </row>
    <row r="146" spans="1:22" x14ac:dyDescent="0.25">
      <c r="J146" s="14"/>
    </row>
    <row r="147" spans="1:22" x14ac:dyDescent="0.25">
      <c r="A147" s="6" t="s">
        <v>9</v>
      </c>
      <c r="B147" s="6" t="s">
        <v>10</v>
      </c>
      <c r="C147" s="6" t="s">
        <v>11</v>
      </c>
      <c r="D147" s="6" t="s">
        <v>12</v>
      </c>
      <c r="E147" s="7" t="s">
        <v>13</v>
      </c>
      <c r="F147" s="8" t="s">
        <v>14</v>
      </c>
      <c r="G147" s="8" t="s">
        <v>15</v>
      </c>
      <c r="H147" s="9" t="s">
        <v>16</v>
      </c>
      <c r="I147" s="10" t="s">
        <v>18</v>
      </c>
      <c r="J147" s="14"/>
      <c r="K147" s="12" t="s">
        <v>19</v>
      </c>
      <c r="L147" s="12" t="s">
        <v>20</v>
      </c>
      <c r="M147" s="13" t="s">
        <v>21</v>
      </c>
      <c r="N147" s="13" t="s">
        <v>22</v>
      </c>
      <c r="O147" s="12" t="s">
        <v>23</v>
      </c>
      <c r="P147" s="8" t="s">
        <v>24</v>
      </c>
      <c r="Q147" s="8" t="s">
        <v>25</v>
      </c>
      <c r="R147" s="12" t="s">
        <v>26</v>
      </c>
      <c r="S147" s="6" t="s">
        <v>27</v>
      </c>
      <c r="T147" s="9" t="s">
        <v>28</v>
      </c>
    </row>
    <row r="148" spans="1:22" x14ac:dyDescent="0.25">
      <c r="A148" s="6" t="s">
        <v>193</v>
      </c>
      <c r="B148" s="6" t="s">
        <v>189</v>
      </c>
      <c r="C148" s="6" t="s">
        <v>161</v>
      </c>
      <c r="D148" s="6" t="s">
        <v>172</v>
      </c>
      <c r="E148" s="17" t="s">
        <v>173</v>
      </c>
      <c r="F148" s="8">
        <v>212</v>
      </c>
      <c r="G148" s="8">
        <v>454</v>
      </c>
      <c r="H148" s="9">
        <f>(F148+G148)*(1+0.2+0.24)+311</f>
        <v>1270.04</v>
      </c>
      <c r="I148" s="10">
        <f>187*3+160</f>
        <v>721</v>
      </c>
      <c r="J148" s="14"/>
      <c r="K148" s="12">
        <v>0</v>
      </c>
      <c r="L148" s="12">
        <v>0</v>
      </c>
      <c r="M148" s="13" t="s">
        <v>44</v>
      </c>
      <c r="N148" s="13" t="s">
        <v>44</v>
      </c>
      <c r="O148" s="12">
        <v>0</v>
      </c>
      <c r="P148" s="8">
        <f>0.5</f>
        <v>0.5</v>
      </c>
      <c r="Q148" s="8">
        <v>1.1499999999999999</v>
      </c>
      <c r="R148" s="12">
        <v>0</v>
      </c>
      <c r="S148" s="6" t="s">
        <v>174</v>
      </c>
      <c r="T148" s="9">
        <f>868*Q148*(1+0.6+(16*I148)/(I148+2000))</f>
        <v>5829.1064755604548</v>
      </c>
    </row>
    <row r="149" spans="1:22" x14ac:dyDescent="0.25">
      <c r="E149" s="17"/>
      <c r="J149" s="14"/>
    </row>
    <row r="150" spans="1:22" x14ac:dyDescent="0.25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</row>
    <row r="151" spans="1:22" x14ac:dyDescent="0.25">
      <c r="A151" s="6" t="s">
        <v>9</v>
      </c>
      <c r="B151" s="6" t="s">
        <v>10</v>
      </c>
      <c r="C151" s="6" t="s">
        <v>11</v>
      </c>
      <c r="D151" s="6" t="s">
        <v>12</v>
      </c>
      <c r="E151" s="7" t="s">
        <v>13</v>
      </c>
      <c r="F151" s="8" t="s">
        <v>14</v>
      </c>
      <c r="G151" s="8" t="s">
        <v>15</v>
      </c>
      <c r="H151" s="9" t="s">
        <v>16</v>
      </c>
      <c r="I151" s="10" t="s">
        <v>18</v>
      </c>
      <c r="J151" s="14" t="s">
        <v>38</v>
      </c>
      <c r="K151" s="12" t="s">
        <v>19</v>
      </c>
      <c r="L151" s="12" t="s">
        <v>20</v>
      </c>
      <c r="M151" s="13" t="s">
        <v>21</v>
      </c>
      <c r="N151" s="13" t="s">
        <v>22</v>
      </c>
      <c r="O151" s="12" t="s">
        <v>23</v>
      </c>
      <c r="P151" s="8" t="s">
        <v>24</v>
      </c>
      <c r="Q151" s="8" t="s">
        <v>25</v>
      </c>
      <c r="R151" s="12" t="s">
        <v>26</v>
      </c>
      <c r="S151" s="6" t="s">
        <v>27</v>
      </c>
      <c r="T151" s="9" t="s">
        <v>28</v>
      </c>
      <c r="U151" s="25" t="s">
        <v>18</v>
      </c>
      <c r="V151" s="26" t="s">
        <v>194</v>
      </c>
    </row>
    <row r="152" spans="1:22" x14ac:dyDescent="0.25">
      <c r="A152" s="11" t="s">
        <v>195</v>
      </c>
      <c r="B152" s="11" t="s">
        <v>196</v>
      </c>
      <c r="C152" s="11" t="s">
        <v>197</v>
      </c>
      <c r="D152" s="6" t="s">
        <v>198</v>
      </c>
      <c r="E152" s="17" t="s">
        <v>143</v>
      </c>
      <c r="F152" s="8">
        <f t="shared" ref="F152:F157" si="21">318</f>
        <v>318</v>
      </c>
      <c r="G152" s="8">
        <v>542</v>
      </c>
      <c r="H152" s="9">
        <f>(F152+G152)*(1)+311+52%*I152</f>
        <v>1351.44</v>
      </c>
      <c r="I152" s="10">
        <f t="shared" ref="I152:I154" si="22">80+187+80</f>
        <v>347</v>
      </c>
      <c r="J152" s="13">
        <f t="shared" ref="J152:J157" si="23">120%</f>
        <v>1.2</v>
      </c>
      <c r="K152" s="12">
        <v>0.441</v>
      </c>
      <c r="L152" s="12">
        <v>0.38400000000000001</v>
      </c>
      <c r="M152" s="13">
        <f>60.25%+K152/2+L152/4-11.9%</f>
        <v>0.8</v>
      </c>
      <c r="N152" s="13">
        <f>60.25%*2+K152+L152/2+11.9%*2</f>
        <v>2.0760000000000001</v>
      </c>
      <c r="O152" s="12">
        <f t="shared" ref="O152:O154" si="24">0.466+0.35</f>
        <v>0.81600000000000006</v>
      </c>
      <c r="P152" s="8">
        <v>0.5</v>
      </c>
      <c r="Q152" s="8">
        <v>0.9</v>
      </c>
      <c r="R152" s="12">
        <v>2.6656</v>
      </c>
      <c r="S152" s="11" t="s">
        <v>199</v>
      </c>
      <c r="T152" s="9">
        <f t="shared" ref="T152:T154" si="25">(V152*R152+1.15*1446.85*(1+(5*(U152))/(1200+U152)))*(1+O152)*(1+N152)*P152*Q152</f>
        <v>24368.115937141021</v>
      </c>
      <c r="U152" s="25">
        <f t="shared" ref="U152:U154" si="26">I152+100+100</f>
        <v>547</v>
      </c>
      <c r="V152" s="24">
        <f>(F152+G152)*(1+0.14)+311+(52%+28%*3)*U152</f>
        <v>2035.3200000000002</v>
      </c>
    </row>
    <row r="153" spans="1:22" x14ac:dyDescent="0.25">
      <c r="A153" s="11" t="s">
        <v>195</v>
      </c>
      <c r="B153" s="11" t="s">
        <v>177</v>
      </c>
      <c r="C153" s="11" t="s">
        <v>197</v>
      </c>
      <c r="D153" s="6" t="s">
        <v>200</v>
      </c>
      <c r="E153" s="17" t="s">
        <v>143</v>
      </c>
      <c r="F153" s="8">
        <f t="shared" si="21"/>
        <v>318</v>
      </c>
      <c r="G153" s="8">
        <v>674</v>
      </c>
      <c r="H153" s="9">
        <f>(F153+G153)*(1+0.466)+311</f>
        <v>1765.2719999999999</v>
      </c>
      <c r="I153" s="10">
        <f>80+80</f>
        <v>160</v>
      </c>
      <c r="J153" s="13">
        <f t="shared" si="23"/>
        <v>1.2</v>
      </c>
      <c r="K153" s="12">
        <v>0.221</v>
      </c>
      <c r="L153" s="12">
        <v>0.38400000000000001</v>
      </c>
      <c r="M153" s="13">
        <f>60.25%+K153/2+L153/4-0.9%</f>
        <v>0.8</v>
      </c>
      <c r="N153" s="13">
        <f>60.25%*2+K153+L153/2+0.9%*2</f>
        <v>1.6360000000000001</v>
      </c>
      <c r="O153" s="12">
        <f>0.466+0.35+0.12</f>
        <v>0.93600000000000005</v>
      </c>
      <c r="P153" s="8">
        <v>0.5</v>
      </c>
      <c r="Q153" s="8">
        <v>0.9</v>
      </c>
      <c r="R153" s="12">
        <v>2.6656</v>
      </c>
      <c r="S153" s="11" t="s">
        <v>199</v>
      </c>
      <c r="T153" s="9">
        <f t="shared" si="25"/>
        <v>21246.514556260678</v>
      </c>
      <c r="U153" s="25">
        <f t="shared" si="26"/>
        <v>360</v>
      </c>
      <c r="V153" s="24">
        <f>(F153+G153)*(1+7*3.2%+0.466+0.14)+311</f>
        <v>2126.36</v>
      </c>
    </row>
    <row r="154" spans="1:22" x14ac:dyDescent="0.25">
      <c r="A154" s="11" t="s">
        <v>195</v>
      </c>
      <c r="B154" s="11" t="s">
        <v>181</v>
      </c>
      <c r="C154" s="11" t="s">
        <v>197</v>
      </c>
      <c r="D154" s="6" t="s">
        <v>198</v>
      </c>
      <c r="E154" s="17" t="s">
        <v>143</v>
      </c>
      <c r="F154" s="8">
        <f t="shared" si="21"/>
        <v>318</v>
      </c>
      <c r="G154" s="8">
        <v>454</v>
      </c>
      <c r="H154" s="9">
        <f>(F154+G154)*(1)+311</f>
        <v>1083</v>
      </c>
      <c r="I154" s="10">
        <f t="shared" si="22"/>
        <v>347</v>
      </c>
      <c r="J154" s="13">
        <f t="shared" si="23"/>
        <v>1.2</v>
      </c>
      <c r="K154" s="12">
        <v>0.36799999999999999</v>
      </c>
      <c r="L154" s="12">
        <v>0.38400000000000001</v>
      </c>
      <c r="M154" s="13">
        <f>60.25%+K154/2+L154/4-8.25%</f>
        <v>0.79999999999999993</v>
      </c>
      <c r="N154" s="13">
        <f>60.25%*2+K154+L154/2+8.25%*2</f>
        <v>1.93</v>
      </c>
      <c r="O154" s="12">
        <f t="shared" si="24"/>
        <v>0.81600000000000006</v>
      </c>
      <c r="P154" s="8">
        <v>0.5</v>
      </c>
      <c r="Q154" s="8">
        <v>0.9</v>
      </c>
      <c r="R154" s="12">
        <v>2.6656</v>
      </c>
      <c r="S154" s="11" t="s">
        <v>199</v>
      </c>
      <c r="T154" s="9">
        <f t="shared" si="25"/>
        <v>19596.963331743613</v>
      </c>
      <c r="U154" s="25">
        <f t="shared" si="26"/>
        <v>547</v>
      </c>
      <c r="V154" s="24">
        <f>(F154+G154)*(1+0.36+0.14)+311</f>
        <v>1469</v>
      </c>
    </row>
    <row r="155" spans="1:22" x14ac:dyDescent="0.25">
      <c r="A155" s="11" t="s">
        <v>195</v>
      </c>
      <c r="B155" s="11" t="s">
        <v>196</v>
      </c>
      <c r="C155" s="11" t="s">
        <v>201</v>
      </c>
      <c r="D155" s="6" t="s">
        <v>198</v>
      </c>
      <c r="E155" s="17" t="s">
        <v>143</v>
      </c>
      <c r="F155" s="8">
        <f t="shared" si="21"/>
        <v>318</v>
      </c>
      <c r="G155" s="8">
        <v>542</v>
      </c>
      <c r="H155" s="9">
        <f>(F155+G155)*(1)+311+52%*I155</f>
        <v>1309.8399999999999</v>
      </c>
      <c r="I155" s="10">
        <f>80+187</f>
        <v>267</v>
      </c>
      <c r="J155" s="13">
        <f t="shared" si="23"/>
        <v>1.2</v>
      </c>
      <c r="K155" s="12">
        <v>0.441</v>
      </c>
      <c r="L155" s="12">
        <v>0.38400000000000001</v>
      </c>
      <c r="M155" s="13">
        <f>60.25%+K155/2+L155/4-11.9%</f>
        <v>0.8</v>
      </c>
      <c r="N155" s="13">
        <f>60.25%*2+K155+L155/2+11.9%*2</f>
        <v>2.0760000000000001</v>
      </c>
      <c r="O155" s="12">
        <f>0.466+0.35+0.15</f>
        <v>0.96600000000000008</v>
      </c>
      <c r="P155" s="8">
        <v>0.5</v>
      </c>
      <c r="Q155" s="8">
        <v>0.9</v>
      </c>
      <c r="R155" s="12">
        <v>2.6656</v>
      </c>
      <c r="S155" s="11" t="s">
        <v>199</v>
      </c>
      <c r="T155" s="9">
        <f>(V155*R155+1.15*1446.85*(1.2+(5*(U155))/(1200+U155)))*(1+O155)*(1+N155)*P155*Q155</f>
        <v>22850.989775254271</v>
      </c>
      <c r="U155" s="25">
        <f>I155+100</f>
        <v>367</v>
      </c>
      <c r="V155" s="24">
        <f>(F155+G155)*(1)+311+(52%+28%*3)*U155</f>
        <v>1670.1200000000001</v>
      </c>
    </row>
    <row r="156" spans="1:22" x14ac:dyDescent="0.25">
      <c r="A156" s="11" t="s">
        <v>195</v>
      </c>
      <c r="B156" s="11" t="s">
        <v>177</v>
      </c>
      <c r="C156" s="11" t="s">
        <v>201</v>
      </c>
      <c r="D156" s="6" t="s">
        <v>198</v>
      </c>
      <c r="E156" s="17" t="s">
        <v>143</v>
      </c>
      <c r="F156" s="8">
        <f t="shared" si="21"/>
        <v>318</v>
      </c>
      <c r="G156" s="8">
        <v>674</v>
      </c>
      <c r="H156" s="9">
        <f>(F156+G156)*(1)+311</f>
        <v>1303</v>
      </c>
      <c r="I156" s="10">
        <f>80+187</f>
        <v>267</v>
      </c>
      <c r="J156" s="13">
        <f t="shared" si="23"/>
        <v>1.2</v>
      </c>
      <c r="K156" s="12">
        <v>0.221</v>
      </c>
      <c r="L156" s="12">
        <v>0.38400000000000001</v>
      </c>
      <c r="M156" s="13">
        <f>60.25%+K156/2+L156/4-0.9%</f>
        <v>0.8</v>
      </c>
      <c r="N156" s="13">
        <f>60.25%*2+K156+L156/2+0.9%*2</f>
        <v>1.6360000000000001</v>
      </c>
      <c r="O156" s="12">
        <f>0.466+0.35+0.12+0.15</f>
        <v>1.0860000000000001</v>
      </c>
      <c r="P156" s="8">
        <v>0.5</v>
      </c>
      <c r="Q156" s="8">
        <v>0.9</v>
      </c>
      <c r="R156" s="12">
        <v>2.6656</v>
      </c>
      <c r="S156" s="11" t="s">
        <v>199</v>
      </c>
      <c r="T156" s="9">
        <f>(V156*R156+1.15*1446.85*(1.2+(5*(U156))/(1200+U156)))*(1+O156)*(1+N156)*P156*Q156</f>
        <v>22870.817850891133</v>
      </c>
      <c r="U156" s="25">
        <f>I156+100</f>
        <v>367</v>
      </c>
      <c r="V156" s="24">
        <f>(F156+G156)*(1+7*3.2%+0.466)+311</f>
        <v>1987.48</v>
      </c>
    </row>
    <row r="157" spans="1:22" x14ac:dyDescent="0.25">
      <c r="A157" s="11" t="s">
        <v>195</v>
      </c>
      <c r="B157" s="11" t="s">
        <v>181</v>
      </c>
      <c r="C157" s="11" t="s">
        <v>201</v>
      </c>
      <c r="D157" s="6" t="s">
        <v>198</v>
      </c>
      <c r="E157" s="17" t="s">
        <v>143</v>
      </c>
      <c r="F157" s="8">
        <f t="shared" si="21"/>
        <v>318</v>
      </c>
      <c r="G157" s="8">
        <v>454</v>
      </c>
      <c r="H157" s="9">
        <f>(F157+G157)*(1)+311</f>
        <v>1083</v>
      </c>
      <c r="I157" s="10">
        <f>80+187</f>
        <v>267</v>
      </c>
      <c r="J157" s="13">
        <f t="shared" si="23"/>
        <v>1.2</v>
      </c>
      <c r="K157" s="12">
        <v>0.36799999999999999</v>
      </c>
      <c r="L157" s="12">
        <v>0.38400000000000001</v>
      </c>
      <c r="M157" s="13">
        <f>60.25%+K157/2+L157/4-8.25%</f>
        <v>0.79999999999999993</v>
      </c>
      <c r="N157" s="13">
        <f>60.25%*2+K157+L157/2+8.25%*2</f>
        <v>1.93</v>
      </c>
      <c r="O157" s="12">
        <f>0.466+0.35+0.15</f>
        <v>0.96600000000000008</v>
      </c>
      <c r="P157" s="8">
        <v>0.5</v>
      </c>
      <c r="Q157" s="8">
        <v>0.9</v>
      </c>
      <c r="R157" s="12">
        <v>2.6656</v>
      </c>
      <c r="S157" s="11" t="s">
        <v>199</v>
      </c>
      <c r="T157" s="9">
        <f>(V157*R157+1.15*1446.85*(1.2+(5*(U157))/(1200+U157)))*(1+O157)*(1+N157)*P157*Q157</f>
        <v>19629.908466322642</v>
      </c>
      <c r="U157" s="25">
        <f>I157+100</f>
        <v>367</v>
      </c>
      <c r="V157" s="24">
        <f>(F157+G157)*(1+0.36)+311</f>
        <v>1360.9199999999998</v>
      </c>
    </row>
    <row r="158" spans="1:2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2" s="4" customFormat="1" x14ac:dyDescent="0.25">
      <c r="A159" s="6" t="s">
        <v>9</v>
      </c>
      <c r="B159" s="6" t="s">
        <v>10</v>
      </c>
      <c r="C159" s="6" t="s">
        <v>11</v>
      </c>
      <c r="D159" s="6" t="s">
        <v>12</v>
      </c>
      <c r="E159" s="7" t="s">
        <v>13</v>
      </c>
      <c r="F159" s="8" t="s">
        <v>14</v>
      </c>
      <c r="G159" s="8" t="s">
        <v>15</v>
      </c>
      <c r="H159" s="9" t="s">
        <v>16</v>
      </c>
      <c r="I159" s="10" t="s">
        <v>38</v>
      </c>
      <c r="J159" s="14" t="s">
        <v>98</v>
      </c>
      <c r="K159" s="12" t="s">
        <v>19</v>
      </c>
      <c r="L159" s="12" t="s">
        <v>20</v>
      </c>
      <c r="M159" s="13" t="s">
        <v>21</v>
      </c>
      <c r="N159" s="13" t="s">
        <v>22</v>
      </c>
      <c r="O159" s="12" t="s">
        <v>23</v>
      </c>
      <c r="P159" s="8" t="s">
        <v>24</v>
      </c>
      <c r="Q159" s="8" t="s">
        <v>25</v>
      </c>
      <c r="R159" s="12" t="s">
        <v>26</v>
      </c>
      <c r="S159" s="6" t="s">
        <v>27</v>
      </c>
      <c r="T159" s="9" t="s">
        <v>28</v>
      </c>
    </row>
    <row r="160" spans="1:22" s="4" customFormat="1" x14ac:dyDescent="0.25">
      <c r="A160" s="11" t="s">
        <v>202</v>
      </c>
      <c r="B160" s="11" t="s">
        <v>169</v>
      </c>
      <c r="C160" s="11" t="s">
        <v>131</v>
      </c>
      <c r="D160" s="11" t="s">
        <v>137</v>
      </c>
      <c r="E160" s="17" t="s">
        <v>203</v>
      </c>
      <c r="F160" s="8">
        <v>223</v>
      </c>
      <c r="G160" s="8">
        <v>454</v>
      </c>
      <c r="H160" s="9">
        <f>(F160+G160)*(1)+311</f>
        <v>988</v>
      </c>
      <c r="I160" s="19">
        <f>1+0.613+0.2</f>
        <v>1.8129999999999999</v>
      </c>
      <c r="J160" s="10">
        <f>12397*(1+0.24+0.466*2+0.05*12)+4780</f>
        <v>39144.484000000004</v>
      </c>
      <c r="K160" s="12">
        <v>0</v>
      </c>
      <c r="L160" s="12">
        <v>0</v>
      </c>
      <c r="M160" s="14" t="s">
        <v>44</v>
      </c>
      <c r="N160" s="14" t="s">
        <v>44</v>
      </c>
      <c r="O160" s="12">
        <v>0</v>
      </c>
      <c r="P160" s="8">
        <v>0.5</v>
      </c>
      <c r="Q160" s="8">
        <v>0.9</v>
      </c>
      <c r="R160" s="12">
        <v>0.13339999999999999</v>
      </c>
      <c r="S160" s="11" t="s">
        <v>204</v>
      </c>
      <c r="T160" s="9">
        <f>(R160*J160+1642.54)*(1+0.358+0.15)</f>
        <v>10351.536561724801</v>
      </c>
    </row>
    <row r="161" spans="1:21" s="4" customFormat="1" x14ac:dyDescent="0.25">
      <c r="A161" s="11" t="s">
        <v>202</v>
      </c>
      <c r="B161" s="11" t="s">
        <v>205</v>
      </c>
      <c r="C161" s="11" t="s">
        <v>131</v>
      </c>
      <c r="D161" s="11" t="s">
        <v>100</v>
      </c>
      <c r="E161" s="17" t="s">
        <v>203</v>
      </c>
      <c r="F161" s="8">
        <v>223</v>
      </c>
      <c r="G161" s="8">
        <f>510</f>
        <v>510</v>
      </c>
      <c r="H161" s="9">
        <f>(F161+G161)*(1)+311</f>
        <v>1044</v>
      </c>
      <c r="I161" s="19">
        <f>1+0.518+0.2</f>
        <v>1.718</v>
      </c>
      <c r="J161" s="10">
        <f>12397*(1+0.24+0.466*1+0.05*12+0.413)+4780</f>
        <v>38487.442999999999</v>
      </c>
      <c r="K161" s="12">
        <v>0</v>
      </c>
      <c r="L161" s="12">
        <v>0</v>
      </c>
      <c r="M161" s="14" t="s">
        <v>44</v>
      </c>
      <c r="N161" s="14" t="s">
        <v>44</v>
      </c>
      <c r="O161" s="12">
        <v>0</v>
      </c>
      <c r="P161" s="8">
        <v>0.5</v>
      </c>
      <c r="Q161" s="8">
        <v>0.9</v>
      </c>
      <c r="R161" s="12">
        <v>0.13339999999999999</v>
      </c>
      <c r="S161" s="11" t="s">
        <v>204</v>
      </c>
      <c r="T161" s="9">
        <f>(R161*J161+1642.54)*(1+0.358+0.15)</f>
        <v>10219.361463469599</v>
      </c>
    </row>
    <row r="162" spans="1:21" s="4" customFormat="1" x14ac:dyDescent="0.25">
      <c r="A162" s="11" t="s">
        <v>202</v>
      </c>
      <c r="B162" s="11" t="s">
        <v>75</v>
      </c>
      <c r="C162" s="11" t="s">
        <v>131</v>
      </c>
      <c r="D162" s="11" t="s">
        <v>137</v>
      </c>
      <c r="E162" s="17" t="s">
        <v>203</v>
      </c>
      <c r="F162" s="8">
        <v>223</v>
      </c>
      <c r="G162" s="8">
        <v>565</v>
      </c>
      <c r="H162" s="9">
        <f>(F162+G162)*(1)+311</f>
        <v>1099</v>
      </c>
      <c r="I162" s="19">
        <f>1+0.306+0.2</f>
        <v>1.506</v>
      </c>
      <c r="J162" s="10">
        <f>12397*(1+0.24+0.466*2+0.05*12)+4780</f>
        <v>39144.484000000004</v>
      </c>
      <c r="K162" s="12">
        <v>0</v>
      </c>
      <c r="L162" s="12">
        <v>0</v>
      </c>
      <c r="M162" s="14" t="s">
        <v>44</v>
      </c>
      <c r="N162" s="14" t="s">
        <v>44</v>
      </c>
      <c r="O162" s="12">
        <v>0</v>
      </c>
      <c r="P162" s="8">
        <v>0.5</v>
      </c>
      <c r="Q162" s="8">
        <v>0.9</v>
      </c>
      <c r="R162" s="12">
        <v>0.13339999999999999</v>
      </c>
      <c r="S162" s="11" t="s">
        <v>204</v>
      </c>
      <c r="T162" s="9">
        <f>(R162*J162+1642.54)*(1+0.358+0.15)</f>
        <v>10351.536561724801</v>
      </c>
    </row>
    <row r="163" spans="1:21" s="4" customFormat="1" x14ac:dyDescent="0.25">
      <c r="A163" s="11"/>
      <c r="B163" s="11"/>
      <c r="C163" s="11"/>
      <c r="D163" s="11"/>
      <c r="E163" s="17"/>
      <c r="F163" s="8"/>
      <c r="G163" s="8"/>
      <c r="H163" s="9"/>
      <c r="I163" s="10"/>
      <c r="J163" s="10"/>
      <c r="K163" s="12"/>
      <c r="L163" s="12"/>
      <c r="M163" s="14"/>
      <c r="N163" s="14"/>
      <c r="O163" s="12"/>
      <c r="P163" s="8"/>
      <c r="Q163" s="8"/>
      <c r="R163" s="12"/>
      <c r="S163" s="11"/>
      <c r="T163" s="9"/>
    </row>
    <row r="164" spans="1:21" s="4" customFormat="1" x14ac:dyDescent="0.25">
      <c r="A164" s="6" t="s">
        <v>9</v>
      </c>
      <c r="B164" s="6" t="s">
        <v>10</v>
      </c>
      <c r="C164" s="6" t="s">
        <v>11</v>
      </c>
      <c r="D164" s="6" t="s">
        <v>12</v>
      </c>
      <c r="E164" s="7" t="s">
        <v>13</v>
      </c>
      <c r="F164" s="8" t="s">
        <v>14</v>
      </c>
      <c r="G164" s="8" t="s">
        <v>15</v>
      </c>
      <c r="H164" s="9" t="s">
        <v>16</v>
      </c>
      <c r="I164" s="10" t="s">
        <v>18</v>
      </c>
      <c r="J164" s="14" t="s">
        <v>98</v>
      </c>
      <c r="K164" s="12" t="s">
        <v>19</v>
      </c>
      <c r="L164" s="12" t="s">
        <v>20</v>
      </c>
      <c r="M164" s="13" t="s">
        <v>21</v>
      </c>
      <c r="N164" s="13" t="s">
        <v>22</v>
      </c>
      <c r="O164" s="12" t="s">
        <v>23</v>
      </c>
      <c r="P164" s="8" t="s">
        <v>24</v>
      </c>
      <c r="Q164" s="8" t="s">
        <v>25</v>
      </c>
      <c r="R164" s="12" t="s">
        <v>26</v>
      </c>
      <c r="S164" s="6" t="s">
        <v>27</v>
      </c>
      <c r="T164" s="9" t="s">
        <v>28</v>
      </c>
    </row>
    <row r="165" spans="1:21" s="4" customFormat="1" x14ac:dyDescent="0.25">
      <c r="A165" s="11" t="s">
        <v>206</v>
      </c>
      <c r="B165" s="11" t="s">
        <v>207</v>
      </c>
      <c r="C165" s="11" t="s">
        <v>76</v>
      </c>
      <c r="D165" s="11" t="s">
        <v>137</v>
      </c>
      <c r="E165" s="17" t="s">
        <v>208</v>
      </c>
      <c r="F165" s="8">
        <v>212</v>
      </c>
      <c r="G165" s="8">
        <v>565</v>
      </c>
      <c r="H165" s="9">
        <f>(F165+G165)*(1+0.15)+311</f>
        <v>1204.55</v>
      </c>
      <c r="I165" s="10">
        <f>20*8</f>
        <v>160</v>
      </c>
      <c r="J165" s="10">
        <f>12289*(1+0.24+0.2+0.466*2+0.05*12)+4780</f>
        <v>41302.908000000003</v>
      </c>
      <c r="K165" s="12">
        <v>0</v>
      </c>
      <c r="L165" s="12">
        <v>0</v>
      </c>
      <c r="M165" s="14" t="s">
        <v>44</v>
      </c>
      <c r="N165" s="14" t="s">
        <v>44</v>
      </c>
      <c r="O165" s="12">
        <v>0</v>
      </c>
      <c r="P165" s="8">
        <v>0.5</v>
      </c>
      <c r="Q165" s="8">
        <v>0.9</v>
      </c>
      <c r="R165" s="12">
        <v>0.06</v>
      </c>
      <c r="S165" s="11" t="s">
        <v>209</v>
      </c>
      <c r="T165" s="9">
        <f>(R165*J165+I165*0.75+739)*(1+0.358+0.15)</f>
        <v>5032.4591158399999</v>
      </c>
    </row>
    <row r="166" spans="1:21" s="4" customFormat="1" x14ac:dyDescent="0.25">
      <c r="A166" s="11" t="s">
        <v>206</v>
      </c>
      <c r="B166" s="11" t="s">
        <v>189</v>
      </c>
      <c r="C166" s="11" t="s">
        <v>76</v>
      </c>
      <c r="D166" s="11" t="s">
        <v>137</v>
      </c>
      <c r="E166" s="17" t="s">
        <v>208</v>
      </c>
      <c r="F166" s="8">
        <v>212</v>
      </c>
      <c r="G166" s="8">
        <v>454</v>
      </c>
      <c r="H166" s="9">
        <f>(F166+G166)*(1+0.15)+311</f>
        <v>1076.9000000000001</v>
      </c>
      <c r="I166" s="10">
        <f>20*8</f>
        <v>160</v>
      </c>
      <c r="J166" s="10">
        <f>12289*(1+0.24+0.2+0.466*2+0.05*12)+4780</f>
        <v>41302.908000000003</v>
      </c>
      <c r="K166" s="12">
        <v>0</v>
      </c>
      <c r="L166" s="12">
        <v>0</v>
      </c>
      <c r="M166" s="14" t="s">
        <v>44</v>
      </c>
      <c r="N166" s="14" t="s">
        <v>44</v>
      </c>
      <c r="O166" s="12">
        <v>0</v>
      </c>
      <c r="P166" s="8">
        <v>0.5</v>
      </c>
      <c r="Q166" s="8">
        <v>0.9</v>
      </c>
      <c r="R166" s="12">
        <v>0.06</v>
      </c>
      <c r="S166" s="11" t="s">
        <v>209</v>
      </c>
      <c r="T166" s="9">
        <f>(R166*J166+I166*0.75+739)*(1+0.358+0.15)</f>
        <v>5032.4591158399999</v>
      </c>
    </row>
    <row r="167" spans="1:21" s="4" customFormat="1" x14ac:dyDescent="0.25">
      <c r="A167" s="11" t="s">
        <v>206</v>
      </c>
      <c r="B167" s="11" t="s">
        <v>189</v>
      </c>
      <c r="C167" s="11" t="s">
        <v>197</v>
      </c>
      <c r="D167" s="11" t="s">
        <v>210</v>
      </c>
      <c r="E167" s="17" t="s">
        <v>208</v>
      </c>
      <c r="F167" s="8">
        <v>212</v>
      </c>
      <c r="G167" s="8">
        <v>454</v>
      </c>
      <c r="H167" s="9">
        <f>(F167+G167)*(1+0.15)+311</f>
        <v>1076.9000000000001</v>
      </c>
      <c r="I167" s="10">
        <f>20*8+60+187*2</f>
        <v>594</v>
      </c>
      <c r="J167" s="10">
        <f>12289*(1+0.24+0.05*12)+4780</f>
        <v>27391.760000000002</v>
      </c>
      <c r="K167" s="12">
        <v>0</v>
      </c>
      <c r="L167" s="12">
        <v>0</v>
      </c>
      <c r="M167" s="14" t="s">
        <v>44</v>
      </c>
      <c r="N167" s="14" t="s">
        <v>44</v>
      </c>
      <c r="O167" s="12">
        <v>0</v>
      </c>
      <c r="P167" s="8">
        <v>0.5</v>
      </c>
      <c r="Q167" s="8">
        <v>0.9</v>
      </c>
      <c r="R167" s="12">
        <v>0.06</v>
      </c>
      <c r="S167" s="11" t="s">
        <v>209</v>
      </c>
      <c r="T167" s="9">
        <f>(R167*J167+(I167+100)*0.75+739)*(1+0.358+0.15)</f>
        <v>4377.7324447999999</v>
      </c>
    </row>
    <row r="168" spans="1:21" s="4" customFormat="1" x14ac:dyDescent="0.25">
      <c r="A168" s="11" t="s">
        <v>206</v>
      </c>
      <c r="B168" s="11" t="s">
        <v>175</v>
      </c>
      <c r="C168" s="11" t="s">
        <v>76</v>
      </c>
      <c r="D168" s="11" t="s">
        <v>137</v>
      </c>
      <c r="E168" s="17" t="s">
        <v>208</v>
      </c>
      <c r="F168" s="8">
        <v>212</v>
      </c>
      <c r="G168" s="8">
        <f>510</f>
        <v>510</v>
      </c>
      <c r="H168" s="9">
        <f>(F168+G168)*(1+0.15)+311</f>
        <v>1141.3</v>
      </c>
      <c r="I168" s="10">
        <f>20*8+165</f>
        <v>325</v>
      </c>
      <c r="J168" s="10">
        <f>12289*(1+0.24+0.2+0.466*2+0.05*12)+4780</f>
        <v>41302.908000000003</v>
      </c>
      <c r="K168" s="12">
        <v>0</v>
      </c>
      <c r="L168" s="12">
        <v>0</v>
      </c>
      <c r="M168" s="14" t="s">
        <v>44</v>
      </c>
      <c r="N168" s="14" t="s">
        <v>44</v>
      </c>
      <c r="O168" s="12">
        <v>0</v>
      </c>
      <c r="P168" s="8">
        <v>0.5</v>
      </c>
      <c r="Q168" s="8">
        <v>0.9</v>
      </c>
      <c r="R168" s="12">
        <v>0.06</v>
      </c>
      <c r="S168" s="11" t="s">
        <v>209</v>
      </c>
      <c r="T168" s="9">
        <f>(R168*J168+I168*0.75+739)*(1+0.358+0.15)</f>
        <v>5219.0741158400006</v>
      </c>
    </row>
    <row r="169" spans="1:21" s="4" customFormat="1" x14ac:dyDescent="0.25">
      <c r="A169" s="11"/>
      <c r="B169" s="11"/>
      <c r="C169" s="11"/>
      <c r="D169" s="11"/>
      <c r="E169" s="17"/>
      <c r="F169" s="8"/>
      <c r="G169" s="8"/>
      <c r="H169" s="9"/>
      <c r="I169" s="10"/>
      <c r="J169" s="10"/>
      <c r="K169" s="12"/>
      <c r="L169" s="12"/>
      <c r="M169" s="14"/>
      <c r="N169" s="14"/>
      <c r="O169" s="12"/>
      <c r="P169" s="8"/>
      <c r="Q169" s="8"/>
      <c r="R169" s="12"/>
      <c r="S169" s="11"/>
      <c r="T169" s="9"/>
    </row>
    <row r="170" spans="1:21" s="4" customFormat="1" x14ac:dyDescent="0.25">
      <c r="A170" s="6" t="s">
        <v>9</v>
      </c>
      <c r="B170" s="6" t="s">
        <v>10</v>
      </c>
      <c r="C170" s="6" t="s">
        <v>11</v>
      </c>
      <c r="D170" s="6" t="s">
        <v>12</v>
      </c>
      <c r="E170" s="7" t="s">
        <v>13</v>
      </c>
      <c r="F170" s="8" t="s">
        <v>14</v>
      </c>
      <c r="G170" s="8" t="s">
        <v>15</v>
      </c>
      <c r="H170" s="9" t="s">
        <v>16</v>
      </c>
      <c r="I170" s="10" t="s">
        <v>18</v>
      </c>
      <c r="J170" s="14"/>
      <c r="K170" s="12" t="s">
        <v>19</v>
      </c>
      <c r="L170" s="12" t="s">
        <v>20</v>
      </c>
      <c r="M170" s="13" t="s">
        <v>21</v>
      </c>
      <c r="N170" s="13" t="s">
        <v>22</v>
      </c>
      <c r="O170" s="12" t="s">
        <v>23</v>
      </c>
      <c r="P170" s="8" t="s">
        <v>24</v>
      </c>
      <c r="Q170" s="8" t="s">
        <v>25</v>
      </c>
      <c r="R170" s="12" t="s">
        <v>26</v>
      </c>
      <c r="S170" s="6" t="s">
        <v>27</v>
      </c>
      <c r="T170" s="9" t="s">
        <v>28</v>
      </c>
      <c r="U170" s="25" t="s">
        <v>18</v>
      </c>
    </row>
    <row r="171" spans="1:21" s="4" customFormat="1" x14ac:dyDescent="0.25">
      <c r="A171" s="11" t="s">
        <v>211</v>
      </c>
      <c r="B171" s="11" t="s">
        <v>212</v>
      </c>
      <c r="C171" s="11" t="s">
        <v>213</v>
      </c>
      <c r="D171" s="6" t="s">
        <v>200</v>
      </c>
      <c r="E171" s="17" t="s">
        <v>122</v>
      </c>
      <c r="F171" s="8">
        <f>340</f>
        <v>340</v>
      </c>
      <c r="G171" s="8">
        <f>608</f>
        <v>608</v>
      </c>
      <c r="H171" s="9">
        <f>(F171+G171)*(1+0.3+0.466+0.18)+311</f>
        <v>2155.808</v>
      </c>
      <c r="I171" s="10">
        <v>80</v>
      </c>
      <c r="J171" s="24">
        <f>(F171+G171)*(1+0.3+0.466+0.18)+311</f>
        <v>2155.808</v>
      </c>
      <c r="K171" s="12">
        <f>19.2%</f>
        <v>0.192</v>
      </c>
      <c r="L171" s="12">
        <f>66.2%</f>
        <v>0.66200000000000003</v>
      </c>
      <c r="M171" s="13">
        <f>60.25%+K171/2+L171/4-6.4%</f>
        <v>0.8</v>
      </c>
      <c r="N171" s="13">
        <f>60.25%*2+K171+L171/2+6.4%*2</f>
        <v>1.8559999999999999</v>
      </c>
      <c r="O171" s="12">
        <f>0.466+0.12+U171*0.15%+0.12*3+0.15</f>
        <v>1.216</v>
      </c>
      <c r="P171" s="8">
        <v>0.5</v>
      </c>
      <c r="Q171" s="8">
        <v>0.9</v>
      </c>
      <c r="R171" s="12">
        <v>1.7063999999999999</v>
      </c>
      <c r="S171" s="11" t="s">
        <v>214</v>
      </c>
      <c r="T171" s="9">
        <f>J171*R171*(1+O171)*(1+N171)*P171*Q171</f>
        <v>10476.866128124067</v>
      </c>
      <c r="U171" s="25">
        <f>80</f>
        <v>80</v>
      </c>
    </row>
    <row r="172" spans="1:21" s="4" customFormat="1" x14ac:dyDescent="0.25">
      <c r="A172" s="11" t="s">
        <v>211</v>
      </c>
      <c r="B172" s="11" t="s">
        <v>212</v>
      </c>
      <c r="C172" s="11" t="s">
        <v>197</v>
      </c>
      <c r="D172" s="6" t="s">
        <v>200</v>
      </c>
      <c r="E172" s="17" t="s">
        <v>122</v>
      </c>
      <c r="F172" s="8">
        <f>340</f>
        <v>340</v>
      </c>
      <c r="G172" s="8">
        <f>608</f>
        <v>608</v>
      </c>
      <c r="H172" s="9">
        <f>(F172+G172)*(1+0.3+0.466)+311</f>
        <v>1985.1680000000001</v>
      </c>
      <c r="I172" s="10">
        <v>160</v>
      </c>
      <c r="J172" s="24">
        <f>(F172+G172)*(1+0.3+0.466+0.14)+311</f>
        <v>2117.8879999999999</v>
      </c>
      <c r="K172" s="12">
        <f>19.2%</f>
        <v>0.192</v>
      </c>
      <c r="L172" s="12">
        <f>66.2%</f>
        <v>0.66200000000000003</v>
      </c>
      <c r="M172" s="13">
        <f>60.25%+K172/2+L172/4-6.4%</f>
        <v>0.8</v>
      </c>
      <c r="N172" s="13">
        <f>60.25%*2+K172+L172/2+6.4%*2</f>
        <v>1.8559999999999999</v>
      </c>
      <c r="O172" s="12">
        <f>0.466+0.12+U172*0.15%+0.12*3</f>
        <v>1.3360000000000001</v>
      </c>
      <c r="P172" s="8">
        <v>0.5</v>
      </c>
      <c r="Q172" s="8">
        <v>0.9</v>
      </c>
      <c r="R172" s="12">
        <v>1.7063999999999999</v>
      </c>
      <c r="S172" s="11" t="s">
        <v>214</v>
      </c>
      <c r="T172" s="9">
        <f>J172*R172*(1+O172)*(1+N172)*P172*Q172</f>
        <v>10849.941270406101</v>
      </c>
      <c r="U172" s="25">
        <f>80+80+100</f>
        <v>260</v>
      </c>
    </row>
    <row r="173" spans="1:21" s="4" customFormat="1" x14ac:dyDescent="0.25">
      <c r="A173" s="11" t="s">
        <v>211</v>
      </c>
      <c r="B173" s="11" t="s">
        <v>160</v>
      </c>
      <c r="C173" s="11" t="s">
        <v>213</v>
      </c>
      <c r="D173" s="6" t="s">
        <v>200</v>
      </c>
      <c r="E173" s="17" t="s">
        <v>122</v>
      </c>
      <c r="F173" s="8">
        <f>340</f>
        <v>340</v>
      </c>
      <c r="G173" s="8">
        <v>674</v>
      </c>
      <c r="H173" s="9">
        <f>(F173+G173)*(1+0.3+0.466+0.331+0.18)+311</f>
        <v>2619.8780000000002</v>
      </c>
      <c r="I173" s="10">
        <v>80</v>
      </c>
      <c r="J173" s="24">
        <f>(F173+G173)*(1+0.3+0.466+0.331+0.18)+311</f>
        <v>2619.8780000000002</v>
      </c>
      <c r="K173" s="12">
        <f>19.2%</f>
        <v>0.192</v>
      </c>
      <c r="L173" s="12">
        <f>0</f>
        <v>0</v>
      </c>
      <c r="M173" s="13">
        <f>60.25%+K173/2+L173/4</f>
        <v>0.69850000000000001</v>
      </c>
      <c r="N173" s="13">
        <f>60.25%*2+K173+L173/2</f>
        <v>1.397</v>
      </c>
      <c r="O173" s="12">
        <f>0.466+0.15+U173*0.15%</f>
        <v>0.73599999999999999</v>
      </c>
      <c r="P173" s="8">
        <v>0.5</v>
      </c>
      <c r="Q173" s="8">
        <v>0.9</v>
      </c>
      <c r="R173" s="12">
        <v>1.7063999999999999</v>
      </c>
      <c r="S173" s="11" t="s">
        <v>214</v>
      </c>
      <c r="T173" s="9">
        <f>J173*R173*(1+O173)*(1+N173)*P173*Q173</f>
        <v>8371.2859898294191</v>
      </c>
      <c r="U173" s="25">
        <f>80</f>
        <v>80</v>
      </c>
    </row>
    <row r="174" spans="1:21" s="4" customFormat="1" x14ac:dyDescent="0.25">
      <c r="A174" s="11" t="s">
        <v>211</v>
      </c>
      <c r="B174" s="11" t="s">
        <v>60</v>
      </c>
      <c r="C174" s="11" t="s">
        <v>213</v>
      </c>
      <c r="D174" s="6" t="s">
        <v>200</v>
      </c>
      <c r="E174" s="17" t="s">
        <v>122</v>
      </c>
      <c r="F174" s="8">
        <f>340</f>
        <v>340</v>
      </c>
      <c r="G174" s="8">
        <f>510</f>
        <v>510</v>
      </c>
      <c r="H174" s="9">
        <f>(F174+G174)*(1+0.3+0.466+0.18)+311</f>
        <v>1965.1</v>
      </c>
      <c r="I174" s="10">
        <v>80</v>
      </c>
      <c r="J174" s="24">
        <f>(F174+G174)*(1+0.3+0.466+1.2+0.18)+311</f>
        <v>2985.1000000000004</v>
      </c>
      <c r="K174" s="12">
        <f>19.2%</f>
        <v>0.192</v>
      </c>
      <c r="L174" s="12">
        <f>55.1%</f>
        <v>0.55100000000000005</v>
      </c>
      <c r="M174" s="13">
        <f>60.25%+K174/2+L174/4-3.63%</f>
        <v>0.79995000000000005</v>
      </c>
      <c r="N174" s="13">
        <f>60.25%*2+K174+L174/2+3.63%*2</f>
        <v>1.7451000000000001</v>
      </c>
      <c r="O174" s="12">
        <f>0.466+0.15+U174*0.15%</f>
        <v>0.73599999999999999</v>
      </c>
      <c r="P174" s="8">
        <v>0.5</v>
      </c>
      <c r="Q174" s="8">
        <v>0.9</v>
      </c>
      <c r="R174" s="12">
        <v>1.7063999999999999</v>
      </c>
      <c r="S174" s="11" t="s">
        <v>214</v>
      </c>
      <c r="T174" s="9">
        <f>J174*R174*(1+O174)*(1+N174)*P174*Q174</f>
        <v>10923.457701043038</v>
      </c>
      <c r="U174" s="25">
        <f>80</f>
        <v>80</v>
      </c>
    </row>
    <row r="175" spans="1:21" s="4" customFormat="1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1:21" x14ac:dyDescent="0.25">
      <c r="A176" s="6" t="s">
        <v>9</v>
      </c>
      <c r="B176" s="6" t="s">
        <v>10</v>
      </c>
      <c r="C176" s="6" t="s">
        <v>11</v>
      </c>
      <c r="D176" s="6" t="s">
        <v>12</v>
      </c>
      <c r="E176" s="7" t="s">
        <v>13</v>
      </c>
      <c r="F176" s="8" t="s">
        <v>14</v>
      </c>
      <c r="G176" s="8" t="s">
        <v>15</v>
      </c>
      <c r="H176" s="9" t="s">
        <v>16</v>
      </c>
      <c r="I176" s="10" t="s">
        <v>38</v>
      </c>
      <c r="J176" s="14"/>
      <c r="K176" s="12" t="s">
        <v>19</v>
      </c>
      <c r="L176" s="12" t="s">
        <v>20</v>
      </c>
      <c r="M176" s="13" t="s">
        <v>21</v>
      </c>
      <c r="N176" s="13" t="s">
        <v>22</v>
      </c>
      <c r="O176" s="12" t="s">
        <v>23</v>
      </c>
      <c r="P176" s="8" t="s">
        <v>24</v>
      </c>
      <c r="Q176" s="8" t="s">
        <v>25</v>
      </c>
      <c r="R176" s="12" t="s">
        <v>26</v>
      </c>
      <c r="S176" s="6" t="s">
        <v>27</v>
      </c>
      <c r="T176" s="9" t="s">
        <v>28</v>
      </c>
    </row>
    <row r="177" spans="1:20" x14ac:dyDescent="0.25">
      <c r="A177" s="6" t="s">
        <v>215</v>
      </c>
      <c r="B177" s="6" t="s">
        <v>88</v>
      </c>
      <c r="C177" s="6" t="s">
        <v>89</v>
      </c>
      <c r="D177" s="6" t="s">
        <v>216</v>
      </c>
      <c r="E177" s="7" t="s">
        <v>143</v>
      </c>
      <c r="F177" s="8">
        <v>337</v>
      </c>
      <c r="G177" s="8">
        <v>608</v>
      </c>
      <c r="H177" s="9">
        <f>(F177+G177)*(1+0.3+0.28*(I177-1))+311</f>
        <v>2012.8694000000003</v>
      </c>
      <c r="I177" s="14">
        <f>1+0.32+0.2+0.551+0.518+0.2</f>
        <v>2.7890000000000006</v>
      </c>
      <c r="K177" s="12">
        <v>0</v>
      </c>
      <c r="L177" s="12">
        <v>0</v>
      </c>
      <c r="M177" s="13">
        <f>60.25%+K177/2+L177/4</f>
        <v>0.60250000000000004</v>
      </c>
      <c r="N177" s="13">
        <f>60.25%*2+K177+L177/2</f>
        <v>1.2050000000000001</v>
      </c>
      <c r="O177" s="12">
        <f>0.466+0.75+0.4*(I177+0.3-1)+0.3%*90</f>
        <v>2.3216000000000001</v>
      </c>
      <c r="P177" s="8">
        <f>0.5</f>
        <v>0.5</v>
      </c>
      <c r="Q177" s="8">
        <v>0.9</v>
      </c>
      <c r="R177" s="12">
        <f>721.44%+60*7%</f>
        <v>11.414400000000001</v>
      </c>
      <c r="S177" s="6" t="s">
        <v>217</v>
      </c>
      <c r="T177" s="9">
        <f>((F177+G177)*(1+0.2+0.28*(I177-1+0.3))+311)*R177*(1+N177)*(1+O177)*P177*Q177</f>
        <v>75155.805873511577</v>
      </c>
    </row>
    <row r="178" spans="1:20" x14ac:dyDescent="0.25">
      <c r="A178" s="6" t="s">
        <v>215</v>
      </c>
      <c r="B178" s="6" t="s">
        <v>94</v>
      </c>
      <c r="C178" s="6" t="s">
        <v>89</v>
      </c>
      <c r="D178" s="6" t="s">
        <v>218</v>
      </c>
      <c r="E178" s="7" t="s">
        <v>143</v>
      </c>
      <c r="F178" s="8">
        <v>337</v>
      </c>
      <c r="G178" s="8">
        <v>510</v>
      </c>
      <c r="H178" s="9">
        <f>(F178+G178)*(1+0.3+0.466)+311</f>
        <v>1806.8019999999999</v>
      </c>
      <c r="I178" s="14">
        <f>1+0.32+0.2+0.459+0.518+0.2</f>
        <v>2.6970000000000001</v>
      </c>
      <c r="K178" s="12">
        <v>0.12</v>
      </c>
      <c r="L178" s="12">
        <v>0</v>
      </c>
      <c r="M178" s="13">
        <f>60.25%+K178/2+L178/4-12%</f>
        <v>0.54250000000000009</v>
      </c>
      <c r="N178" s="13">
        <f>60.25%*2+K178+L178/2</f>
        <v>1.3250000000000002</v>
      </c>
      <c r="O178" s="12">
        <f>0.25*(I178)+0.4*(I178-1)+0.3%*90+0.32</f>
        <v>1.9430500000000002</v>
      </c>
      <c r="P178" s="8">
        <v>0.5</v>
      </c>
      <c r="Q178" s="8">
        <v>0.9</v>
      </c>
      <c r="R178" s="12">
        <f>721.44%+60*7%</f>
        <v>11.414400000000001</v>
      </c>
      <c r="S178" s="6" t="s">
        <v>217</v>
      </c>
      <c r="T178" s="9">
        <f>H178*R178*(1+N178)*(1+O178)*P178*Q178</f>
        <v>63503.368345612056</v>
      </c>
    </row>
    <row r="179" spans="1:20" x14ac:dyDescent="0.25">
      <c r="I179" s="14"/>
    </row>
    <row r="180" spans="1:20" x14ac:dyDescent="0.25">
      <c r="A180" s="6" t="s">
        <v>9</v>
      </c>
      <c r="B180" s="6" t="s">
        <v>10</v>
      </c>
      <c r="C180" s="6" t="s">
        <v>11</v>
      </c>
      <c r="D180" s="6" t="s">
        <v>12</v>
      </c>
      <c r="E180" s="7" t="s">
        <v>13</v>
      </c>
      <c r="F180" s="8" t="s">
        <v>14</v>
      </c>
      <c r="G180" s="8" t="s">
        <v>15</v>
      </c>
      <c r="H180" s="9" t="s">
        <v>16</v>
      </c>
      <c r="I180" s="14" t="s">
        <v>38</v>
      </c>
      <c r="J180" s="14"/>
      <c r="K180" s="12" t="s">
        <v>19</v>
      </c>
      <c r="L180" s="12" t="s">
        <v>20</v>
      </c>
      <c r="M180" s="13" t="s">
        <v>21</v>
      </c>
      <c r="N180" s="13" t="s">
        <v>22</v>
      </c>
      <c r="O180" s="12" t="s">
        <v>23</v>
      </c>
      <c r="P180" s="8" t="s">
        <v>24</v>
      </c>
      <c r="Q180" s="8" t="s">
        <v>25</v>
      </c>
      <c r="R180" s="12" t="s">
        <v>26</v>
      </c>
      <c r="S180" s="6" t="s">
        <v>27</v>
      </c>
      <c r="T180" s="9" t="s">
        <v>28</v>
      </c>
    </row>
    <row r="181" spans="1:20" x14ac:dyDescent="0.25">
      <c r="A181" s="6" t="s">
        <v>219</v>
      </c>
      <c r="B181" s="6" t="s">
        <v>146</v>
      </c>
      <c r="C181" s="6" t="s">
        <v>89</v>
      </c>
      <c r="D181" s="6" t="s">
        <v>216</v>
      </c>
      <c r="E181" s="7" t="s">
        <v>220</v>
      </c>
      <c r="F181" s="8">
        <v>195</v>
      </c>
      <c r="G181" s="8">
        <v>674</v>
      </c>
      <c r="H181" s="9">
        <f>(G181+F181)*(1+0.3+0.24)+311</f>
        <v>1649.26</v>
      </c>
      <c r="I181" s="14">
        <f>1+0.2+0.518+0.2</f>
        <v>1.9179999999999999</v>
      </c>
      <c r="K181" s="12">
        <v>0.221</v>
      </c>
      <c r="L181" s="12">
        <v>0.2</v>
      </c>
      <c r="M181" s="13">
        <v>0.8</v>
      </c>
      <c r="N181" s="13">
        <f>60.25%*2+K181+L181/2-3.7%*2</f>
        <v>1.4520000000000002</v>
      </c>
      <c r="O181" s="12">
        <f>0.466+0.25*I181</f>
        <v>0.94550000000000001</v>
      </c>
      <c r="P181" s="8">
        <v>0.5</v>
      </c>
      <c r="Q181" s="8">
        <v>0.9</v>
      </c>
      <c r="R181" s="12">
        <v>8.1920000000000002</v>
      </c>
      <c r="S181" s="6" t="s">
        <v>221</v>
      </c>
      <c r="T181" s="9">
        <f>((1+0.2+0.24+0.9129)*(F181+G181)+311)*R181*(1+O181)*(1+N181+0.6)*P181*Q181</f>
        <v>51562.348683214601</v>
      </c>
    </row>
    <row r="182" spans="1:20" x14ac:dyDescent="0.25">
      <c r="A182" s="6" t="s">
        <v>219</v>
      </c>
      <c r="B182" s="6" t="s">
        <v>222</v>
      </c>
      <c r="C182" s="6" t="s">
        <v>89</v>
      </c>
      <c r="D182" s="6" t="s">
        <v>216</v>
      </c>
      <c r="E182" s="7" t="s">
        <v>220</v>
      </c>
      <c r="F182" s="8">
        <v>195</v>
      </c>
      <c r="G182" s="8">
        <v>565</v>
      </c>
      <c r="H182" s="9">
        <f>(G182+F182)*(1+0.3+0.24)+311</f>
        <v>1481.4</v>
      </c>
      <c r="I182" s="14">
        <f>1+0.2+0.518+0.2+0.306</f>
        <v>2.2239999999999998</v>
      </c>
      <c r="K182" s="12">
        <v>0</v>
      </c>
      <c r="L182" s="12">
        <v>0</v>
      </c>
      <c r="M182" s="13">
        <v>0.7</v>
      </c>
      <c r="N182" s="13">
        <f>60.25%*2+K182+L182/2-9.75%*2</f>
        <v>1.01</v>
      </c>
      <c r="O182" s="12">
        <f>0.466+0.25*I182</f>
        <v>1.022</v>
      </c>
      <c r="P182" s="8">
        <v>0.5</v>
      </c>
      <c r="Q182" s="8">
        <v>0.9</v>
      </c>
      <c r="R182" s="12">
        <v>8.1920000000000002</v>
      </c>
      <c r="S182" s="6" t="s">
        <v>221</v>
      </c>
      <c r="T182" s="9">
        <f>((1+0.2+0.24+0.9129)*(F182+G182)+311)*R182*(1+O182)*(1+N182+0.6)*P182*Q182</f>
        <v>40839.344358653958</v>
      </c>
    </row>
    <row r="184" spans="1:20" x14ac:dyDescent="0.25">
      <c r="A184" s="6" t="s">
        <v>9</v>
      </c>
      <c r="B184" s="6" t="s">
        <v>10</v>
      </c>
      <c r="C184" s="6" t="s">
        <v>11</v>
      </c>
      <c r="D184" s="6" t="s">
        <v>12</v>
      </c>
      <c r="E184" s="7" t="s">
        <v>13</v>
      </c>
      <c r="F184" s="8" t="s">
        <v>14</v>
      </c>
      <c r="G184" s="8" t="s">
        <v>15</v>
      </c>
      <c r="H184" s="9" t="s">
        <v>16</v>
      </c>
      <c r="I184" s="10" t="s">
        <v>18</v>
      </c>
      <c r="J184" s="14"/>
      <c r="K184" s="12" t="s">
        <v>19</v>
      </c>
      <c r="L184" s="12" t="s">
        <v>20</v>
      </c>
      <c r="M184" s="13" t="s">
        <v>21</v>
      </c>
      <c r="N184" s="13" t="s">
        <v>22</v>
      </c>
      <c r="O184" s="12" t="s">
        <v>23</v>
      </c>
      <c r="P184" s="8" t="s">
        <v>24</v>
      </c>
      <c r="Q184" s="8" t="s">
        <v>25</v>
      </c>
      <c r="R184" s="12" t="s">
        <v>26</v>
      </c>
      <c r="S184" s="6" t="s">
        <v>27</v>
      </c>
      <c r="T184" s="9" t="s">
        <v>28</v>
      </c>
    </row>
    <row r="185" spans="1:20" x14ac:dyDescent="0.25">
      <c r="A185" s="6" t="s">
        <v>223</v>
      </c>
      <c r="B185" s="6" t="s">
        <v>224</v>
      </c>
      <c r="C185" s="11" t="s">
        <v>201</v>
      </c>
      <c r="D185" s="6" t="s">
        <v>200</v>
      </c>
      <c r="E185" s="7" t="s">
        <v>179</v>
      </c>
      <c r="F185" s="8">
        <v>323</v>
      </c>
      <c r="G185" s="8">
        <v>674</v>
      </c>
      <c r="H185" s="9">
        <f>(F185+G185)*(1+0.3+0.466)+311</f>
        <v>2071.7020000000002</v>
      </c>
      <c r="I185" s="10">
        <v>80</v>
      </c>
      <c r="K185" s="12">
        <f>15%</f>
        <v>0.15</v>
      </c>
      <c r="L185" s="12">
        <f>44.1%+38.4%</f>
        <v>0.82499999999999996</v>
      </c>
      <c r="M185" s="13">
        <f>60.25%+K185/2+L185/4-15%</f>
        <v>0.73375000000000001</v>
      </c>
      <c r="N185" s="13">
        <f>60.25%*2+K185+L185/2</f>
        <v>1.7675000000000001</v>
      </c>
      <c r="O185" s="12">
        <f>0.466+0.15+0.4</f>
        <v>1.016</v>
      </c>
      <c r="P185" s="8">
        <v>0.5</v>
      </c>
      <c r="Q185" s="8">
        <v>0.9</v>
      </c>
      <c r="R185" s="12">
        <f>170%</f>
        <v>1.7</v>
      </c>
      <c r="S185" s="6" t="s">
        <v>225</v>
      </c>
      <c r="T185" s="9">
        <f>H185*R185*(1+O185)*(1+N185)*P185*Q185</f>
        <v>8842.3332339384015</v>
      </c>
    </row>
    <row r="186" spans="1:20" x14ac:dyDescent="0.25">
      <c r="A186" s="6" t="s">
        <v>223</v>
      </c>
      <c r="B186" s="6" t="s">
        <v>124</v>
      </c>
      <c r="C186" s="11" t="s">
        <v>201</v>
      </c>
      <c r="D186" s="6" t="s">
        <v>200</v>
      </c>
      <c r="E186" s="7" t="s">
        <v>179</v>
      </c>
      <c r="F186" s="8">
        <v>323</v>
      </c>
      <c r="G186" s="8">
        <v>542</v>
      </c>
      <c r="H186" s="9">
        <f>(F186+G186)*(1+0.3+0.466)+311+1.2%*(13103*(1+0.2+0.2)+4780)</f>
        <v>2116.0803999999998</v>
      </c>
      <c r="I186" s="10">
        <v>80</v>
      </c>
      <c r="K186" s="12">
        <f>0.15+0.441</f>
        <v>0.59099999999999997</v>
      </c>
      <c r="L186" s="12">
        <v>0.38400000000000001</v>
      </c>
      <c r="M186" s="13">
        <v>0.75</v>
      </c>
      <c r="N186" s="13">
        <f>60.25%*2+K186+L186/2+9.4%*2</f>
        <v>2.1760000000000002</v>
      </c>
      <c r="O186" s="12">
        <f>0.466+0.15</f>
        <v>0.61599999999999999</v>
      </c>
      <c r="P186" s="8">
        <v>0.5</v>
      </c>
      <c r="Q186" s="8">
        <v>0.9</v>
      </c>
      <c r="R186" s="12">
        <f>170%</f>
        <v>1.7</v>
      </c>
      <c r="S186" s="6" t="s">
        <v>225</v>
      </c>
      <c r="T186" s="9">
        <f>H186*R186*(1+O186)*(1+N186)*P186*Q186</f>
        <v>8308.3627502184954</v>
      </c>
    </row>
    <row r="187" spans="1:20" x14ac:dyDescent="0.25">
      <c r="A187" s="6" t="s">
        <v>223</v>
      </c>
      <c r="B187" s="6" t="s">
        <v>226</v>
      </c>
      <c r="C187" s="11" t="s">
        <v>201</v>
      </c>
      <c r="D187" s="6" t="s">
        <v>200</v>
      </c>
      <c r="E187" s="7" t="s">
        <v>179</v>
      </c>
      <c r="F187" s="8">
        <v>323</v>
      </c>
      <c r="G187" s="8">
        <v>510</v>
      </c>
      <c r="H187" s="9">
        <f>(F187+G187)*(1+0.3+0.466+0.413)+311</f>
        <v>2126.107</v>
      </c>
      <c r="I187" s="10">
        <v>80</v>
      </c>
      <c r="K187" s="12">
        <v>0.15</v>
      </c>
      <c r="L187" s="12">
        <v>0.38400000000000001</v>
      </c>
      <c r="M187" s="13">
        <f>60.25%+K187/2+L187/4-15%</f>
        <v>0.62349999999999994</v>
      </c>
      <c r="N187" s="13">
        <f>60.25%*2+K187+L187/2</f>
        <v>1.5469999999999999</v>
      </c>
      <c r="O187" s="12">
        <f>0.466+0.15+0.36</f>
        <v>0.97599999999999998</v>
      </c>
      <c r="P187" s="8">
        <v>0.5</v>
      </c>
      <c r="Q187" s="8">
        <v>0.9</v>
      </c>
      <c r="R187" s="12">
        <f>170%</f>
        <v>1.7</v>
      </c>
      <c r="S187" s="6" t="s">
        <v>225</v>
      </c>
      <c r="T187" s="9">
        <f>H187*R187*(1+O187)*(1+N187)*P187*Q187</f>
        <v>8185.8246578175585</v>
      </c>
    </row>
    <row r="189" spans="1:20" x14ac:dyDescent="0.25">
      <c r="A189" s="6" t="s">
        <v>9</v>
      </c>
      <c r="B189" s="6" t="s">
        <v>10</v>
      </c>
      <c r="C189" s="6" t="s">
        <v>11</v>
      </c>
      <c r="D189" s="6" t="s">
        <v>12</v>
      </c>
      <c r="E189" s="7" t="s">
        <v>13</v>
      </c>
      <c r="F189" s="8" t="s">
        <v>14</v>
      </c>
      <c r="G189" s="8" t="s">
        <v>15</v>
      </c>
      <c r="H189" s="9" t="s">
        <v>16</v>
      </c>
      <c r="J189" s="14"/>
      <c r="K189" s="12" t="s">
        <v>19</v>
      </c>
      <c r="L189" s="12" t="s">
        <v>20</v>
      </c>
      <c r="M189" s="13" t="s">
        <v>21</v>
      </c>
      <c r="N189" s="13" t="s">
        <v>22</v>
      </c>
      <c r="O189" s="12" t="s">
        <v>23</v>
      </c>
      <c r="P189" s="8" t="s">
        <v>24</v>
      </c>
      <c r="Q189" s="8" t="s">
        <v>25</v>
      </c>
      <c r="R189" s="12" t="s">
        <v>26</v>
      </c>
      <c r="S189" s="6" t="s">
        <v>27</v>
      </c>
      <c r="T189" s="9" t="s">
        <v>28</v>
      </c>
    </row>
    <row r="190" spans="1:20" x14ac:dyDescent="0.25">
      <c r="A190" s="6" t="s">
        <v>227</v>
      </c>
      <c r="B190" s="6" t="s">
        <v>66</v>
      </c>
      <c r="C190" s="6" t="s">
        <v>228</v>
      </c>
      <c r="D190" s="6" t="s">
        <v>71</v>
      </c>
      <c r="E190" s="7" t="s">
        <v>83</v>
      </c>
      <c r="F190" s="8">
        <v>234</v>
      </c>
      <c r="G190" s="8">
        <v>510</v>
      </c>
      <c r="H190" s="9">
        <f>(F190+G190)*(1+0.3+0.466+0.18)+311</f>
        <v>1758.8240000000001</v>
      </c>
      <c r="K190" s="12">
        <v>0.27600000000000002</v>
      </c>
      <c r="L190" s="12">
        <v>0</v>
      </c>
      <c r="M190" s="13">
        <f>60.25%+K190/2+L190/4</f>
        <v>0.74050000000000005</v>
      </c>
      <c r="N190" s="13">
        <f>60.25%*2+K190+L190/2</f>
        <v>1.4810000000000001</v>
      </c>
      <c r="O190" s="12">
        <f>0.583+0.35+0.3+0.5+0.1</f>
        <v>1.833</v>
      </c>
      <c r="P190" s="8">
        <f>190/(190*(1-0.15)+190)</f>
        <v>0.54054054054054057</v>
      </c>
      <c r="Q190" s="8">
        <v>0.9</v>
      </c>
      <c r="R190" s="12">
        <v>1.7113</v>
      </c>
      <c r="S190" s="6" t="s">
        <v>229</v>
      </c>
      <c r="T190" s="9">
        <f>H190*R190*(1+O190)*(1+N190)*P190*Q190</f>
        <v>10291.831170291554</v>
      </c>
    </row>
    <row r="191" spans="1:20" x14ac:dyDescent="0.25">
      <c r="A191" s="6" t="s">
        <v>227</v>
      </c>
      <c r="B191" s="6" t="s">
        <v>64</v>
      </c>
      <c r="C191" s="6" t="s">
        <v>228</v>
      </c>
      <c r="D191" s="6" t="s">
        <v>71</v>
      </c>
      <c r="E191" s="7" t="s">
        <v>83</v>
      </c>
      <c r="F191" s="8">
        <v>234</v>
      </c>
      <c r="G191" s="8">
        <v>608</v>
      </c>
      <c r="H191" s="9">
        <f>(F191+G191)*(1+0.3+0.466+0.18+0.496+0.2)+311</f>
        <v>2535.5640000000003</v>
      </c>
      <c r="K191" s="12">
        <v>0</v>
      </c>
      <c r="L191" s="12">
        <v>0</v>
      </c>
      <c r="M191" s="13">
        <f>60.25%+K191/2+L191/4</f>
        <v>0.60250000000000004</v>
      </c>
      <c r="N191" s="13">
        <f>60.25%*2+K191+L191/2</f>
        <v>1.2050000000000001</v>
      </c>
      <c r="O191" s="12">
        <f>0.583+0.35+0.3+0.1</f>
        <v>1.333</v>
      </c>
      <c r="P191" s="8">
        <f>190/(190*(1-0.15)+190)</f>
        <v>0.54054054054054057</v>
      </c>
      <c r="Q191" s="8">
        <v>0.9</v>
      </c>
      <c r="R191" s="12">
        <v>1.7113</v>
      </c>
      <c r="S191" s="6" t="s">
        <v>229</v>
      </c>
      <c r="T191" s="9">
        <f>H191*R191*(1+O191)*(1+N191)*P191*Q191</f>
        <v>10859.125216509341</v>
      </c>
    </row>
    <row r="193" spans="1:20" x14ac:dyDescent="0.25">
      <c r="A193" s="6" t="s">
        <v>9</v>
      </c>
      <c r="B193" s="6" t="s">
        <v>10</v>
      </c>
      <c r="C193" s="6" t="s">
        <v>11</v>
      </c>
      <c r="D193" s="6" t="s">
        <v>12</v>
      </c>
      <c r="E193" s="7" t="s">
        <v>13</v>
      </c>
      <c r="F193" s="8" t="s">
        <v>14</v>
      </c>
      <c r="G193" s="8" t="s">
        <v>15</v>
      </c>
      <c r="H193" s="9" t="s">
        <v>16</v>
      </c>
      <c r="J193" s="14" t="s">
        <v>18</v>
      </c>
      <c r="K193" s="12" t="s">
        <v>19</v>
      </c>
      <c r="L193" s="12" t="s">
        <v>20</v>
      </c>
      <c r="M193" s="13" t="s">
        <v>21</v>
      </c>
      <c r="N193" s="13" t="s">
        <v>22</v>
      </c>
      <c r="O193" s="12" t="s">
        <v>23</v>
      </c>
      <c r="P193" s="8" t="s">
        <v>24</v>
      </c>
      <c r="Q193" s="8" t="s">
        <v>25</v>
      </c>
      <c r="R193" s="12" t="s">
        <v>26</v>
      </c>
      <c r="S193" s="6" t="s">
        <v>27</v>
      </c>
      <c r="T193" s="9" t="s">
        <v>28</v>
      </c>
    </row>
    <row r="194" spans="1:20" x14ac:dyDescent="0.25">
      <c r="A194" s="6" t="s">
        <v>230</v>
      </c>
      <c r="B194" s="6" t="s">
        <v>183</v>
      </c>
      <c r="C194" s="6" t="s">
        <v>213</v>
      </c>
      <c r="D194" s="6" t="s">
        <v>200</v>
      </c>
      <c r="E194" s="7" t="s">
        <v>231</v>
      </c>
      <c r="F194" s="8">
        <v>244</v>
      </c>
      <c r="G194" s="8">
        <v>510</v>
      </c>
      <c r="H194" s="9">
        <f>(F194+G194)*(1+0.3+0.466+0.18+0.24)+311</f>
        <v>1959.2439999999999</v>
      </c>
      <c r="J194" s="11">
        <f>80+165</f>
        <v>245</v>
      </c>
      <c r="K194" s="12">
        <v>0</v>
      </c>
      <c r="L194" s="12">
        <v>0</v>
      </c>
      <c r="M194" s="13">
        <f>60.25%+K194/2+L194/4</f>
        <v>0.60250000000000004</v>
      </c>
      <c r="N194" s="13">
        <f>60.25%*2+K194+L194/2</f>
        <v>1.2050000000000001</v>
      </c>
      <c r="O194" s="12">
        <f>0.466+0.15+0.48</f>
        <v>1.0960000000000001</v>
      </c>
      <c r="P194" s="8">
        <f>190/(190*(1)+190)</f>
        <v>0.5</v>
      </c>
      <c r="Q194" s="8">
        <v>0.9</v>
      </c>
      <c r="R194" s="12">
        <v>1.8869999999999998</v>
      </c>
      <c r="S194" s="6" t="s">
        <v>232</v>
      </c>
      <c r="T194" s="9">
        <f>H194*R194*(1+O194)*(1+N194)*P194*Q194</f>
        <v>7689.0522394435684</v>
      </c>
    </row>
    <row r="195" spans="1:20" x14ac:dyDescent="0.25">
      <c r="A195" s="6" t="s">
        <v>230</v>
      </c>
      <c r="B195" s="6" t="s">
        <v>183</v>
      </c>
      <c r="C195" s="11" t="s">
        <v>197</v>
      </c>
      <c r="D195" s="6" t="s">
        <v>200</v>
      </c>
      <c r="E195" s="7" t="s">
        <v>231</v>
      </c>
      <c r="F195" s="8">
        <v>244</v>
      </c>
      <c r="G195" s="8">
        <v>510</v>
      </c>
      <c r="H195" s="9">
        <f>(F195+G195)*(1+0.3+0.466+0.24)+311</f>
        <v>1823.5240000000001</v>
      </c>
      <c r="I195" s="24">
        <f>(F195+G195)*(1+0.3+0.466+0.24+0.14)+311</f>
        <v>1929.0840000000003</v>
      </c>
      <c r="J195" s="11">
        <f>80+165</f>
        <v>245</v>
      </c>
      <c r="K195" s="12">
        <v>0</v>
      </c>
      <c r="L195" s="12">
        <v>0</v>
      </c>
      <c r="M195" s="13">
        <f>60.25%+K195/2+L195/4</f>
        <v>0.60250000000000004</v>
      </c>
      <c r="N195" s="13">
        <f>60.25%*2+K195+L195/2</f>
        <v>1.2050000000000001</v>
      </c>
      <c r="O195" s="12">
        <f>0.466+0.48</f>
        <v>0.94599999999999995</v>
      </c>
      <c r="P195" s="8">
        <f>190/(190*(1)+190)</f>
        <v>0.5</v>
      </c>
      <c r="Q195" s="8">
        <v>0.9</v>
      </c>
      <c r="R195" s="12">
        <v>1.8869999999999998</v>
      </c>
      <c r="S195" s="6" t="s">
        <v>232</v>
      </c>
      <c r="T195" s="9">
        <f>I195*R195*(1+O195)*(1+N195)*P195*Q195</f>
        <v>7028.8938171550981</v>
      </c>
    </row>
    <row r="196" spans="1:20" x14ac:dyDescent="0.25">
      <c r="A196" s="6" t="s">
        <v>230</v>
      </c>
      <c r="B196" s="6" t="s">
        <v>146</v>
      </c>
      <c r="C196" s="6" t="s">
        <v>213</v>
      </c>
      <c r="D196" s="6" t="s">
        <v>200</v>
      </c>
      <c r="E196" s="7" t="s">
        <v>231</v>
      </c>
      <c r="F196" s="8">
        <v>244</v>
      </c>
      <c r="G196" s="8">
        <v>674</v>
      </c>
      <c r="H196" s="9">
        <f>(F196+G196)*(1+0.3+0.466+0.18+0.24)+311</f>
        <v>2317.748</v>
      </c>
      <c r="J196" s="11">
        <v>80</v>
      </c>
      <c r="K196" s="12">
        <v>0.221</v>
      </c>
      <c r="L196" s="12">
        <v>0.2</v>
      </c>
      <c r="M196" s="13">
        <f>60.25%+K196/2+L196/4</f>
        <v>0.76300000000000012</v>
      </c>
      <c r="N196" s="13">
        <f>60.25%*2+K196+L196/2</f>
        <v>1.5260000000000002</v>
      </c>
      <c r="O196" s="12">
        <f>0.466+0.15</f>
        <v>0.61599999999999999</v>
      </c>
      <c r="P196" s="8">
        <f>190/(190*(1)+190)</f>
        <v>0.5</v>
      </c>
      <c r="Q196" s="8">
        <v>0.9</v>
      </c>
      <c r="R196" s="12">
        <v>1.8869999999999998</v>
      </c>
      <c r="S196" s="6" t="s">
        <v>232</v>
      </c>
      <c r="T196" s="9">
        <f>H196*R196*(1+O196)*(1+N196)*P196*Q196</f>
        <v>8033.8798352158274</v>
      </c>
    </row>
    <row r="197" spans="1:20" x14ac:dyDescent="0.25">
      <c r="A197" s="6" t="s">
        <v>230</v>
      </c>
      <c r="B197" s="6" t="s">
        <v>146</v>
      </c>
      <c r="C197" s="11" t="s">
        <v>197</v>
      </c>
      <c r="D197" s="6" t="s">
        <v>200</v>
      </c>
      <c r="E197" s="7" t="s">
        <v>231</v>
      </c>
      <c r="F197" s="8">
        <v>244</v>
      </c>
      <c r="G197" s="8">
        <v>674</v>
      </c>
      <c r="H197" s="9">
        <f>(F197+G197)*(1+0.3+0.466+0.24)+311</f>
        <v>2152.5080000000003</v>
      </c>
      <c r="I197" s="24">
        <f>(F197+G197)*(1+0.3+0.466+0.24+0.14)+311</f>
        <v>2281.0280000000002</v>
      </c>
      <c r="J197" s="11">
        <v>80</v>
      </c>
      <c r="K197" s="12">
        <v>0.221</v>
      </c>
      <c r="L197" s="12">
        <v>0.2</v>
      </c>
      <c r="M197" s="13">
        <f>60.25%+K197/2+L197/4</f>
        <v>0.76300000000000012</v>
      </c>
      <c r="N197" s="13">
        <f>60.25%*2+K197+L197/2</f>
        <v>1.5260000000000002</v>
      </c>
      <c r="O197" s="12">
        <f>0.466</f>
        <v>0.46600000000000003</v>
      </c>
      <c r="P197" s="8">
        <f>190/(190*(1)+190)</f>
        <v>0.5</v>
      </c>
      <c r="Q197" s="8">
        <v>0.9</v>
      </c>
      <c r="R197" s="12">
        <v>1.8869999999999998</v>
      </c>
      <c r="S197" s="6" t="s">
        <v>232</v>
      </c>
      <c r="T197" s="9">
        <f>I197*R197*(1+O197)*(1+N197)*P197*Q197</f>
        <v>7172.6947161700409</v>
      </c>
    </row>
    <row r="198" spans="1:20" x14ac:dyDescent="0.25">
      <c r="C198" s="11"/>
      <c r="I198" s="24"/>
    </row>
    <row r="199" spans="1:20" x14ac:dyDescent="0.25">
      <c r="A199" s="6" t="s">
        <v>9</v>
      </c>
      <c r="B199" s="6" t="s">
        <v>10</v>
      </c>
      <c r="C199" s="6" t="s">
        <v>11</v>
      </c>
      <c r="D199" s="6" t="s">
        <v>12</v>
      </c>
      <c r="E199" s="7" t="s">
        <v>13</v>
      </c>
      <c r="F199" s="8" t="s">
        <v>14</v>
      </c>
      <c r="G199" s="8" t="s">
        <v>15</v>
      </c>
      <c r="H199" s="9" t="s">
        <v>16</v>
      </c>
      <c r="I199" s="10" t="s">
        <v>18</v>
      </c>
      <c r="J199" s="14"/>
      <c r="K199" s="12" t="s">
        <v>19</v>
      </c>
      <c r="L199" s="12" t="s">
        <v>20</v>
      </c>
      <c r="M199" s="13" t="s">
        <v>21</v>
      </c>
      <c r="N199" s="13" t="s">
        <v>22</v>
      </c>
      <c r="O199" s="12" t="s">
        <v>23</v>
      </c>
      <c r="P199" s="8" t="s">
        <v>24</v>
      </c>
      <c r="Q199" s="8" t="s">
        <v>25</v>
      </c>
      <c r="R199" s="12" t="s">
        <v>26</v>
      </c>
      <c r="S199" s="6" t="s">
        <v>27</v>
      </c>
      <c r="T199" s="9" t="s">
        <v>28</v>
      </c>
    </row>
    <row r="200" spans="1:20" x14ac:dyDescent="0.25">
      <c r="A200" s="6" t="s">
        <v>233</v>
      </c>
      <c r="B200" s="6" t="s">
        <v>56</v>
      </c>
      <c r="C200" s="6" t="s">
        <v>234</v>
      </c>
      <c r="D200" s="6" t="s">
        <v>200</v>
      </c>
      <c r="E200" s="7" t="s">
        <v>235</v>
      </c>
      <c r="F200" s="8">
        <v>232</v>
      </c>
      <c r="G200" s="8">
        <v>608</v>
      </c>
      <c r="H200" s="9">
        <f>(F200+G200)*(1+0.3+0.466+0.18)+311</f>
        <v>1945.6399999999999</v>
      </c>
      <c r="I200" s="10">
        <f>96+80</f>
        <v>176</v>
      </c>
      <c r="K200" s="12">
        <v>0.33100000000000002</v>
      </c>
      <c r="L200" s="12">
        <v>0</v>
      </c>
      <c r="M200" s="13">
        <f t="shared" ref="M200:M205" si="27">60.25%+K200/2+L200/4</f>
        <v>0.76800000000000002</v>
      </c>
      <c r="N200" s="13">
        <f>60.25%*2+K200+L200/2</f>
        <v>1.536</v>
      </c>
      <c r="O200" s="12">
        <f>0.466+0.32+0.15</f>
        <v>0.93600000000000005</v>
      </c>
      <c r="P200" s="8">
        <f>190/(190*(1-0.15)+190)</f>
        <v>0.54054054054054057</v>
      </c>
      <c r="Q200" s="8">
        <v>0.9</v>
      </c>
      <c r="R200" s="12">
        <v>10.353</v>
      </c>
      <c r="S200" s="6" t="s">
        <v>236</v>
      </c>
      <c r="T200" s="9">
        <f>H200*R200*(1+O200)*(1+N200)*P200*Q200</f>
        <v>48112.074525930962</v>
      </c>
    </row>
    <row r="201" spans="1:20" x14ac:dyDescent="0.25">
      <c r="A201" s="6" t="s">
        <v>233</v>
      </c>
      <c r="B201" s="6" t="s">
        <v>60</v>
      </c>
      <c r="C201" s="6" t="s">
        <v>82</v>
      </c>
      <c r="D201" s="6" t="s">
        <v>200</v>
      </c>
      <c r="E201" s="7" t="s">
        <v>237</v>
      </c>
      <c r="F201" s="8">
        <v>232</v>
      </c>
      <c r="G201" s="8">
        <v>510</v>
      </c>
      <c r="H201" s="9">
        <f>(F201+G201)*(1+0.3+0.466)+311</f>
        <v>1621.3720000000001</v>
      </c>
      <c r="I201" s="10">
        <f>96+80</f>
        <v>176</v>
      </c>
      <c r="K201" s="12">
        <v>0</v>
      </c>
      <c r="L201" s="12">
        <v>0.55100000000000005</v>
      </c>
      <c r="M201" s="13">
        <f t="shared" si="27"/>
        <v>0.74025000000000007</v>
      </c>
      <c r="N201" s="13">
        <f>60.25%*2+K201+L201/2</f>
        <v>1.4805000000000001</v>
      </c>
      <c r="O201" s="12">
        <f>0.466+0.2</f>
        <v>0.66600000000000004</v>
      </c>
      <c r="P201" s="8">
        <f>190/(190*(1-0.15)+190)</f>
        <v>0.54054054054054057</v>
      </c>
      <c r="Q201" s="8">
        <v>0.9</v>
      </c>
      <c r="R201" s="12">
        <v>0.77689999999999992</v>
      </c>
      <c r="S201" s="6" t="s">
        <v>238</v>
      </c>
      <c r="T201" s="9">
        <f>((F201+G201)*(1+0.3+0.466+1.2)+311)*R201*(1+O201)*(1+N201)*P201*Q201</f>
        <v>3923.1087378784878</v>
      </c>
    </row>
    <row r="203" spans="1:20" x14ac:dyDescent="0.25">
      <c r="A203" s="6" t="s">
        <v>9</v>
      </c>
      <c r="B203" s="6" t="s">
        <v>10</v>
      </c>
      <c r="C203" s="6" t="s">
        <v>11</v>
      </c>
      <c r="D203" s="6" t="s">
        <v>12</v>
      </c>
      <c r="E203" s="7" t="s">
        <v>13</v>
      </c>
      <c r="F203" s="8" t="s">
        <v>14</v>
      </c>
      <c r="G203" s="8" t="s">
        <v>15</v>
      </c>
      <c r="H203" s="9" t="s">
        <v>16</v>
      </c>
      <c r="I203" s="10" t="s">
        <v>38</v>
      </c>
      <c r="J203" s="14"/>
      <c r="K203" s="12" t="s">
        <v>19</v>
      </c>
      <c r="L203" s="12" t="s">
        <v>20</v>
      </c>
      <c r="M203" s="13" t="s">
        <v>21</v>
      </c>
      <c r="N203" s="13" t="s">
        <v>22</v>
      </c>
      <c r="O203" s="12" t="s">
        <v>23</v>
      </c>
      <c r="P203" s="8" t="s">
        <v>24</v>
      </c>
      <c r="Q203" s="8" t="s">
        <v>25</v>
      </c>
      <c r="R203" s="12" t="s">
        <v>26</v>
      </c>
      <c r="S203" s="6" t="s">
        <v>27</v>
      </c>
      <c r="T203" s="9" t="s">
        <v>28</v>
      </c>
    </row>
    <row r="204" spans="1:20" x14ac:dyDescent="0.25">
      <c r="A204" s="6" t="s">
        <v>239</v>
      </c>
      <c r="B204" s="6" t="s">
        <v>64</v>
      </c>
      <c r="C204" s="6" t="s">
        <v>89</v>
      </c>
      <c r="D204" s="6" t="s">
        <v>216</v>
      </c>
      <c r="E204" s="7" t="s">
        <v>240</v>
      </c>
      <c r="F204" s="8">
        <v>225</v>
      </c>
      <c r="G204" s="8">
        <v>608</v>
      </c>
      <c r="H204" s="9">
        <f>(G204+F204)*(1+0.3+0.2+0.496)+311</f>
        <v>1973.6679999999999</v>
      </c>
      <c r="I204" s="14">
        <f>1+0.2+0.518+0.2</f>
        <v>1.9179999999999999</v>
      </c>
      <c r="K204" s="12">
        <v>0</v>
      </c>
      <c r="L204" s="12">
        <v>0</v>
      </c>
      <c r="M204" s="13">
        <f t="shared" si="27"/>
        <v>0.60250000000000004</v>
      </c>
      <c r="N204" s="13">
        <f>60.25%*2+K204+L204/2</f>
        <v>1.2050000000000001</v>
      </c>
      <c r="O204" s="12">
        <f>0.466+0.25*I204+0.24</f>
        <v>1.1855</v>
      </c>
      <c r="P204" s="8">
        <v>0.5</v>
      </c>
      <c r="Q204" s="8">
        <v>1.0249999999999999</v>
      </c>
      <c r="R204" s="12">
        <v>1.7280000000000002</v>
      </c>
      <c r="S204" s="6" t="s">
        <v>241</v>
      </c>
      <c r="T204" s="9">
        <f>H204*R204*(1+O204)*(1+N204)*P204*Q204</f>
        <v>8423.0836217856722</v>
      </c>
    </row>
    <row r="205" spans="1:20" x14ac:dyDescent="0.25">
      <c r="A205" s="6" t="s">
        <v>239</v>
      </c>
      <c r="B205" s="6" t="s">
        <v>66</v>
      </c>
      <c r="C205" s="6" t="s">
        <v>89</v>
      </c>
      <c r="D205" s="6" t="s">
        <v>218</v>
      </c>
      <c r="E205" s="7" t="s">
        <v>240</v>
      </c>
      <c r="F205" s="8">
        <v>225</v>
      </c>
      <c r="G205" s="8">
        <v>510</v>
      </c>
      <c r="H205" s="9">
        <f>(G205+F205)*(1+0.3+0.466*1)+311</f>
        <v>1609.01</v>
      </c>
      <c r="I205" s="14">
        <f>1+0.2+0.518+0.2</f>
        <v>1.9179999999999999</v>
      </c>
      <c r="K205" s="12">
        <v>0.27600000000000002</v>
      </c>
      <c r="L205" s="12">
        <v>0</v>
      </c>
      <c r="M205" s="13">
        <f t="shared" si="27"/>
        <v>0.74050000000000005</v>
      </c>
      <c r="N205" s="13">
        <f>60.25%*2+K205+L205/2</f>
        <v>1.4810000000000001</v>
      </c>
      <c r="O205" s="12">
        <f>0.4+0.25*I205+0.24</f>
        <v>1.1194999999999999</v>
      </c>
      <c r="P205" s="8">
        <v>0.5</v>
      </c>
      <c r="Q205" s="8">
        <v>1.0249999999999999</v>
      </c>
      <c r="R205" s="12">
        <v>1.7280000000000002</v>
      </c>
      <c r="S205" s="6" t="s">
        <v>241</v>
      </c>
      <c r="T205" s="9">
        <f>H205*R205*(1+O205)*(1+N205)*P205*Q205</f>
        <v>7493.0138664212509</v>
      </c>
    </row>
    <row r="207" spans="1:20" x14ac:dyDescent="0.25">
      <c r="A207" s="6" t="s">
        <v>9</v>
      </c>
      <c r="B207" s="6" t="s">
        <v>10</v>
      </c>
      <c r="C207" s="6" t="s">
        <v>11</v>
      </c>
      <c r="D207" s="6" t="s">
        <v>12</v>
      </c>
      <c r="E207" s="7" t="s">
        <v>13</v>
      </c>
      <c r="F207" s="8" t="s">
        <v>14</v>
      </c>
      <c r="G207" s="8" t="s">
        <v>15</v>
      </c>
      <c r="H207" s="9" t="s">
        <v>16</v>
      </c>
      <c r="I207" s="10" t="s">
        <v>38</v>
      </c>
      <c r="J207" s="14"/>
      <c r="K207" s="12" t="s">
        <v>19</v>
      </c>
      <c r="L207" s="12" t="s">
        <v>20</v>
      </c>
      <c r="M207" s="13" t="s">
        <v>21</v>
      </c>
      <c r="N207" s="13" t="s">
        <v>22</v>
      </c>
      <c r="O207" s="12" t="s">
        <v>23</v>
      </c>
      <c r="P207" s="8" t="s">
        <v>24</v>
      </c>
      <c r="Q207" s="8" t="s">
        <v>25</v>
      </c>
      <c r="R207" s="12" t="s">
        <v>26</v>
      </c>
      <c r="S207" s="6" t="s">
        <v>27</v>
      </c>
      <c r="T207" s="9" t="s">
        <v>28</v>
      </c>
    </row>
    <row r="208" spans="1:20" x14ac:dyDescent="0.25">
      <c r="A208" s="6" t="s">
        <v>242</v>
      </c>
      <c r="B208" s="6" t="s">
        <v>189</v>
      </c>
      <c r="C208" s="6" t="s">
        <v>89</v>
      </c>
      <c r="D208" s="6" t="s">
        <v>216</v>
      </c>
      <c r="E208" s="7" t="s">
        <v>173</v>
      </c>
      <c r="F208" s="8">
        <v>212</v>
      </c>
      <c r="G208" s="8">
        <v>454</v>
      </c>
      <c r="H208" s="9">
        <f>(G208+F208)*(1+0.2+0.24)+311</f>
        <v>1270.04</v>
      </c>
      <c r="I208" s="14">
        <f>1+0.2+0.518+0.2+0.613</f>
        <v>2.5309999999999997</v>
      </c>
      <c r="K208" s="12">
        <v>0</v>
      </c>
      <c r="L208" s="12">
        <v>0</v>
      </c>
      <c r="M208" s="13">
        <f>60.25%+K208/2+L208/4</f>
        <v>0.60250000000000004</v>
      </c>
      <c r="N208" s="13">
        <f>60.25%*2+K208+L208/2</f>
        <v>1.2050000000000001</v>
      </c>
      <c r="O208" s="12">
        <f>0.466+0.25*I208</f>
        <v>1.0987499999999999</v>
      </c>
      <c r="P208" s="8">
        <v>0.5</v>
      </c>
      <c r="Q208" s="8">
        <v>1.0249999999999999</v>
      </c>
      <c r="R208" s="12">
        <v>1.7280000000000002</v>
      </c>
      <c r="S208" s="6" t="s">
        <v>243</v>
      </c>
      <c r="T208" s="13">
        <f>0.2+0.1*I208</f>
        <v>0.4531</v>
      </c>
    </row>
    <row r="209" spans="1:23" x14ac:dyDescent="0.25">
      <c r="I209" s="14"/>
      <c r="T209" s="13"/>
    </row>
    <row r="210" spans="1:23" x14ac:dyDescent="0.25">
      <c r="A210" s="27"/>
      <c r="B210" s="27"/>
      <c r="C210" s="27"/>
      <c r="D210" s="27"/>
      <c r="E210" s="28"/>
      <c r="F210" s="29"/>
      <c r="G210" s="29"/>
      <c r="H210" s="30"/>
      <c r="I210" s="41"/>
      <c r="J210" s="42"/>
      <c r="K210" s="43"/>
      <c r="L210" s="43"/>
      <c r="M210" s="44"/>
      <c r="N210" s="44"/>
      <c r="O210" s="43"/>
      <c r="P210" s="29"/>
      <c r="Q210" s="29"/>
      <c r="R210" s="43"/>
      <c r="S210" s="27"/>
      <c r="T210" s="44"/>
    </row>
    <row r="211" spans="1:23" x14ac:dyDescent="0.25">
      <c r="A211" s="6" t="s">
        <v>9</v>
      </c>
      <c r="B211" s="6" t="s">
        <v>10</v>
      </c>
      <c r="C211" s="6" t="s">
        <v>11</v>
      </c>
      <c r="D211" s="6" t="s">
        <v>12</v>
      </c>
      <c r="E211" s="7" t="s">
        <v>13</v>
      </c>
      <c r="F211" s="8" t="s">
        <v>14</v>
      </c>
      <c r="G211" s="8" t="s">
        <v>15</v>
      </c>
      <c r="H211" s="9" t="s">
        <v>16</v>
      </c>
      <c r="I211" s="10" t="s">
        <v>18</v>
      </c>
      <c r="J211" s="14"/>
      <c r="K211" s="12" t="s">
        <v>19</v>
      </c>
      <c r="L211" s="12" t="s">
        <v>20</v>
      </c>
      <c r="M211" s="13" t="s">
        <v>21</v>
      </c>
      <c r="N211" s="13" t="s">
        <v>22</v>
      </c>
      <c r="O211" s="12" t="s">
        <v>23</v>
      </c>
      <c r="P211" s="8" t="s">
        <v>24</v>
      </c>
      <c r="Q211" s="8" t="s">
        <v>25</v>
      </c>
      <c r="R211" s="12" t="s">
        <v>26</v>
      </c>
      <c r="S211" s="6" t="s">
        <v>27</v>
      </c>
      <c r="T211" s="9" t="s">
        <v>28</v>
      </c>
    </row>
    <row r="212" spans="1:23" s="5" customFormat="1" x14ac:dyDescent="0.25">
      <c r="A212" s="20" t="s">
        <v>244</v>
      </c>
      <c r="B212" s="20" t="s">
        <v>245</v>
      </c>
      <c r="C212" s="20" t="s">
        <v>246</v>
      </c>
      <c r="D212" s="20" t="s">
        <v>247</v>
      </c>
      <c r="E212" s="31" t="s">
        <v>179</v>
      </c>
      <c r="F212" s="32">
        <v>268</v>
      </c>
      <c r="G212" s="32">
        <v>542</v>
      </c>
      <c r="H212" s="33">
        <f>(F212+G212)*(1)+311</f>
        <v>1121</v>
      </c>
      <c r="I212" s="33">
        <f>187+80</f>
        <v>267</v>
      </c>
      <c r="J212" s="45"/>
      <c r="K212" s="12">
        <v>0.441</v>
      </c>
      <c r="L212" s="12">
        <v>0</v>
      </c>
      <c r="M212" s="13">
        <f>60.25%+K212/2+L212/4-2.3%</f>
        <v>0.8</v>
      </c>
      <c r="N212" s="13">
        <f>60.25%*2+K212+L212/2+2.3%*2</f>
        <v>1.6920000000000002</v>
      </c>
      <c r="O212" s="12">
        <f>0.466+0.15+0.288+0.12+0.06%*(I212+50)</f>
        <v>1.2141999999999999</v>
      </c>
      <c r="P212" s="8">
        <v>0.5</v>
      </c>
      <c r="Q212" s="8">
        <v>1.1000000000000001</v>
      </c>
      <c r="R212" s="12">
        <v>0.69479999999999997</v>
      </c>
      <c r="S212" s="11" t="s">
        <v>248</v>
      </c>
      <c r="T212" s="9">
        <f>(H212*R212+1.6*(I212+50)+1.25*1446.85*(1+(5*(I212+50))/(1200+I212+50)))*(1+O212)*(1+N212)*P212*Q212</f>
        <v>16340.138440246792</v>
      </c>
      <c r="W212" s="33"/>
    </row>
    <row r="213" spans="1:23" s="5" customFormat="1" x14ac:dyDescent="0.25">
      <c r="A213" s="20" t="s">
        <v>244</v>
      </c>
      <c r="B213" s="20" t="s">
        <v>245</v>
      </c>
      <c r="C213" s="20" t="s">
        <v>197</v>
      </c>
      <c r="D213" s="20" t="s">
        <v>247</v>
      </c>
      <c r="E213" s="31" t="s">
        <v>179</v>
      </c>
      <c r="F213" s="32">
        <v>268</v>
      </c>
      <c r="G213" s="32">
        <v>542</v>
      </c>
      <c r="H213" s="33">
        <f>(F213+G213)*(1+0.14)+311</f>
        <v>1234.4000000000001</v>
      </c>
      <c r="I213" s="33">
        <f>187+80+80</f>
        <v>347</v>
      </c>
      <c r="J213" s="45"/>
      <c r="K213" s="12">
        <v>0.441</v>
      </c>
      <c r="L213" s="12">
        <v>0</v>
      </c>
      <c r="M213" s="13">
        <f>60.25%+K213/2+L213/4-2.3%</f>
        <v>0.8</v>
      </c>
      <c r="N213" s="13">
        <f>60.25%*2+K213+L213/2+2.3%*2</f>
        <v>1.6920000000000002</v>
      </c>
      <c r="O213" s="12">
        <f>0.466+0.288+0.12+0.06%*(I213+50)</f>
        <v>1.1122000000000001</v>
      </c>
      <c r="P213" s="8">
        <v>0.5</v>
      </c>
      <c r="Q213" s="8">
        <v>0.9</v>
      </c>
      <c r="R213" s="12">
        <v>0.69479999999999997</v>
      </c>
      <c r="S213" s="11" t="s">
        <v>248</v>
      </c>
      <c r="T213" s="9">
        <f>(H213*R213+1.6*(I213+50+100)+1.25*1446.85*(1+(5*(I213+50+100))/(1200+I213+50+100)))*(1+O213)*(1+N213)*P213*Q213</f>
        <v>15633.236346764515</v>
      </c>
      <c r="W213" s="33"/>
    </row>
    <row r="214" spans="1:23" x14ac:dyDescent="0.25">
      <c r="A214" s="20" t="s">
        <v>244</v>
      </c>
      <c r="B214" s="20" t="s">
        <v>85</v>
      </c>
      <c r="C214" s="20" t="s">
        <v>246</v>
      </c>
      <c r="D214" s="20" t="s">
        <v>247</v>
      </c>
      <c r="E214" s="31" t="s">
        <v>179</v>
      </c>
      <c r="F214" s="32">
        <v>268</v>
      </c>
      <c r="G214" s="32">
        <v>608</v>
      </c>
      <c r="H214" s="33">
        <f>(F214+G214)*(1+0.496)+311</f>
        <v>1621.4960000000001</v>
      </c>
      <c r="I214" s="33">
        <f>187+80</f>
        <v>267</v>
      </c>
      <c r="J214" s="45"/>
      <c r="K214" s="12">
        <v>0</v>
      </c>
      <c r="L214" s="12">
        <v>0</v>
      </c>
      <c r="M214" s="13">
        <f>60.25%+K214/2+L214/4</f>
        <v>0.60250000000000004</v>
      </c>
      <c r="N214" s="13">
        <f>60.25%*2+K214+L214/2</f>
        <v>1.2050000000000001</v>
      </c>
      <c r="O214" s="12">
        <f>0.466+0.15+0.288+0.12+0.06%*(I214+50)+0.4</f>
        <v>1.6141999999999999</v>
      </c>
      <c r="P214" s="8">
        <v>0.5</v>
      </c>
      <c r="Q214" s="8">
        <v>1.1000000000000001</v>
      </c>
      <c r="R214" s="12">
        <v>0.69479999999999997</v>
      </c>
      <c r="S214" s="11" t="s">
        <v>248</v>
      </c>
      <c r="T214" s="9">
        <f>(H214*R214+1.25*1446.85*(1+(5*(I214+50))/(1200+I214+50)))*(1+O214)*(1+N214)*P214*Q214</f>
        <v>15296.437315341129</v>
      </c>
    </row>
    <row r="215" spans="1:23" x14ac:dyDescent="0.25">
      <c r="A215" s="20" t="s">
        <v>244</v>
      </c>
      <c r="B215" s="20" t="s">
        <v>147</v>
      </c>
      <c r="C215" s="20" t="s">
        <v>246</v>
      </c>
      <c r="D215" s="20" t="s">
        <v>247</v>
      </c>
      <c r="E215" s="31" t="s">
        <v>179</v>
      </c>
      <c r="F215" s="32">
        <v>268</v>
      </c>
      <c r="G215" s="32">
        <v>510</v>
      </c>
      <c r="H215" s="33">
        <f>(F215+G215)*(1)+311</f>
        <v>1089</v>
      </c>
      <c r="I215" s="33">
        <f>187+80</f>
        <v>267</v>
      </c>
      <c r="J215" s="45"/>
      <c r="K215" s="12">
        <v>0.27600000000000002</v>
      </c>
      <c r="L215" s="12">
        <v>0</v>
      </c>
      <c r="M215" s="13">
        <f>60.25%+K215/2+L215/4</f>
        <v>0.74050000000000005</v>
      </c>
      <c r="N215" s="13">
        <f>60.25%*2+K215+L215/2</f>
        <v>1.4810000000000001</v>
      </c>
      <c r="O215" s="12">
        <f>0.466+0.15+0.288+0.06%*(I215+50)</f>
        <v>1.0941999999999998</v>
      </c>
      <c r="P215" s="8">
        <v>0.5</v>
      </c>
      <c r="Q215" s="8">
        <v>1.1000000000000001</v>
      </c>
      <c r="R215" s="12">
        <v>0.69479999999999997</v>
      </c>
      <c r="S215" s="11" t="s">
        <v>248</v>
      </c>
      <c r="T215" s="9">
        <f>(H215*R215+1.25*1446.85*(1+(5*(I215+50))/(1200+I215+50)))*(1+O215)*(1+N215)*P215*Q215</f>
        <v>12730.307634735685</v>
      </c>
    </row>
    <row r="216" spans="1:23" x14ac:dyDescent="0.25">
      <c r="I216" s="14"/>
      <c r="T216" s="13"/>
    </row>
    <row r="217" spans="1:23" x14ac:dyDescent="0.25">
      <c r="A217" s="6" t="s">
        <v>9</v>
      </c>
      <c r="B217" s="6" t="s">
        <v>10</v>
      </c>
      <c r="C217" s="6" t="s">
        <v>11</v>
      </c>
      <c r="D217" s="6" t="s">
        <v>12</v>
      </c>
      <c r="E217" s="7" t="s">
        <v>13</v>
      </c>
      <c r="F217" s="8" t="s">
        <v>14</v>
      </c>
      <c r="G217" s="8" t="s">
        <v>15</v>
      </c>
      <c r="H217" s="9" t="s">
        <v>16</v>
      </c>
      <c r="I217" s="10" t="s">
        <v>18</v>
      </c>
      <c r="J217" s="14" t="s">
        <v>38</v>
      </c>
      <c r="K217" s="12" t="s">
        <v>19</v>
      </c>
      <c r="L217" s="12" t="s">
        <v>20</v>
      </c>
      <c r="M217" s="13" t="s">
        <v>21</v>
      </c>
      <c r="N217" s="13" t="s">
        <v>22</v>
      </c>
      <c r="O217" s="12" t="s">
        <v>23</v>
      </c>
      <c r="P217" s="8" t="s">
        <v>24</v>
      </c>
      <c r="Q217" s="8" t="s">
        <v>25</v>
      </c>
      <c r="R217" s="12" t="s">
        <v>26</v>
      </c>
      <c r="S217" s="6" t="s">
        <v>27</v>
      </c>
      <c r="T217" s="9" t="s">
        <v>28</v>
      </c>
    </row>
    <row r="218" spans="1:23" x14ac:dyDescent="0.25">
      <c r="A218" s="20" t="s">
        <v>249</v>
      </c>
      <c r="B218" s="20" t="s">
        <v>81</v>
      </c>
      <c r="C218" s="20" t="s">
        <v>246</v>
      </c>
      <c r="D218" s="20" t="s">
        <v>250</v>
      </c>
      <c r="E218" s="31" t="s">
        <v>251</v>
      </c>
      <c r="F218" s="32">
        <v>200</v>
      </c>
      <c r="G218" s="32">
        <v>608</v>
      </c>
      <c r="H218" s="33">
        <f>(F218+G218)*(1+0.24+0.466+0.2)+311</f>
        <v>1851.048</v>
      </c>
      <c r="I218" s="33">
        <f>60+60</f>
        <v>120</v>
      </c>
      <c r="J218" s="45">
        <f>1+0.15+0.551</f>
        <v>1.7010000000000001</v>
      </c>
      <c r="K218" s="12">
        <v>0</v>
      </c>
      <c r="L218" s="12">
        <v>0</v>
      </c>
      <c r="M218" s="13">
        <f>60.25%+K218/2+L218/4</f>
        <v>0.60250000000000004</v>
      </c>
      <c r="N218" s="13">
        <f>60.25%*2+K218+L218/2</f>
        <v>1.2050000000000001</v>
      </c>
      <c r="O218" s="12">
        <f>0.466+0.15</f>
        <v>0.61599999999999999</v>
      </c>
      <c r="P218" s="8">
        <v>0.5</v>
      </c>
      <c r="Q218" s="8">
        <v>1.1000000000000001</v>
      </c>
      <c r="R218" s="12">
        <v>0.86499999999999999</v>
      </c>
      <c r="S218" s="11" t="s">
        <v>252</v>
      </c>
      <c r="T218" s="9">
        <f>(H218*(1+0.2)*R218+1.25*1446.85*(1+(5*I218+500)/(1200+I218+100)))*(1+O218)*(1+N218)*P218*Q218</f>
        <v>10055.655243596919</v>
      </c>
    </row>
    <row r="219" spans="1:23" x14ac:dyDescent="0.25">
      <c r="A219" s="20" t="s">
        <v>249</v>
      </c>
      <c r="B219" s="20" t="s">
        <v>81</v>
      </c>
      <c r="C219" s="20" t="s">
        <v>82</v>
      </c>
      <c r="D219" s="20" t="s">
        <v>250</v>
      </c>
      <c r="E219" s="31" t="s">
        <v>251</v>
      </c>
      <c r="F219" s="32">
        <v>200</v>
      </c>
      <c r="G219" s="32">
        <v>608</v>
      </c>
      <c r="H219" s="33">
        <f>(F219+G219)*(1+0.24+0.466+0.2)+311</f>
        <v>1851.048</v>
      </c>
      <c r="I219" s="33">
        <f>60+60</f>
        <v>120</v>
      </c>
      <c r="J219" s="45">
        <f>1+0.15+0.551</f>
        <v>1.7010000000000001</v>
      </c>
      <c r="K219" s="12">
        <v>0</v>
      </c>
      <c r="L219" s="12">
        <v>0</v>
      </c>
      <c r="M219" s="13">
        <f>60.25%+K219/2+L219/4</f>
        <v>0.60250000000000004</v>
      </c>
      <c r="N219" s="13">
        <f>60.25%*2+K219+L219/2</f>
        <v>1.2050000000000001</v>
      </c>
      <c r="O219" s="12">
        <f>0.466+0.2</f>
        <v>0.66600000000000004</v>
      </c>
      <c r="P219" s="8">
        <v>0.5</v>
      </c>
      <c r="Q219" s="8">
        <v>0.9</v>
      </c>
      <c r="R219" s="12">
        <v>0.86499999999999999</v>
      </c>
      <c r="S219" s="11" t="s">
        <v>252</v>
      </c>
      <c r="T219" s="9">
        <f>(H219*(1+0.2)*R219+1.25*1446.85*(1+(5*I219+500)/(1200+I219+100)))*(1+O219)*(1+N219)*P219*Q219</f>
        <v>8481.9135194921346</v>
      </c>
    </row>
    <row r="220" spans="1:23" x14ac:dyDescent="0.25">
      <c r="A220" s="20" t="s">
        <v>249</v>
      </c>
      <c r="B220" s="20" t="s">
        <v>116</v>
      </c>
      <c r="C220" s="20" t="s">
        <v>246</v>
      </c>
      <c r="D220" s="20" t="s">
        <v>250</v>
      </c>
      <c r="E220" s="31" t="s">
        <v>251</v>
      </c>
      <c r="F220" s="32">
        <v>200</v>
      </c>
      <c r="G220" s="32">
        <v>454</v>
      </c>
      <c r="H220" s="33">
        <f>(F220+G220)*(1+0.24+0.466+0.2)+311</f>
        <v>1557.5239999999999</v>
      </c>
      <c r="I220" s="33">
        <f>60</f>
        <v>60</v>
      </c>
      <c r="J220" s="45">
        <f>1+0.15+0.613</f>
        <v>1.7629999999999999</v>
      </c>
      <c r="K220" s="12">
        <v>0</v>
      </c>
      <c r="L220" s="12">
        <v>0</v>
      </c>
      <c r="M220" s="13">
        <f>60.25%+K220/2+L220/4</f>
        <v>0.60250000000000004</v>
      </c>
      <c r="N220" s="13">
        <f>60.25%*2+K220+L220/2</f>
        <v>1.2050000000000001</v>
      </c>
      <c r="O220" s="12">
        <f>0.466+0.15</f>
        <v>0.61599999999999999</v>
      </c>
      <c r="P220" s="8">
        <v>0.5</v>
      </c>
      <c r="Q220" s="8">
        <v>1.1000000000000001</v>
      </c>
      <c r="R220" s="12">
        <v>0.86499999999999999</v>
      </c>
      <c r="S220" s="11" t="s">
        <v>252</v>
      </c>
      <c r="T220" s="9">
        <f>(H220*(1)*R220+1.25*1446.85*(1+(5*I220)/(1200+I220)))*(1+O220)*(1+N220)*P220*Q220</f>
        <v>7028.7015824810405</v>
      </c>
    </row>
    <row r="221" spans="1:23" x14ac:dyDescent="0.25">
      <c r="A221" s="20" t="s">
        <v>249</v>
      </c>
      <c r="B221" s="20" t="s">
        <v>116</v>
      </c>
      <c r="C221" s="20" t="s">
        <v>82</v>
      </c>
      <c r="D221" s="20" t="s">
        <v>250</v>
      </c>
      <c r="E221" s="31" t="s">
        <v>251</v>
      </c>
      <c r="F221" s="32">
        <v>200</v>
      </c>
      <c r="G221" s="32">
        <v>454</v>
      </c>
      <c r="H221" s="33">
        <f>(F221+G221)*(1+0.24+0.466+0.2)+311</f>
        <v>1557.5239999999999</v>
      </c>
      <c r="I221" s="33">
        <f>60</f>
        <v>60</v>
      </c>
      <c r="J221" s="45">
        <f>1+0.15+0.613</f>
        <v>1.7629999999999999</v>
      </c>
      <c r="K221" s="12">
        <v>0</v>
      </c>
      <c r="L221" s="12">
        <v>0</v>
      </c>
      <c r="M221" s="13">
        <f>60.25%+K221/2+L221/4</f>
        <v>0.60250000000000004</v>
      </c>
      <c r="N221" s="13">
        <f>60.25%*2+K221+L221/2</f>
        <v>1.2050000000000001</v>
      </c>
      <c r="O221" s="12">
        <f>0.466+0.2</f>
        <v>0.66600000000000004</v>
      </c>
      <c r="P221" s="8">
        <v>0.5</v>
      </c>
      <c r="Q221" s="8">
        <v>0.9</v>
      </c>
      <c r="R221" s="12">
        <v>0.86499999999999999</v>
      </c>
      <c r="S221" s="11" t="s">
        <v>252</v>
      </c>
      <c r="T221" s="9">
        <f>(H221*(1+0.2)*R221+1.25*1446.85*(1+(5*I221)/(1200+I221)))*(1+O221)*(1+N221)*P221*Q221</f>
        <v>6374.1150694257112</v>
      </c>
    </row>
    <row r="223" spans="1:23" x14ac:dyDescent="0.25">
      <c r="A223" s="18" t="s">
        <v>9</v>
      </c>
      <c r="B223" s="18" t="s">
        <v>10</v>
      </c>
      <c r="C223" s="18" t="s">
        <v>11</v>
      </c>
      <c r="D223" s="18" t="s">
        <v>12</v>
      </c>
      <c r="E223" s="34" t="s">
        <v>13</v>
      </c>
      <c r="F223" s="35" t="s">
        <v>14</v>
      </c>
      <c r="G223" s="35" t="s">
        <v>15</v>
      </c>
      <c r="H223" s="36" t="s">
        <v>16</v>
      </c>
      <c r="I223" s="46" t="s">
        <v>18</v>
      </c>
      <c r="J223" s="47" t="s">
        <v>38</v>
      </c>
      <c r="K223" s="48" t="s">
        <v>19</v>
      </c>
      <c r="L223" s="48" t="s">
        <v>20</v>
      </c>
      <c r="M223" s="49" t="s">
        <v>21</v>
      </c>
      <c r="N223" s="49" t="s">
        <v>22</v>
      </c>
      <c r="O223" s="48" t="s">
        <v>23</v>
      </c>
      <c r="P223" s="35" t="s">
        <v>24</v>
      </c>
      <c r="Q223" s="35" t="s">
        <v>25</v>
      </c>
      <c r="R223" s="48" t="s">
        <v>26</v>
      </c>
      <c r="S223" s="18" t="s">
        <v>27</v>
      </c>
      <c r="T223" s="36" t="s">
        <v>28</v>
      </c>
    </row>
    <row r="224" spans="1:23" x14ac:dyDescent="0.25">
      <c r="A224" s="20" t="s">
        <v>253</v>
      </c>
      <c r="B224" s="20" t="s">
        <v>97</v>
      </c>
      <c r="C224" s="20" t="s">
        <v>246</v>
      </c>
      <c r="D224" s="20" t="s">
        <v>247</v>
      </c>
      <c r="E224" s="31" t="s">
        <v>251</v>
      </c>
      <c r="F224" s="32">
        <v>212</v>
      </c>
      <c r="G224" s="32">
        <v>608</v>
      </c>
      <c r="H224" s="33">
        <f>(F224+G224)*(1+0.24)+311</f>
        <v>1327.8</v>
      </c>
      <c r="I224" s="33">
        <f>187+80</f>
        <v>267</v>
      </c>
      <c r="J224" s="45">
        <f>1+0.2+0.551</f>
        <v>1.7509999999999999</v>
      </c>
      <c r="K224" s="48">
        <v>0.04</v>
      </c>
      <c r="L224" s="48">
        <v>0</v>
      </c>
      <c r="M224" s="49">
        <f>60.25%+K224/2+L224/4</f>
        <v>0.62250000000000005</v>
      </c>
      <c r="N224" s="49">
        <f>60.25%*2+K224+L224/2</f>
        <v>1.2450000000000001</v>
      </c>
      <c r="O224" s="48">
        <f>0.466+0.15+0.1%*I224</f>
        <v>0.88300000000000001</v>
      </c>
      <c r="P224" s="35">
        <v>0.5</v>
      </c>
      <c r="Q224" s="35">
        <v>1.1000000000000001</v>
      </c>
      <c r="R224" s="48">
        <v>1.6032</v>
      </c>
      <c r="S224" s="16" t="s">
        <v>252</v>
      </c>
      <c r="T224" s="36">
        <f>(H224*(1)*R224+1.25*1446.85*(1+(5*I224)/(1200+I224)))*(1+O224)*(1+N224)*P224*Q224</f>
        <v>12980.945965680772</v>
      </c>
    </row>
    <row r="225" spans="1:20" x14ac:dyDescent="0.25">
      <c r="A225" s="20" t="s">
        <v>253</v>
      </c>
      <c r="B225" s="20" t="s">
        <v>189</v>
      </c>
      <c r="C225" s="20" t="s">
        <v>246</v>
      </c>
      <c r="D225" s="20" t="s">
        <v>247</v>
      </c>
      <c r="E225" s="31" t="s">
        <v>251</v>
      </c>
      <c r="F225" s="32">
        <v>212</v>
      </c>
      <c r="G225" s="32">
        <v>454</v>
      </c>
      <c r="H225" s="33">
        <f>(F225+G225)*(1+0.24)+311</f>
        <v>1136.8400000000001</v>
      </c>
      <c r="I225" s="33">
        <f>187+80</f>
        <v>267</v>
      </c>
      <c r="J225" s="45">
        <f>1+0.2+0.613</f>
        <v>1.8129999999999999</v>
      </c>
      <c r="K225" s="48">
        <v>0</v>
      </c>
      <c r="L225" s="48">
        <v>0</v>
      </c>
      <c r="M225" s="49">
        <f>60.25%+K225/2+L225/4</f>
        <v>0.60250000000000004</v>
      </c>
      <c r="N225" s="49">
        <f>60.25%*2+K225+L225/2</f>
        <v>1.2050000000000001</v>
      </c>
      <c r="O225" s="48">
        <f>0.466+0.15+0.1%*I225</f>
        <v>0.88300000000000001</v>
      </c>
      <c r="P225" s="35">
        <v>0.5</v>
      </c>
      <c r="Q225" s="35">
        <v>1.1000000000000001</v>
      </c>
      <c r="R225" s="48">
        <v>1.6032</v>
      </c>
      <c r="S225" s="16" t="s">
        <v>252</v>
      </c>
      <c r="T225" s="36">
        <f>(H225*(1)*R225+1.25*1446.85*(1+(5*I225)/(1200+I225)))*(1+O225)*(1+N225)*P225*Q225</f>
        <v>12050.539643975299</v>
      </c>
    </row>
    <row r="226" spans="1:20" x14ac:dyDescent="0.25">
      <c r="A226" s="20" t="s">
        <v>253</v>
      </c>
      <c r="B226" s="20" t="s">
        <v>207</v>
      </c>
      <c r="C226" s="20" t="s">
        <v>246</v>
      </c>
      <c r="D226" s="20" t="s">
        <v>247</v>
      </c>
      <c r="E226" s="31" t="s">
        <v>251</v>
      </c>
      <c r="F226" s="32">
        <v>212</v>
      </c>
      <c r="G226" s="32">
        <v>565</v>
      </c>
      <c r="H226" s="33">
        <f>(F226+G226)*(1+0.24)+311</f>
        <v>1274.48</v>
      </c>
      <c r="I226" s="33">
        <f>187+80</f>
        <v>267</v>
      </c>
      <c r="J226" s="45">
        <f>1+0.2+0.306</f>
        <v>1.506</v>
      </c>
      <c r="K226" s="48">
        <v>0</v>
      </c>
      <c r="L226" s="48">
        <v>0</v>
      </c>
      <c r="M226" s="49">
        <f>60.25%+K226/2+L226/4</f>
        <v>0.60250000000000004</v>
      </c>
      <c r="N226" s="49">
        <f>60.25%*2+K226+L226/2</f>
        <v>1.2050000000000001</v>
      </c>
      <c r="O226" s="48">
        <f>0.466+0.15+0.1%*I226</f>
        <v>0.88300000000000001</v>
      </c>
      <c r="P226" s="35">
        <v>0.5</v>
      </c>
      <c r="Q226" s="35">
        <v>1.1000000000000001</v>
      </c>
      <c r="R226" s="48">
        <v>1.6032</v>
      </c>
      <c r="S226" s="16" t="s">
        <v>252</v>
      </c>
      <c r="T226" s="36">
        <f>(H226*(1)*R226+1.25*1446.85*(1+(5*I226)/(1200+I226)))*(1+O226)*(1+N226)*P226*Q226</f>
        <v>12554.450797909794</v>
      </c>
    </row>
    <row r="227" spans="1:20" x14ac:dyDescent="0.25">
      <c r="I227" s="14"/>
      <c r="T227" s="13"/>
    </row>
    <row r="228" spans="1:20" x14ac:dyDescent="0.25">
      <c r="A228" s="37"/>
      <c r="B228" s="37"/>
      <c r="C228" s="37"/>
      <c r="D228" s="37"/>
      <c r="E228" s="38"/>
      <c r="F228" s="39"/>
      <c r="G228" s="39"/>
      <c r="H228" s="40"/>
      <c r="I228" s="50"/>
      <c r="J228" s="51"/>
      <c r="K228" s="52"/>
      <c r="L228" s="52"/>
      <c r="M228" s="53"/>
      <c r="N228" s="53"/>
      <c r="O228" s="52"/>
      <c r="P228" s="39"/>
      <c r="Q228" s="39"/>
      <c r="R228" s="52"/>
      <c r="S228" s="37"/>
      <c r="T228" s="40"/>
    </row>
    <row r="229" spans="1:20" x14ac:dyDescent="0.25">
      <c r="A229" s="6" t="s">
        <v>9</v>
      </c>
      <c r="B229" s="6" t="s">
        <v>10</v>
      </c>
      <c r="C229" s="6" t="s">
        <v>11</v>
      </c>
      <c r="D229" s="6" t="s">
        <v>12</v>
      </c>
      <c r="E229" s="7" t="s">
        <v>13</v>
      </c>
      <c r="F229" s="8" t="s">
        <v>14</v>
      </c>
      <c r="G229" s="8" t="s">
        <v>15</v>
      </c>
      <c r="H229" s="9" t="s">
        <v>16</v>
      </c>
      <c r="I229" s="10" t="s">
        <v>38</v>
      </c>
      <c r="K229" s="12" t="s">
        <v>19</v>
      </c>
      <c r="L229" s="12" t="s">
        <v>20</v>
      </c>
      <c r="M229" s="13" t="s">
        <v>21</v>
      </c>
      <c r="N229" s="13" t="s">
        <v>22</v>
      </c>
      <c r="O229" s="12" t="s">
        <v>23</v>
      </c>
      <c r="P229" s="8" t="s">
        <v>24</v>
      </c>
      <c r="Q229" s="8" t="s">
        <v>25</v>
      </c>
      <c r="R229" s="12" t="s">
        <v>26</v>
      </c>
      <c r="S229" s="6" t="s">
        <v>27</v>
      </c>
      <c r="T229" s="9" t="s">
        <v>28</v>
      </c>
    </row>
    <row r="230" spans="1:20" x14ac:dyDescent="0.25">
      <c r="A230" s="6" t="s">
        <v>254</v>
      </c>
      <c r="B230" s="6" t="s">
        <v>255</v>
      </c>
      <c r="C230" s="6" t="s">
        <v>256</v>
      </c>
      <c r="D230" s="6" t="s">
        <v>257</v>
      </c>
      <c r="E230" s="7" t="s">
        <v>258</v>
      </c>
      <c r="F230" s="8">
        <v>304</v>
      </c>
      <c r="G230" s="8">
        <v>741</v>
      </c>
      <c r="H230" s="9">
        <f>(F230+G230)*(1+0.4+0.466*3+0.165+0.288+0.18*2)+311</f>
        <v>4084.4949999999999</v>
      </c>
      <c r="I230" s="19">
        <f>1+0.8</f>
        <v>1.8</v>
      </c>
      <c r="K230" s="12">
        <v>0</v>
      </c>
      <c r="L230" s="12">
        <v>0</v>
      </c>
      <c r="M230" s="13" t="s">
        <v>44</v>
      </c>
      <c r="N230" s="13" t="s">
        <v>44</v>
      </c>
      <c r="O230" s="12" t="s">
        <v>45</v>
      </c>
      <c r="P230" s="8">
        <f>0.5</f>
        <v>0.5</v>
      </c>
      <c r="Q230" s="8">
        <f>0.9</f>
        <v>0.9</v>
      </c>
      <c r="R230" s="12" t="s">
        <v>45</v>
      </c>
      <c r="S230" s="6" t="s">
        <v>259</v>
      </c>
      <c r="T230" s="9" t="s">
        <v>44</v>
      </c>
    </row>
    <row r="231" spans="1:20" x14ac:dyDescent="0.25">
      <c r="A231" s="6" t="s">
        <v>254</v>
      </c>
      <c r="B231" s="6" t="s">
        <v>88</v>
      </c>
      <c r="C231" s="6" t="s">
        <v>256</v>
      </c>
      <c r="D231" s="6" t="s">
        <v>257</v>
      </c>
      <c r="E231" s="7" t="s">
        <v>258</v>
      </c>
      <c r="F231" s="8">
        <v>304</v>
      </c>
      <c r="G231" s="8">
        <v>608</v>
      </c>
      <c r="H231" s="9">
        <f>(F231+G231)*(1+0.4+0.466*3+0.288+0.18*2+0.28*(I231-1))+311</f>
        <v>3798.7433599999999</v>
      </c>
      <c r="I231" s="54">
        <f>1+0.551+0.8</f>
        <v>2.351</v>
      </c>
      <c r="K231" s="12">
        <v>0</v>
      </c>
      <c r="L231" s="12">
        <v>0</v>
      </c>
      <c r="M231" s="13" t="s">
        <v>44</v>
      </c>
      <c r="N231" s="13" t="s">
        <v>44</v>
      </c>
      <c r="O231" s="12" t="s">
        <v>45</v>
      </c>
      <c r="P231" s="8">
        <f>0.5</f>
        <v>0.5</v>
      </c>
      <c r="Q231" s="8">
        <f>0.9</f>
        <v>0.9</v>
      </c>
      <c r="R231" s="12" t="s">
        <v>45</v>
      </c>
      <c r="S231" s="6" t="s">
        <v>259</v>
      </c>
      <c r="T231" s="9" t="s">
        <v>44</v>
      </c>
    </row>
    <row r="232" spans="1:20" x14ac:dyDescent="0.25">
      <c r="A232" s="6" t="s">
        <v>254</v>
      </c>
      <c r="B232" s="6" t="s">
        <v>93</v>
      </c>
      <c r="C232" s="6" t="s">
        <v>256</v>
      </c>
      <c r="D232" s="6" t="s">
        <v>257</v>
      </c>
      <c r="E232" s="7" t="s">
        <v>258</v>
      </c>
      <c r="F232" s="8">
        <v>304</v>
      </c>
      <c r="G232" s="8">
        <v>674</v>
      </c>
      <c r="H232" s="9">
        <f>(F232+G232)*(1+0.4+0.466*3+0.288+0.18*2)+311</f>
        <v>3681.1879999999996</v>
      </c>
      <c r="I232" s="54">
        <f>1+0.8+0.368</f>
        <v>2.1680000000000001</v>
      </c>
      <c r="K232" s="12">
        <v>0</v>
      </c>
      <c r="L232" s="12">
        <v>0</v>
      </c>
      <c r="M232" s="13" t="s">
        <v>44</v>
      </c>
      <c r="N232" s="13" t="s">
        <v>44</v>
      </c>
      <c r="O232" s="12" t="s">
        <v>45</v>
      </c>
      <c r="P232" s="8">
        <f>0.5</f>
        <v>0.5</v>
      </c>
      <c r="Q232" s="8">
        <f>0.9</f>
        <v>0.9</v>
      </c>
      <c r="R232" s="12" t="s">
        <v>45</v>
      </c>
      <c r="S232" s="6" t="s">
        <v>259</v>
      </c>
      <c r="T232" s="9" t="s">
        <v>44</v>
      </c>
    </row>
    <row r="233" spans="1:20" x14ac:dyDescent="0.25">
      <c r="A233" s="6" t="s">
        <v>254</v>
      </c>
      <c r="B233" s="6" t="s">
        <v>40</v>
      </c>
      <c r="C233" s="6" t="s">
        <v>256</v>
      </c>
      <c r="D233" s="6" t="s">
        <v>257</v>
      </c>
      <c r="E233" s="7" t="s">
        <v>258</v>
      </c>
      <c r="F233" s="8">
        <v>304</v>
      </c>
      <c r="G233" s="8">
        <v>565</v>
      </c>
      <c r="H233" s="9">
        <f>(F233+G233)*(1+0.4+0.466*3+0.288+0.18*2)+311</f>
        <v>3305.5739999999996</v>
      </c>
      <c r="I233" s="54">
        <f>1+0.8+0.306</f>
        <v>2.1059999999999999</v>
      </c>
      <c r="K233" s="12">
        <v>0</v>
      </c>
      <c r="L233" s="12">
        <v>0</v>
      </c>
      <c r="M233" s="13" t="s">
        <v>44</v>
      </c>
      <c r="N233" s="13" t="s">
        <v>44</v>
      </c>
      <c r="O233" s="12" t="s">
        <v>45</v>
      </c>
      <c r="P233" s="8">
        <f>0.5</f>
        <v>0.5</v>
      </c>
      <c r="Q233" s="8">
        <f>0.9</f>
        <v>0.9</v>
      </c>
      <c r="R233" s="12" t="s">
        <v>45</v>
      </c>
      <c r="S233" s="6" t="s">
        <v>259</v>
      </c>
      <c r="T233" s="9" t="s">
        <v>44</v>
      </c>
    </row>
    <row r="235" spans="1:20" x14ac:dyDescent="0.25">
      <c r="A235" s="6" t="s">
        <v>9</v>
      </c>
      <c r="B235" s="6" t="s">
        <v>10</v>
      </c>
      <c r="C235" s="6" t="s">
        <v>11</v>
      </c>
      <c r="D235" s="6" t="s">
        <v>12</v>
      </c>
      <c r="E235" s="7" t="s">
        <v>13</v>
      </c>
      <c r="F235" s="8" t="s">
        <v>14</v>
      </c>
      <c r="G235" s="8" t="s">
        <v>15</v>
      </c>
      <c r="H235" s="9" t="s">
        <v>16</v>
      </c>
      <c r="K235" s="12" t="s">
        <v>19</v>
      </c>
      <c r="L235" s="12" t="s">
        <v>20</v>
      </c>
      <c r="M235" s="13" t="s">
        <v>21</v>
      </c>
      <c r="N235" s="13" t="s">
        <v>22</v>
      </c>
      <c r="O235" s="12" t="s">
        <v>23</v>
      </c>
      <c r="P235" s="8" t="s">
        <v>24</v>
      </c>
      <c r="Q235" s="8" t="s">
        <v>25</v>
      </c>
      <c r="R235" s="12" t="s">
        <v>26</v>
      </c>
      <c r="S235" s="6" t="s">
        <v>27</v>
      </c>
      <c r="T235" s="9" t="s">
        <v>260</v>
      </c>
    </row>
    <row r="236" spans="1:20" x14ac:dyDescent="0.25">
      <c r="A236" s="6" t="s">
        <v>261</v>
      </c>
      <c r="B236" s="6" t="s">
        <v>224</v>
      </c>
      <c r="C236" s="6" t="s">
        <v>262</v>
      </c>
      <c r="D236" s="6" t="s">
        <v>263</v>
      </c>
      <c r="E236" s="7" t="s">
        <v>264</v>
      </c>
      <c r="F236" s="8">
        <v>342</v>
      </c>
      <c r="G236" s="8">
        <v>674</v>
      </c>
      <c r="H236" s="9">
        <f>(F236+G236)*(1+0.3+0.466)+311</f>
        <v>2105.2560000000003</v>
      </c>
      <c r="K236" s="12">
        <f>0.4+0.15</f>
        <v>0.55000000000000004</v>
      </c>
      <c r="L236" s="12">
        <f>38.4%+44.1%</f>
        <v>0.82499999999999996</v>
      </c>
      <c r="M236" s="13">
        <f>63.55%+K236/2+L236/4-11.68%-55%-10%</f>
        <v>0.34994999999999987</v>
      </c>
      <c r="N236" s="13">
        <f>63.55%*2+K236+L236/2+11.68%*2+20%-6.6%*2</f>
        <v>2.5350999999999999</v>
      </c>
      <c r="O236" s="12">
        <f>0.466+0.15+0.18+0.4</f>
        <v>1.1960000000000002</v>
      </c>
      <c r="P236" s="8">
        <f>0.5</f>
        <v>0.5</v>
      </c>
      <c r="Q236" s="8">
        <f>0.9</f>
        <v>0.9</v>
      </c>
      <c r="R236" s="12">
        <f>2.0214</f>
        <v>2.0213999999999999</v>
      </c>
      <c r="S236" s="6" t="s">
        <v>265</v>
      </c>
      <c r="T236" s="9">
        <f>H236*R236*(1+O236)*(1+N236)*P236*Q236</f>
        <v>14866.32860493826</v>
      </c>
    </row>
    <row r="237" spans="1:20" x14ac:dyDescent="0.25">
      <c r="A237" s="6" t="s">
        <v>261</v>
      </c>
      <c r="B237" s="6" t="s">
        <v>186</v>
      </c>
      <c r="C237" s="6" t="s">
        <v>262</v>
      </c>
      <c r="D237" s="6" t="s">
        <v>263</v>
      </c>
      <c r="E237" s="7" t="s">
        <v>264</v>
      </c>
      <c r="F237" s="8">
        <v>342</v>
      </c>
      <c r="G237" s="8">
        <v>454</v>
      </c>
      <c r="H237" s="9">
        <f>(F237+G237)*(1+0.3+0.466+0.551)+311</f>
        <v>2155.3320000000003</v>
      </c>
      <c r="K237" s="12">
        <f>0.15+0.4</f>
        <v>0.55000000000000004</v>
      </c>
      <c r="L237" s="12">
        <f>38.4%</f>
        <v>0.38400000000000001</v>
      </c>
      <c r="M237" s="13">
        <f>63.55%+K237/2+L237/4-0.65%-55%-10%</f>
        <v>0.35</v>
      </c>
      <c r="N237" s="13">
        <f>63.55%*2+K237+L237/2+0.65%*2+20%-6.6%*2</f>
        <v>2.0939999999999999</v>
      </c>
      <c r="O237" s="12">
        <f>0.466+0.15+0.18</f>
        <v>0.79600000000000004</v>
      </c>
      <c r="P237" s="8">
        <f>0.5</f>
        <v>0.5</v>
      </c>
      <c r="Q237" s="8">
        <f>0.9</f>
        <v>0.9</v>
      </c>
      <c r="R237" s="12">
        <f>2.0214</f>
        <v>2.0213999999999999</v>
      </c>
      <c r="S237" s="6" t="s">
        <v>265</v>
      </c>
      <c r="T237" s="9">
        <f>H237*R237*(1+O237)*(1+N237)*P237*Q237</f>
        <v>10894.457116650219</v>
      </c>
    </row>
    <row r="239" spans="1:20" x14ac:dyDescent="0.25">
      <c r="A239" s="6" t="s">
        <v>9</v>
      </c>
      <c r="B239" s="6" t="s">
        <v>10</v>
      </c>
      <c r="C239" s="6" t="s">
        <v>11</v>
      </c>
      <c r="D239" s="6" t="s">
        <v>12</v>
      </c>
      <c r="E239" s="7" t="s">
        <v>13</v>
      </c>
      <c r="F239" s="8" t="s">
        <v>14</v>
      </c>
      <c r="G239" s="8" t="s">
        <v>15</v>
      </c>
      <c r="H239" s="9" t="s">
        <v>16</v>
      </c>
      <c r="J239" s="14"/>
      <c r="K239" s="12" t="s">
        <v>19</v>
      </c>
      <c r="L239" s="12" t="s">
        <v>20</v>
      </c>
      <c r="M239" s="13" t="s">
        <v>21</v>
      </c>
      <c r="N239" s="13" t="s">
        <v>22</v>
      </c>
      <c r="O239" s="12" t="s">
        <v>23</v>
      </c>
      <c r="P239" s="8" t="s">
        <v>24</v>
      </c>
      <c r="Q239" s="8" t="s">
        <v>25</v>
      </c>
      <c r="R239" s="12" t="s">
        <v>26</v>
      </c>
      <c r="S239" s="6" t="s">
        <v>27</v>
      </c>
      <c r="T239" s="9" t="s">
        <v>28</v>
      </c>
    </row>
    <row r="240" spans="1:20" x14ac:dyDescent="0.25">
      <c r="A240" s="6" t="s">
        <v>266</v>
      </c>
      <c r="B240" s="6" t="s">
        <v>267</v>
      </c>
      <c r="C240" s="6" t="s">
        <v>268</v>
      </c>
      <c r="D240" s="6" t="s">
        <v>71</v>
      </c>
      <c r="E240" s="7" t="s">
        <v>264</v>
      </c>
      <c r="F240" s="8">
        <v>342</v>
      </c>
      <c r="G240" s="8">
        <v>741</v>
      </c>
      <c r="H240" s="9">
        <f>(F240+G240)*(1+0.3+0.466+0.16)+311</f>
        <v>2396.8579999999997</v>
      </c>
      <c r="K240" s="12">
        <v>0.15</v>
      </c>
      <c r="L240" s="12">
        <v>0.38400000000000001</v>
      </c>
      <c r="M240" s="13">
        <f>60.25%+K240/2+L240/4-15%</f>
        <v>0.62349999999999994</v>
      </c>
      <c r="N240" s="13">
        <f>60.25%*2+K240+L240/2</f>
        <v>1.5469999999999999</v>
      </c>
      <c r="O240" s="12">
        <f>0.583+0.5+0.207</f>
        <v>1.29</v>
      </c>
      <c r="P240" s="8">
        <f>0.5</f>
        <v>0.5</v>
      </c>
      <c r="Q240" s="8">
        <v>1.0649999999999999</v>
      </c>
      <c r="R240" s="12">
        <f>725.56%+13*148.24%</f>
        <v>26.526800000000001</v>
      </c>
      <c r="S240" s="6" t="s">
        <v>269</v>
      </c>
      <c r="T240" s="9">
        <f>((F240+G240)*(1+0.3+0.466+0.16+0.18+0.2)+311)*R240*(1+O240)*(1+N240)*P240*Q240</f>
        <v>231380.92743819082</v>
      </c>
    </row>
    <row r="241" spans="1:20" x14ac:dyDescent="0.25">
      <c r="A241" s="6" t="s">
        <v>266</v>
      </c>
      <c r="B241" s="6" t="s">
        <v>64</v>
      </c>
      <c r="C241" s="6" t="s">
        <v>268</v>
      </c>
      <c r="D241" s="6" t="s">
        <v>71</v>
      </c>
      <c r="E241" s="7" t="s">
        <v>264</v>
      </c>
      <c r="F241" s="8">
        <v>342</v>
      </c>
      <c r="G241" s="8">
        <v>608</v>
      </c>
      <c r="H241" s="9">
        <f>(F241+G241)*(1+0.3+0.466+0.2+0.496)+311</f>
        <v>2649.8999999999996</v>
      </c>
      <c r="K241" s="12">
        <v>0.15</v>
      </c>
      <c r="L241" s="12">
        <v>0.38400000000000001</v>
      </c>
      <c r="M241" s="13">
        <f>60.25%+K241/2+L241/4-15%</f>
        <v>0.62349999999999994</v>
      </c>
      <c r="N241" s="13">
        <f>60.25%*2+K241+L241/2</f>
        <v>1.5469999999999999</v>
      </c>
      <c r="O241" s="12">
        <f>0.583+0.5</f>
        <v>1.083</v>
      </c>
      <c r="P241" s="8">
        <f>0.5</f>
        <v>0.5</v>
      </c>
      <c r="Q241" s="8">
        <v>1.0649999999999999</v>
      </c>
      <c r="R241" s="12">
        <f>725.56%+13*148.24%</f>
        <v>26.526800000000001</v>
      </c>
      <c r="S241" s="6" t="s">
        <v>269</v>
      </c>
      <c r="T241" s="9">
        <f>((F241+G241)*(1+0.3+0.466+0.2+0.496+0.18)+311)*R241*(1+O241)*(1+N241)*P241*Q241</f>
        <v>211402.62753167227</v>
      </c>
    </row>
    <row r="242" spans="1:20" x14ac:dyDescent="0.25">
      <c r="A242" s="6" t="s">
        <v>266</v>
      </c>
      <c r="B242" s="6" t="s">
        <v>66</v>
      </c>
      <c r="C242" s="6" t="s">
        <v>268</v>
      </c>
      <c r="D242" s="6" t="s">
        <v>71</v>
      </c>
      <c r="E242" s="7" t="s">
        <v>264</v>
      </c>
      <c r="F242" s="8">
        <v>342</v>
      </c>
      <c r="G242" s="8">
        <v>510</v>
      </c>
      <c r="H242" s="9">
        <f>(F242+G242)*(1+0.3+0.466)+311</f>
        <v>1815.6320000000001</v>
      </c>
      <c r="K242" s="12">
        <f>15%+27.6%</f>
        <v>0.42600000000000005</v>
      </c>
      <c r="L242" s="12">
        <f t="shared" ref="L242:L254" si="28">38.4%</f>
        <v>0.38400000000000001</v>
      </c>
      <c r="M242" s="13">
        <v>0.75</v>
      </c>
      <c r="N242" s="13">
        <f>60.25%*2+K242+L242/2+1.15%*2</f>
        <v>1.8460000000000001</v>
      </c>
      <c r="O242" s="12">
        <f>0.583+0.5+0.4</f>
        <v>1.4830000000000001</v>
      </c>
      <c r="P242" s="8">
        <f>0.5</f>
        <v>0.5</v>
      </c>
      <c r="Q242" s="8">
        <v>1.0649999999999999</v>
      </c>
      <c r="R242" s="12">
        <f>725.56%+13*148.24%</f>
        <v>26.526800000000001</v>
      </c>
      <c r="S242" s="6" t="s">
        <v>269</v>
      </c>
      <c r="T242" s="9">
        <f>((F242+G242)*(1+0.3+0.466+0.18)+311)*R242*(1+O242)*(1+N242)*P242*Q242</f>
        <v>196544.11386897101</v>
      </c>
    </row>
    <row r="243" spans="1:20" x14ac:dyDescent="0.25">
      <c r="S243" s="6" t="s">
        <v>270</v>
      </c>
    </row>
    <row r="245" spans="1:20" x14ac:dyDescent="0.25">
      <c r="A245" s="6" t="s">
        <v>9</v>
      </c>
      <c r="B245" s="6" t="s">
        <v>10</v>
      </c>
      <c r="C245" s="6" t="s">
        <v>11</v>
      </c>
      <c r="E245" s="7" t="s">
        <v>13</v>
      </c>
      <c r="F245" s="8" t="s">
        <v>14</v>
      </c>
      <c r="G245" s="8" t="s">
        <v>15</v>
      </c>
      <c r="H245" s="9" t="s">
        <v>16</v>
      </c>
      <c r="J245" s="10" t="s">
        <v>18</v>
      </c>
      <c r="K245" s="12" t="s">
        <v>19</v>
      </c>
      <c r="L245" s="12" t="s">
        <v>20</v>
      </c>
      <c r="M245" s="13" t="s">
        <v>21</v>
      </c>
      <c r="N245" s="13" t="s">
        <v>22</v>
      </c>
      <c r="O245" s="12" t="s">
        <v>23</v>
      </c>
      <c r="P245" s="8" t="s">
        <v>24</v>
      </c>
      <c r="Q245" s="8" t="s">
        <v>25</v>
      </c>
      <c r="R245" s="12" t="s">
        <v>26</v>
      </c>
      <c r="S245" s="6" t="s">
        <v>27</v>
      </c>
      <c r="T245" s="9" t="s">
        <v>28</v>
      </c>
    </row>
    <row r="246" spans="1:20" x14ac:dyDescent="0.25">
      <c r="A246" s="6" t="s">
        <v>271</v>
      </c>
      <c r="B246" s="6" t="s">
        <v>85</v>
      </c>
      <c r="C246" s="6" t="s">
        <v>262</v>
      </c>
      <c r="D246" s="6" t="s">
        <v>263</v>
      </c>
      <c r="E246" s="7" t="s">
        <v>179</v>
      </c>
      <c r="F246" s="8">
        <f>335</f>
        <v>335</v>
      </c>
      <c r="G246" s="8">
        <f>608</f>
        <v>608</v>
      </c>
      <c r="H246" s="9">
        <f>(F246+G246)*(1+0.3+0.466+0.496)+311</f>
        <v>2444.0659999999998</v>
      </c>
      <c r="K246" s="12">
        <f>0.2+0.4+0.15</f>
        <v>0.75000000000000011</v>
      </c>
      <c r="L246" s="12">
        <f t="shared" si="28"/>
        <v>0.38400000000000001</v>
      </c>
      <c r="M246" s="13">
        <f>63.55%+K246/2+L246/4-10.65%-75%</f>
        <v>0.25</v>
      </c>
      <c r="N246" s="13">
        <f>63.55%*2+K246+L246/2+10.65%*2-6.6%*2</f>
        <v>2.294</v>
      </c>
      <c r="O246" s="12">
        <f>0.466+0.15+0.12+0.4</f>
        <v>1.1360000000000001</v>
      </c>
      <c r="P246" s="8">
        <f t="shared" ref="P246:P254" si="29">0.5</f>
        <v>0.5</v>
      </c>
      <c r="Q246" s="8">
        <f t="shared" ref="Q246:Q254" si="30">0.9</f>
        <v>0.9</v>
      </c>
      <c r="R246" s="12">
        <v>3.9167999999999998</v>
      </c>
      <c r="S246" s="11" t="s">
        <v>272</v>
      </c>
      <c r="T246" s="9">
        <f>H246*R246*(1+O246)*(1+N246)*P246*Q246</f>
        <v>30309.703124595053</v>
      </c>
    </row>
    <row r="247" spans="1:20" x14ac:dyDescent="0.25">
      <c r="A247" s="6" t="s">
        <v>271</v>
      </c>
      <c r="B247" s="11" t="s">
        <v>273</v>
      </c>
      <c r="C247" s="6" t="s">
        <v>262</v>
      </c>
      <c r="D247" s="6" t="s">
        <v>263</v>
      </c>
      <c r="E247" s="7" t="s">
        <v>179</v>
      </c>
      <c r="F247" s="8">
        <f>335</f>
        <v>335</v>
      </c>
      <c r="G247" s="8">
        <v>454</v>
      </c>
      <c r="H247" s="9">
        <f>(F247+G247)*(1+0.3+0.466+0.551)+311</f>
        <v>2139.1130000000003</v>
      </c>
      <c r="I247" s="55"/>
      <c r="K247" s="12">
        <f>0.2+0.4+0.15</f>
        <v>0.75000000000000011</v>
      </c>
      <c r="L247" s="12">
        <f t="shared" si="28"/>
        <v>0.38400000000000001</v>
      </c>
      <c r="M247" s="13">
        <f>63.55%+K247/2+L247/4-10.65%-75%</f>
        <v>0.25</v>
      </c>
      <c r="N247" s="13">
        <f>63.55%*2+K247+L247/2+10.65%*2-6.6%*2</f>
        <v>2.294</v>
      </c>
      <c r="O247" s="12">
        <f>0.466+0.15+0.18*2</f>
        <v>0.97599999999999998</v>
      </c>
      <c r="P247" s="8">
        <f t="shared" si="29"/>
        <v>0.5</v>
      </c>
      <c r="Q247" s="8">
        <f t="shared" si="30"/>
        <v>0.9</v>
      </c>
      <c r="R247" s="12">
        <v>3.9167999999999998</v>
      </c>
      <c r="S247" s="11" t="s">
        <v>272</v>
      </c>
      <c r="T247" s="9">
        <f>H247*R247*(1+O247)*(1+N247)*P247*Q247</f>
        <v>24540.769257763008</v>
      </c>
    </row>
    <row r="248" spans="1:20" x14ac:dyDescent="0.25">
      <c r="A248" s="6" t="s">
        <v>271</v>
      </c>
      <c r="B248" s="11" t="s">
        <v>274</v>
      </c>
      <c r="C248" s="6" t="s">
        <v>262</v>
      </c>
      <c r="D248" s="6" t="s">
        <v>263</v>
      </c>
      <c r="E248" s="7" t="s">
        <v>179</v>
      </c>
      <c r="F248" s="8">
        <f>335</f>
        <v>335</v>
      </c>
      <c r="G248" s="8">
        <v>510</v>
      </c>
      <c r="H248" s="9">
        <f>(F248+G248)*(1+0.3+0.466+0.413)+311</f>
        <v>2152.2550000000001</v>
      </c>
      <c r="I248" s="55">
        <f>(F248+G248)*(1+0.3+0.466+0.413+0.54)+311</f>
        <v>2608.5549999999998</v>
      </c>
      <c r="K248" s="12">
        <f>0.2+0.4+0.15</f>
        <v>0.75000000000000011</v>
      </c>
      <c r="L248" s="12">
        <f t="shared" si="28"/>
        <v>0.38400000000000001</v>
      </c>
      <c r="M248" s="13">
        <f>63.55%+K248/2+L248/4-10.65%-75%</f>
        <v>0.25</v>
      </c>
      <c r="N248" s="13">
        <f>63.55%*2+K248+L248/2+10.65%*2-6.6%*2</f>
        <v>2.294</v>
      </c>
      <c r="O248" s="12">
        <f>0.466+0.15</f>
        <v>0.61599999999999999</v>
      </c>
      <c r="P248" s="8">
        <f t="shared" si="29"/>
        <v>0.5</v>
      </c>
      <c r="Q248" s="8">
        <f t="shared" si="30"/>
        <v>0.9</v>
      </c>
      <c r="R248" s="12">
        <v>3.9167999999999998</v>
      </c>
      <c r="S248" s="11" t="s">
        <v>272</v>
      </c>
      <c r="T248" s="9">
        <f>I248*R248*(1+O248)*(1+N248)*P248*Q248</f>
        <v>24474.219976767286</v>
      </c>
    </row>
    <row r="249" spans="1:20" x14ac:dyDescent="0.25">
      <c r="B249" s="11"/>
      <c r="I249" s="55"/>
      <c r="S249" s="11"/>
    </row>
    <row r="250" spans="1:20" x14ac:dyDescent="0.25">
      <c r="A250" s="6" t="s">
        <v>9</v>
      </c>
      <c r="B250" s="6" t="s">
        <v>10</v>
      </c>
      <c r="C250" s="6" t="s">
        <v>11</v>
      </c>
      <c r="E250" s="7" t="s">
        <v>13</v>
      </c>
      <c r="F250" s="8" t="s">
        <v>14</v>
      </c>
      <c r="G250" s="8" t="s">
        <v>15</v>
      </c>
      <c r="H250" s="9" t="s">
        <v>16</v>
      </c>
      <c r="J250" s="10" t="s">
        <v>18</v>
      </c>
      <c r="K250" s="12" t="s">
        <v>19</v>
      </c>
      <c r="L250" s="12" t="s">
        <v>20</v>
      </c>
      <c r="M250" s="13" t="s">
        <v>21</v>
      </c>
      <c r="N250" s="13" t="s">
        <v>22</v>
      </c>
      <c r="O250" s="12" t="s">
        <v>23</v>
      </c>
      <c r="P250" s="8" t="s">
        <v>24</v>
      </c>
      <c r="Q250" s="8" t="s">
        <v>25</v>
      </c>
      <c r="R250" s="12" t="s">
        <v>26</v>
      </c>
      <c r="S250" s="6" t="s">
        <v>27</v>
      </c>
      <c r="T250" s="9" t="s">
        <v>28</v>
      </c>
    </row>
    <row r="251" spans="1:20" x14ac:dyDescent="0.25">
      <c r="A251" s="6" t="s">
        <v>271</v>
      </c>
      <c r="B251" s="6" t="s">
        <v>85</v>
      </c>
      <c r="C251" s="6" t="s">
        <v>57</v>
      </c>
      <c r="D251" s="6" t="s">
        <v>263</v>
      </c>
      <c r="E251" s="7" t="s">
        <v>179</v>
      </c>
      <c r="F251" s="8">
        <f>335</f>
        <v>335</v>
      </c>
      <c r="G251" s="8">
        <f>608</f>
        <v>608</v>
      </c>
      <c r="H251" s="9">
        <f>(F251+G251)*(1+0.3+0.466+0.496)+311</f>
        <v>2444.0659999999998</v>
      </c>
      <c r="I251" s="55"/>
      <c r="J251" s="11">
        <f>80</f>
        <v>80</v>
      </c>
      <c r="K251" s="12">
        <f>0.2+0.15</f>
        <v>0.35</v>
      </c>
      <c r="L251" s="12">
        <f t="shared" si="28"/>
        <v>0.38400000000000001</v>
      </c>
      <c r="M251" s="13">
        <f>60.25%+K251/2+L251/4-35%</f>
        <v>0.52350000000000008</v>
      </c>
      <c r="N251" s="13">
        <f t="shared" ref="N251:N258" si="31">60.25%*2+K251+L251/2</f>
        <v>1.7470000000000001</v>
      </c>
      <c r="O251" s="12">
        <f>0.466+0.35+0.12+0.4</f>
        <v>1.3360000000000001</v>
      </c>
      <c r="P251" s="8">
        <f t="shared" si="29"/>
        <v>0.5</v>
      </c>
      <c r="Q251" s="8">
        <f t="shared" si="30"/>
        <v>0.9</v>
      </c>
      <c r="R251" s="12">
        <v>3.9167999999999998</v>
      </c>
      <c r="S251" s="11" t="s">
        <v>275</v>
      </c>
      <c r="T251" s="9">
        <f>H251*R251*(1+O251)*(1+N251)*P251*Q251*1.5*(1+(2.78*J251)/(J251+1400))</f>
        <v>47695.729048067959</v>
      </c>
    </row>
    <row r="252" spans="1:20" x14ac:dyDescent="0.25">
      <c r="A252" s="6" t="s">
        <v>271</v>
      </c>
      <c r="B252" s="6" t="s">
        <v>85</v>
      </c>
      <c r="C252" s="6" t="s">
        <v>57</v>
      </c>
      <c r="D252" s="11" t="s">
        <v>276</v>
      </c>
      <c r="E252" s="7" t="s">
        <v>179</v>
      </c>
      <c r="F252" s="8">
        <f>335</f>
        <v>335</v>
      </c>
      <c r="G252" s="8">
        <f>608</f>
        <v>608</v>
      </c>
      <c r="H252" s="9">
        <f>(F252+G252)*(1+0.3+0.496)+311</f>
        <v>2004.6279999999999</v>
      </c>
      <c r="I252" s="55"/>
      <c r="J252" s="11">
        <f>80+187</f>
        <v>267</v>
      </c>
      <c r="K252" s="12">
        <f>0.2+0.15</f>
        <v>0.35</v>
      </c>
      <c r="L252" s="12">
        <f t="shared" si="28"/>
        <v>0.38400000000000001</v>
      </c>
      <c r="M252" s="13">
        <f>60.25%+K252/2+L252/4-35%</f>
        <v>0.52350000000000008</v>
      </c>
      <c r="N252" s="13">
        <f t="shared" si="31"/>
        <v>1.7470000000000001</v>
      </c>
      <c r="O252" s="12">
        <f>0.466+0.35+0.12+0.4</f>
        <v>1.3360000000000001</v>
      </c>
      <c r="P252" s="8">
        <f t="shared" si="29"/>
        <v>0.5</v>
      </c>
      <c r="Q252" s="8">
        <f t="shared" si="30"/>
        <v>0.9</v>
      </c>
      <c r="R252" s="12">
        <v>3.9167999999999998</v>
      </c>
      <c r="S252" s="11" t="s">
        <v>275</v>
      </c>
      <c r="T252" s="9">
        <f>H252*R252*(1+O252)*(1+N252)*P252*Q252*1.5*(1+(2.78*J252)/(J252+1400))</f>
        <v>49152.83020229909</v>
      </c>
    </row>
    <row r="253" spans="1:20" x14ac:dyDescent="0.25">
      <c r="A253" s="6" t="s">
        <v>271</v>
      </c>
      <c r="B253" s="11" t="s">
        <v>273</v>
      </c>
      <c r="C253" s="6" t="s">
        <v>57</v>
      </c>
      <c r="D253" s="6" t="s">
        <v>263</v>
      </c>
      <c r="E253" s="7" t="s">
        <v>179</v>
      </c>
      <c r="F253" s="8">
        <f>335</f>
        <v>335</v>
      </c>
      <c r="G253" s="8">
        <v>454</v>
      </c>
      <c r="H253" s="9">
        <f>(F253+G253)*(1+0.3+0.466+0.551)+311</f>
        <v>2139.1130000000003</v>
      </c>
      <c r="I253" s="55"/>
      <c r="J253" s="11">
        <f>80</f>
        <v>80</v>
      </c>
      <c r="K253" s="12">
        <f>0.2+0.15</f>
        <v>0.35</v>
      </c>
      <c r="L253" s="12">
        <f t="shared" si="28"/>
        <v>0.38400000000000001</v>
      </c>
      <c r="M253" s="13">
        <f>60.25%+K253/2+L253/4-35%</f>
        <v>0.52350000000000008</v>
      </c>
      <c r="N253" s="13">
        <f t="shared" si="31"/>
        <v>1.7470000000000001</v>
      </c>
      <c r="O253" s="12">
        <f>0.466+0.35+0.18*2</f>
        <v>1.1760000000000002</v>
      </c>
      <c r="P253" s="8">
        <f t="shared" si="29"/>
        <v>0.5</v>
      </c>
      <c r="Q253" s="8">
        <f t="shared" si="30"/>
        <v>0.9</v>
      </c>
      <c r="R253" s="12">
        <v>3.9167999999999998</v>
      </c>
      <c r="S253" s="11" t="s">
        <v>275</v>
      </c>
      <c r="T253" s="9">
        <f>H253*R253*(1+O253)*(1+N253)*P253*Q253*1.5*(1+(2.78*J253)/(J253+1400))</f>
        <v>38885.379490859355</v>
      </c>
    </row>
    <row r="254" spans="1:20" x14ac:dyDescent="0.25">
      <c r="A254" s="6" t="s">
        <v>271</v>
      </c>
      <c r="B254" s="6" t="s">
        <v>274</v>
      </c>
      <c r="C254" s="6" t="s">
        <v>57</v>
      </c>
      <c r="D254" s="6" t="s">
        <v>263</v>
      </c>
      <c r="E254" s="7" t="s">
        <v>179</v>
      </c>
      <c r="F254" s="8">
        <f>335</f>
        <v>335</v>
      </c>
      <c r="G254" s="8">
        <v>510</v>
      </c>
      <c r="H254" s="9">
        <f>(F254+G254)*(1+0.3+0.466+0.413)+311</f>
        <v>2152.2550000000001</v>
      </c>
      <c r="I254" s="55">
        <f>(F254+G254)*(1+0.3+0.466+0.413+0.54)+311</f>
        <v>2608.5549999999998</v>
      </c>
      <c r="J254" s="11">
        <f>80</f>
        <v>80</v>
      </c>
      <c r="K254" s="12">
        <f>0.2+0.15</f>
        <v>0.35</v>
      </c>
      <c r="L254" s="12">
        <f t="shared" si="28"/>
        <v>0.38400000000000001</v>
      </c>
      <c r="M254" s="13">
        <f>60.25%+K254/2+L254/4-35%</f>
        <v>0.52350000000000008</v>
      </c>
      <c r="N254" s="13">
        <f t="shared" si="31"/>
        <v>1.7470000000000001</v>
      </c>
      <c r="O254" s="12">
        <f>0.466+0.35</f>
        <v>0.81600000000000006</v>
      </c>
      <c r="P254" s="8">
        <f t="shared" si="29"/>
        <v>0.5</v>
      </c>
      <c r="Q254" s="8">
        <f t="shared" si="30"/>
        <v>0.9</v>
      </c>
      <c r="R254" s="12">
        <v>3.9167999999999998</v>
      </c>
      <c r="S254" s="11" t="s">
        <v>275</v>
      </c>
      <c r="T254" s="9">
        <f>I254*R254*(1+O254)*(1+N254)*P254*Q254*1.5*(1+(2.78*J254)/(J254+1400))</f>
        <v>39573.96504311762</v>
      </c>
    </row>
    <row r="256" spans="1:20" x14ac:dyDescent="0.25">
      <c r="A256" s="6" t="s">
        <v>9</v>
      </c>
      <c r="B256" s="6" t="s">
        <v>10</v>
      </c>
      <c r="C256" s="6" t="s">
        <v>11</v>
      </c>
      <c r="D256" s="6" t="s">
        <v>12</v>
      </c>
      <c r="E256" s="7" t="s">
        <v>13</v>
      </c>
      <c r="F256" s="8" t="s">
        <v>14</v>
      </c>
      <c r="G256" s="8" t="s">
        <v>15</v>
      </c>
      <c r="H256" s="9" t="s">
        <v>16</v>
      </c>
      <c r="I256" s="10" t="s">
        <v>38</v>
      </c>
      <c r="J256" s="14"/>
      <c r="K256" s="12" t="s">
        <v>19</v>
      </c>
      <c r="L256" s="12" t="s">
        <v>20</v>
      </c>
      <c r="M256" s="13" t="s">
        <v>21</v>
      </c>
      <c r="N256" s="13" t="s">
        <v>22</v>
      </c>
      <c r="O256" s="12" t="s">
        <v>23</v>
      </c>
      <c r="P256" s="8" t="s">
        <v>24</v>
      </c>
      <c r="Q256" s="8" t="s">
        <v>25</v>
      </c>
      <c r="R256" s="12" t="s">
        <v>26</v>
      </c>
      <c r="S256" s="6" t="s">
        <v>27</v>
      </c>
      <c r="T256" s="9" t="s">
        <v>28</v>
      </c>
    </row>
    <row r="257" spans="1:20" x14ac:dyDescent="0.25">
      <c r="A257" s="6" t="s">
        <v>277</v>
      </c>
      <c r="B257" s="6" t="s">
        <v>189</v>
      </c>
      <c r="C257" s="6" t="s">
        <v>89</v>
      </c>
      <c r="D257" s="6" t="s">
        <v>263</v>
      </c>
      <c r="E257" s="7" t="s">
        <v>278</v>
      </c>
      <c r="F257" s="8">
        <v>223</v>
      </c>
      <c r="G257" s="8">
        <v>454</v>
      </c>
      <c r="H257" s="9">
        <f>(G257+F257)*(1+0.3+0.466)+311</f>
        <v>1506.5820000000001</v>
      </c>
      <c r="I257" s="14">
        <f>1+0.2+0.613+0.2+0.267</f>
        <v>2.2799999999999998</v>
      </c>
      <c r="K257" s="12">
        <v>0.15</v>
      </c>
      <c r="L257" s="12">
        <v>0</v>
      </c>
      <c r="M257" s="13">
        <f t="shared" ref="M257:M262" si="32">60.25%+K257/2+L257/4-15%</f>
        <v>0.52749999999999997</v>
      </c>
      <c r="N257" s="13">
        <f t="shared" si="31"/>
        <v>1.355</v>
      </c>
      <c r="O257" s="12">
        <f>0.466+0.25*I257</f>
        <v>1.036</v>
      </c>
      <c r="P257" s="8">
        <v>0.5</v>
      </c>
      <c r="Q257" s="8">
        <v>0.9</v>
      </c>
      <c r="R257" s="12">
        <v>1.649</v>
      </c>
      <c r="S257" s="6" t="s">
        <v>238</v>
      </c>
      <c r="T257" s="9">
        <f t="shared" ref="T257:T262" si="33">H257*R257*(1+O257)*(1+N257)*P257*Q257</f>
        <v>5360.3682839964176</v>
      </c>
    </row>
    <row r="258" spans="1:20" x14ac:dyDescent="0.25">
      <c r="A258" s="6" t="s">
        <v>277</v>
      </c>
      <c r="B258" s="6" t="s">
        <v>124</v>
      </c>
      <c r="C258" s="6" t="s">
        <v>89</v>
      </c>
      <c r="D258" s="6" t="s">
        <v>279</v>
      </c>
      <c r="E258" s="7" t="s">
        <v>278</v>
      </c>
      <c r="F258" s="8">
        <v>223</v>
      </c>
      <c r="G258" s="8">
        <v>542</v>
      </c>
      <c r="H258" s="9">
        <f>(G258+F258)*(1+0.3)+311+1.2%*(11636*(1+0.2+0.2)+4780)</f>
        <v>1558.3448000000001</v>
      </c>
      <c r="I258" s="14">
        <f>1+0.2+0.518+0.2+0.267</f>
        <v>2.1850000000000001</v>
      </c>
      <c r="K258" s="12">
        <f>44.1%+15%</f>
        <v>0.59099999999999997</v>
      </c>
      <c r="L258" s="12">
        <v>0</v>
      </c>
      <c r="M258" s="13">
        <f t="shared" si="32"/>
        <v>0.748</v>
      </c>
      <c r="N258" s="13">
        <f t="shared" si="31"/>
        <v>1.796</v>
      </c>
      <c r="O258" s="12">
        <f>0.466+0.25*I258</f>
        <v>1.0122500000000001</v>
      </c>
      <c r="P258" s="8">
        <v>0.5</v>
      </c>
      <c r="Q258" s="8">
        <v>0.9</v>
      </c>
      <c r="R258" s="12">
        <v>1.649</v>
      </c>
      <c r="S258" s="6" t="s">
        <v>238</v>
      </c>
      <c r="T258" s="9">
        <f t="shared" si="33"/>
        <v>6506.0265120433096</v>
      </c>
    </row>
    <row r="260" spans="1:20" x14ac:dyDescent="0.25">
      <c r="A260" s="6" t="s">
        <v>9</v>
      </c>
      <c r="B260" s="6" t="s">
        <v>10</v>
      </c>
      <c r="C260" s="6" t="s">
        <v>11</v>
      </c>
      <c r="D260" s="6" t="s">
        <v>12</v>
      </c>
      <c r="E260" s="7" t="s">
        <v>13</v>
      </c>
      <c r="F260" s="8" t="s">
        <v>14</v>
      </c>
      <c r="G260" s="8" t="s">
        <v>15</v>
      </c>
      <c r="H260" s="9" t="s">
        <v>16</v>
      </c>
      <c r="J260" s="14"/>
      <c r="K260" s="12" t="s">
        <v>19</v>
      </c>
      <c r="L260" s="12" t="s">
        <v>20</v>
      </c>
      <c r="M260" s="13" t="s">
        <v>21</v>
      </c>
      <c r="N260" s="13" t="s">
        <v>22</v>
      </c>
      <c r="O260" s="12" t="s">
        <v>23</v>
      </c>
      <c r="P260" s="8" t="s">
        <v>24</v>
      </c>
      <c r="Q260" s="8" t="s">
        <v>25</v>
      </c>
      <c r="R260" s="12" t="s">
        <v>26</v>
      </c>
      <c r="S260" s="6" t="s">
        <v>27</v>
      </c>
      <c r="T260" s="9" t="s">
        <v>28</v>
      </c>
    </row>
    <row r="261" spans="1:20" x14ac:dyDescent="0.25">
      <c r="A261" s="6" t="s">
        <v>280</v>
      </c>
      <c r="B261" s="6" t="s">
        <v>64</v>
      </c>
      <c r="C261" s="6" t="s">
        <v>281</v>
      </c>
      <c r="D261" s="6" t="s">
        <v>263</v>
      </c>
      <c r="E261" s="7" t="s">
        <v>278</v>
      </c>
      <c r="F261" s="8">
        <v>223</v>
      </c>
      <c r="G261" s="8">
        <f>608</f>
        <v>608</v>
      </c>
      <c r="H261" s="9">
        <f>(F261+G261)*(1+0.3+0.466+0.496+0.2+0.24)+311</f>
        <v>2556.3620000000001</v>
      </c>
      <c r="K261" s="12">
        <v>0.15</v>
      </c>
      <c r="L261" s="12">
        <v>0</v>
      </c>
      <c r="M261" s="13">
        <f t="shared" si="32"/>
        <v>0.52749999999999997</v>
      </c>
      <c r="N261" s="13">
        <f>60.25%*2+K261+L261/2</f>
        <v>1.355</v>
      </c>
      <c r="O261" s="12">
        <f>0.466+0.35</f>
        <v>0.81600000000000006</v>
      </c>
      <c r="P261" s="8">
        <f t="shared" ref="P261:P267" si="34">0.5</f>
        <v>0.5</v>
      </c>
      <c r="Q261" s="8">
        <f t="shared" ref="Q261:Q267" si="35">0.9</f>
        <v>0.9</v>
      </c>
      <c r="R261" s="12">
        <v>3.0260000000000002</v>
      </c>
      <c r="S261" s="6" t="s">
        <v>238</v>
      </c>
      <c r="T261" s="9">
        <f t="shared" si="33"/>
        <v>14887.115105702473</v>
      </c>
    </row>
    <row r="262" spans="1:20" x14ac:dyDescent="0.25">
      <c r="A262" s="6" t="s">
        <v>280</v>
      </c>
      <c r="B262" s="6" t="s">
        <v>66</v>
      </c>
      <c r="C262" s="6" t="s">
        <v>281</v>
      </c>
      <c r="D262" s="6" t="s">
        <v>263</v>
      </c>
      <c r="E262" s="7" t="s">
        <v>278</v>
      </c>
      <c r="F262" s="8">
        <v>223</v>
      </c>
      <c r="G262" s="8">
        <v>510</v>
      </c>
      <c r="H262" s="9">
        <f>(F262+G262)*(1+0.3+0.466+0.24)+311</f>
        <v>1781.3980000000001</v>
      </c>
      <c r="K262" s="12">
        <f>15%+27.6%</f>
        <v>0.42600000000000005</v>
      </c>
      <c r="L262" s="12">
        <v>0</v>
      </c>
      <c r="M262" s="13">
        <f t="shared" si="32"/>
        <v>0.66550000000000009</v>
      </c>
      <c r="N262" s="13">
        <f>60.25%*2+K262+L262/2</f>
        <v>1.6310000000000002</v>
      </c>
      <c r="O262" s="12">
        <f>0.466+0.35+0.4</f>
        <v>1.2160000000000002</v>
      </c>
      <c r="P262" s="8">
        <f t="shared" si="34"/>
        <v>0.5</v>
      </c>
      <c r="Q262" s="8">
        <f t="shared" si="35"/>
        <v>0.9</v>
      </c>
      <c r="R262" s="12">
        <v>3.0260000000000002</v>
      </c>
      <c r="S262" s="6" t="s">
        <v>238</v>
      </c>
      <c r="T262" s="9">
        <f t="shared" si="33"/>
        <v>14142.721913956359</v>
      </c>
    </row>
    <row r="264" spans="1:20" x14ac:dyDescent="0.25">
      <c r="A264" s="6" t="s">
        <v>9</v>
      </c>
      <c r="B264" s="6" t="s">
        <v>10</v>
      </c>
      <c r="C264" s="6" t="s">
        <v>11</v>
      </c>
      <c r="D264" s="6" t="s">
        <v>12</v>
      </c>
      <c r="E264" s="7" t="s">
        <v>13</v>
      </c>
      <c r="F264" s="8" t="s">
        <v>14</v>
      </c>
      <c r="G264" s="8" t="s">
        <v>15</v>
      </c>
      <c r="H264" s="9" t="s">
        <v>16</v>
      </c>
      <c r="I264" s="10" t="s">
        <v>128</v>
      </c>
      <c r="J264" s="14"/>
      <c r="K264" s="12" t="s">
        <v>19</v>
      </c>
      <c r="L264" s="12" t="s">
        <v>20</v>
      </c>
      <c r="M264" s="13" t="s">
        <v>21</v>
      </c>
      <c r="N264" s="13" t="s">
        <v>22</v>
      </c>
      <c r="O264" s="12" t="s">
        <v>23</v>
      </c>
      <c r="P264" s="8" t="s">
        <v>24</v>
      </c>
      <c r="Q264" s="8" t="s">
        <v>25</v>
      </c>
      <c r="R264" s="12" t="s">
        <v>26</v>
      </c>
      <c r="S264" s="6" t="s">
        <v>27</v>
      </c>
      <c r="T264" s="9" t="s">
        <v>28</v>
      </c>
    </row>
    <row r="265" spans="1:20" x14ac:dyDescent="0.25">
      <c r="A265" s="6" t="s">
        <v>282</v>
      </c>
      <c r="B265" s="6" t="s">
        <v>149</v>
      </c>
      <c r="C265" s="6" t="s">
        <v>131</v>
      </c>
      <c r="D265" s="6" t="s">
        <v>187</v>
      </c>
      <c r="E265" s="7" t="s">
        <v>283</v>
      </c>
      <c r="F265" s="8">
        <v>287</v>
      </c>
      <c r="G265" s="8">
        <v>454</v>
      </c>
      <c r="H265" s="9">
        <f>(F265+G265)*(1+0.3+0.466*2)+311</f>
        <v>1964.9120000000003</v>
      </c>
      <c r="I265" s="14">
        <f>0.358+0.222+0.15</f>
        <v>0.73</v>
      </c>
      <c r="K265" s="12">
        <v>0</v>
      </c>
      <c r="L265" s="12">
        <v>0</v>
      </c>
      <c r="M265" s="13" t="s">
        <v>44</v>
      </c>
      <c r="N265" s="13" t="s">
        <v>44</v>
      </c>
      <c r="O265" s="12">
        <v>0</v>
      </c>
      <c r="P265" s="8">
        <f t="shared" si="34"/>
        <v>0.5</v>
      </c>
      <c r="Q265" s="8">
        <f t="shared" si="35"/>
        <v>0.9</v>
      </c>
      <c r="R265" s="12">
        <v>1.53</v>
      </c>
      <c r="S265" s="6" t="s">
        <v>284</v>
      </c>
      <c r="T265" s="9">
        <f>(H265*R265+1174)*(1+I265)</f>
        <v>7231.9455728000012</v>
      </c>
    </row>
    <row r="266" spans="1:20" x14ac:dyDescent="0.25">
      <c r="A266" s="6" t="s">
        <v>282</v>
      </c>
      <c r="B266" s="6" t="s">
        <v>96</v>
      </c>
      <c r="C266" s="6" t="s">
        <v>131</v>
      </c>
      <c r="D266" s="6" t="s">
        <v>187</v>
      </c>
      <c r="E266" s="7" t="s">
        <v>283</v>
      </c>
      <c r="F266" s="8">
        <v>287</v>
      </c>
      <c r="G266" s="8">
        <v>674</v>
      </c>
      <c r="H266" s="9">
        <f>(F266+G266)*(1+0.3+0.466*2+0.2)+311</f>
        <v>2648.1520000000005</v>
      </c>
      <c r="I266" s="14">
        <f>0.358+0.222+0.15</f>
        <v>0.73</v>
      </c>
      <c r="K266" s="12">
        <v>0</v>
      </c>
      <c r="L266" s="12">
        <v>0</v>
      </c>
      <c r="M266" s="13" t="s">
        <v>44</v>
      </c>
      <c r="N266" s="13" t="s">
        <v>44</v>
      </c>
      <c r="O266" s="12">
        <v>0</v>
      </c>
      <c r="P266" s="8">
        <f t="shared" si="34"/>
        <v>0.5</v>
      </c>
      <c r="Q266" s="8">
        <f t="shared" si="35"/>
        <v>0.9</v>
      </c>
      <c r="R266" s="12">
        <v>1.53</v>
      </c>
      <c r="S266" s="6" t="s">
        <v>284</v>
      </c>
      <c r="T266" s="9">
        <f>(H266*R266+1174)*(1+I266)</f>
        <v>9040.4135288000016</v>
      </c>
    </row>
    <row r="267" spans="1:20" x14ac:dyDescent="0.25">
      <c r="A267" s="6" t="s">
        <v>282</v>
      </c>
      <c r="B267" s="6" t="s">
        <v>285</v>
      </c>
      <c r="C267" s="6" t="s">
        <v>131</v>
      </c>
      <c r="D267" s="6" t="s">
        <v>187</v>
      </c>
      <c r="E267" s="7" t="s">
        <v>283</v>
      </c>
      <c r="F267" s="8">
        <v>287</v>
      </c>
      <c r="G267" s="8">
        <v>510</v>
      </c>
      <c r="H267" s="9">
        <f>(F267+G267)*(1+0.3+0.466*2+0.413)+311</f>
        <v>2419.0650000000001</v>
      </c>
      <c r="I267" s="14">
        <f>0.358+0.222+0.15</f>
        <v>0.73</v>
      </c>
      <c r="K267" s="12">
        <v>0</v>
      </c>
      <c r="L267" s="12">
        <v>0</v>
      </c>
      <c r="M267" s="13" t="s">
        <v>44</v>
      </c>
      <c r="N267" s="13" t="s">
        <v>44</v>
      </c>
      <c r="O267" s="12">
        <v>0</v>
      </c>
      <c r="P267" s="8">
        <f t="shared" si="34"/>
        <v>0.5</v>
      </c>
      <c r="Q267" s="8">
        <f t="shared" si="35"/>
        <v>0.9</v>
      </c>
      <c r="R267" s="12">
        <v>1.53</v>
      </c>
      <c r="S267" s="6" t="s">
        <v>284</v>
      </c>
      <c r="T267" s="9">
        <f>(H267*R267+1174)*(1+I267)</f>
        <v>8434.0431485000008</v>
      </c>
    </row>
    <row r="269" spans="1:20" x14ac:dyDescent="0.25">
      <c r="A269" s="6" t="s">
        <v>9</v>
      </c>
      <c r="B269" s="6" t="s">
        <v>10</v>
      </c>
      <c r="C269" s="6" t="s">
        <v>11</v>
      </c>
      <c r="D269" s="6" t="s">
        <v>12</v>
      </c>
      <c r="E269" s="7" t="s">
        <v>13</v>
      </c>
      <c r="F269" s="8" t="s">
        <v>14</v>
      </c>
      <c r="G269" s="8" t="s">
        <v>15</v>
      </c>
      <c r="H269" s="9" t="s">
        <v>16</v>
      </c>
      <c r="I269" s="10" t="s">
        <v>98</v>
      </c>
      <c r="J269" s="14"/>
      <c r="K269" s="12" t="s">
        <v>19</v>
      </c>
      <c r="L269" s="12" t="s">
        <v>20</v>
      </c>
      <c r="M269" s="13" t="s">
        <v>21</v>
      </c>
      <c r="N269" s="13" t="s">
        <v>22</v>
      </c>
      <c r="O269" s="12" t="s">
        <v>23</v>
      </c>
      <c r="P269" s="8" t="s">
        <v>24</v>
      </c>
      <c r="Q269" s="8" t="s">
        <v>25</v>
      </c>
      <c r="R269" s="12" t="s">
        <v>26</v>
      </c>
      <c r="S269" s="6" t="s">
        <v>27</v>
      </c>
      <c r="T269" s="9" t="s">
        <v>28</v>
      </c>
    </row>
    <row r="270" spans="1:20" x14ac:dyDescent="0.25">
      <c r="A270" s="6" t="s">
        <v>286</v>
      </c>
      <c r="B270" s="6" t="s">
        <v>222</v>
      </c>
      <c r="C270" s="6" t="s">
        <v>287</v>
      </c>
      <c r="D270" s="6" t="s">
        <v>107</v>
      </c>
      <c r="E270" s="7" t="s">
        <v>220</v>
      </c>
      <c r="F270" s="8">
        <v>212</v>
      </c>
      <c r="G270" s="8">
        <v>565</v>
      </c>
      <c r="H270" s="9">
        <f>(F270+G270)*(1+0.2)+311</f>
        <v>1243.4000000000001</v>
      </c>
      <c r="I270" s="10">
        <f>9570*(1+0.466*3+0.048*14+0.2)</f>
        <v>31293.900000000005</v>
      </c>
      <c r="K270" s="12">
        <v>0</v>
      </c>
      <c r="L270" s="12">
        <v>0</v>
      </c>
      <c r="M270" s="13" t="s">
        <v>44</v>
      </c>
      <c r="N270" s="13" t="s">
        <v>44</v>
      </c>
      <c r="O270" s="12">
        <v>0</v>
      </c>
      <c r="P270" s="8">
        <f>0.5</f>
        <v>0.5</v>
      </c>
      <c r="Q270" s="8">
        <f>0.9</f>
        <v>0.9</v>
      </c>
      <c r="R270" s="12">
        <v>0.153</v>
      </c>
      <c r="S270" s="6" t="s">
        <v>288</v>
      </c>
      <c r="T270" s="9">
        <f>(R270*I270+1905)*1.9</f>
        <v>12716.63673</v>
      </c>
    </row>
    <row r="273" spans="1:20" x14ac:dyDescent="0.25">
      <c r="A273" s="6" t="s">
        <v>9</v>
      </c>
      <c r="B273" s="6" t="s">
        <v>10</v>
      </c>
      <c r="C273" s="6" t="s">
        <v>11</v>
      </c>
      <c r="D273" s="6" t="s">
        <v>12</v>
      </c>
      <c r="E273" s="7" t="s">
        <v>13</v>
      </c>
      <c r="F273" s="8" t="s">
        <v>14</v>
      </c>
      <c r="G273" s="8" t="s">
        <v>15</v>
      </c>
      <c r="H273" s="9" t="s">
        <v>16</v>
      </c>
      <c r="J273" s="14"/>
      <c r="K273" s="12" t="s">
        <v>19</v>
      </c>
      <c r="L273" s="12" t="s">
        <v>20</v>
      </c>
      <c r="M273" s="13" t="s">
        <v>21</v>
      </c>
      <c r="N273" s="13" t="s">
        <v>22</v>
      </c>
      <c r="O273" s="12" t="s">
        <v>23</v>
      </c>
      <c r="P273" s="8" t="s">
        <v>24</v>
      </c>
      <c r="Q273" s="8" t="s">
        <v>25</v>
      </c>
      <c r="R273" s="12" t="s">
        <v>26</v>
      </c>
      <c r="S273" s="6" t="s">
        <v>27</v>
      </c>
      <c r="T273" s="9" t="s">
        <v>28</v>
      </c>
    </row>
    <row r="274" spans="1:20" x14ac:dyDescent="0.25">
      <c r="A274" s="6" t="s">
        <v>289</v>
      </c>
      <c r="B274" s="6" t="s">
        <v>40</v>
      </c>
      <c r="C274" s="6" t="s">
        <v>82</v>
      </c>
      <c r="D274" s="6" t="s">
        <v>263</v>
      </c>
      <c r="E274" s="7" t="s">
        <v>157</v>
      </c>
      <c r="F274" s="8">
        <v>240</v>
      </c>
      <c r="G274" s="8">
        <v>565</v>
      </c>
      <c r="H274" s="9">
        <f>(F274+G274)*(1+0.3+0.466+0.24)+311</f>
        <v>1925.8300000000002</v>
      </c>
      <c r="K274" s="12">
        <v>0.15</v>
      </c>
      <c r="L274" s="12">
        <v>0</v>
      </c>
      <c r="M274" s="13">
        <v>0.7</v>
      </c>
      <c r="N274" s="13">
        <f>63.55%*2+K274+L274/2-13.95%*2-6.6%*2</f>
        <v>1.0099999999999998</v>
      </c>
      <c r="O274" s="12">
        <f>0.466+0.2</f>
        <v>0.66600000000000004</v>
      </c>
      <c r="P274" s="8">
        <f>0.5</f>
        <v>0.5</v>
      </c>
      <c r="Q274" s="8">
        <f>0.9</f>
        <v>0.9</v>
      </c>
      <c r="R274" s="12">
        <v>2.64</v>
      </c>
      <c r="S274" s="6" t="s">
        <v>238</v>
      </c>
      <c r="T274" s="9">
        <f>H274*R274*(1+O274)*(1+N274)*P274*Q274</f>
        <v>7661.3524667063984</v>
      </c>
    </row>
    <row r="276" spans="1:20" x14ac:dyDescent="0.25">
      <c r="A276" s="6" t="s">
        <v>9</v>
      </c>
      <c r="B276" s="6" t="s">
        <v>10</v>
      </c>
      <c r="C276" s="6" t="s">
        <v>11</v>
      </c>
      <c r="D276" s="6" t="s">
        <v>12</v>
      </c>
      <c r="E276" s="7" t="s">
        <v>13</v>
      </c>
      <c r="F276" s="8" t="s">
        <v>14</v>
      </c>
      <c r="G276" s="8" t="s">
        <v>15</v>
      </c>
      <c r="H276" s="9" t="s">
        <v>16</v>
      </c>
      <c r="J276" s="14"/>
      <c r="K276" s="12" t="s">
        <v>19</v>
      </c>
      <c r="L276" s="12" t="s">
        <v>20</v>
      </c>
      <c r="M276" s="13" t="s">
        <v>21</v>
      </c>
      <c r="N276" s="13" t="s">
        <v>22</v>
      </c>
      <c r="O276" s="12" t="s">
        <v>23</v>
      </c>
      <c r="P276" s="8" t="s">
        <v>24</v>
      </c>
      <c r="Q276" s="8" t="s">
        <v>25</v>
      </c>
      <c r="R276" s="12" t="s">
        <v>26</v>
      </c>
      <c r="S276" s="6" t="s">
        <v>27</v>
      </c>
      <c r="T276" s="9" t="s">
        <v>28</v>
      </c>
    </row>
    <row r="277" spans="1:20" x14ac:dyDescent="0.25">
      <c r="A277" s="6" t="s">
        <v>290</v>
      </c>
      <c r="B277" s="6" t="s">
        <v>116</v>
      </c>
      <c r="C277" s="6" t="s">
        <v>291</v>
      </c>
      <c r="D277" s="6" t="s">
        <v>263</v>
      </c>
      <c r="E277" s="7" t="s">
        <v>33</v>
      </c>
      <c r="F277" s="8">
        <v>234</v>
      </c>
      <c r="G277" s="8">
        <v>454</v>
      </c>
      <c r="H277" s="9">
        <f>(F277+G277)*(1+0.3+0.466+0.18)+311</f>
        <v>1649.848</v>
      </c>
      <c r="K277" s="12">
        <v>0.15</v>
      </c>
      <c r="L277" s="12">
        <v>0</v>
      </c>
      <c r="M277" s="13">
        <f>60.25%+K277/2+L277/4-15%</f>
        <v>0.52749999999999997</v>
      </c>
      <c r="N277" s="13">
        <f>60.25%*2+K277+L277/2</f>
        <v>1.355</v>
      </c>
      <c r="O277" s="12">
        <f>0.466+0.288+0.15+0.35</f>
        <v>1.254</v>
      </c>
      <c r="P277" s="8">
        <f t="shared" ref="P277:P283" si="36">0.5</f>
        <v>0.5</v>
      </c>
      <c r="Q277" s="8">
        <f t="shared" ref="Q277:Q283" si="37">0.9</f>
        <v>0.9</v>
      </c>
      <c r="R277" s="12">
        <v>5.4272</v>
      </c>
      <c r="S277" s="6" t="s">
        <v>292</v>
      </c>
      <c r="T277" s="9">
        <f>H277*R277*(1+O277)*(1+N277)*P277*Q277</f>
        <v>21388.340914904678</v>
      </c>
    </row>
    <row r="279" spans="1:20" x14ac:dyDescent="0.2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</row>
    <row r="280" spans="1:20" x14ac:dyDescent="0.25">
      <c r="A280" s="6" t="s">
        <v>9</v>
      </c>
      <c r="B280" s="6" t="s">
        <v>10</v>
      </c>
      <c r="C280" s="6" t="s">
        <v>11</v>
      </c>
      <c r="D280" s="6" t="s">
        <v>12</v>
      </c>
      <c r="E280" s="7" t="s">
        <v>13</v>
      </c>
      <c r="F280" s="8" t="s">
        <v>14</v>
      </c>
      <c r="G280" s="8" t="s">
        <v>15</v>
      </c>
      <c r="H280" s="9" t="s">
        <v>16</v>
      </c>
      <c r="I280" s="10" t="s">
        <v>67</v>
      </c>
      <c r="J280" s="14" t="s">
        <v>38</v>
      </c>
      <c r="K280" s="12" t="s">
        <v>19</v>
      </c>
      <c r="L280" s="12" t="s">
        <v>20</v>
      </c>
      <c r="M280" s="13" t="s">
        <v>21</v>
      </c>
      <c r="N280" s="13" t="s">
        <v>22</v>
      </c>
      <c r="O280" s="12" t="s">
        <v>23</v>
      </c>
      <c r="P280" s="8" t="s">
        <v>24</v>
      </c>
      <c r="Q280" s="8" t="s">
        <v>25</v>
      </c>
      <c r="R280" s="12" t="s">
        <v>26</v>
      </c>
      <c r="S280" s="6" t="s">
        <v>27</v>
      </c>
      <c r="T280" s="9" t="s">
        <v>28</v>
      </c>
    </row>
    <row r="281" spans="1:20" x14ac:dyDescent="0.25">
      <c r="A281" s="6" t="s">
        <v>293</v>
      </c>
      <c r="B281" s="6" t="s">
        <v>294</v>
      </c>
      <c r="C281" s="6" t="s">
        <v>295</v>
      </c>
      <c r="D281" s="6" t="s">
        <v>296</v>
      </c>
      <c r="E281" s="7" t="s">
        <v>179</v>
      </c>
      <c r="F281" s="8">
        <v>227</v>
      </c>
      <c r="G281" s="8">
        <v>542</v>
      </c>
      <c r="H281" s="9">
        <f>(F281+G281)*(1+0.2)+311</f>
        <v>1233.8</v>
      </c>
      <c r="I281" s="56">
        <f>959*(1+0.583+0.062*6+0.3+0.28)</f>
        <v>2431.0650000000001</v>
      </c>
      <c r="J281" s="14">
        <f>1+5.5%*4</f>
        <v>1.22</v>
      </c>
      <c r="K281" s="12">
        <v>0.192</v>
      </c>
      <c r="L281" s="12">
        <v>0.88200000000000001</v>
      </c>
      <c r="M281" s="13">
        <v>0.8</v>
      </c>
      <c r="N281" s="13">
        <f>60.25%*2+K281+L281/2+11.9%*2</f>
        <v>2.0760000000000001</v>
      </c>
      <c r="O281" s="12">
        <f>0.466+0.24</f>
        <v>0.70599999999999996</v>
      </c>
      <c r="P281" s="8">
        <f t="shared" si="36"/>
        <v>0.5</v>
      </c>
      <c r="Q281" s="8">
        <f t="shared" si="37"/>
        <v>0.9</v>
      </c>
      <c r="R281" s="12">
        <v>1.8019999999999998</v>
      </c>
      <c r="S281" s="6" t="s">
        <v>297</v>
      </c>
      <c r="T281" s="9">
        <f>((H281+97.92%*2662)*R281+0.75*2662)*(1+O281)*(1+N281)*P281*Q281</f>
        <v>21056.901954893372</v>
      </c>
    </row>
    <row r="282" spans="1:20" x14ac:dyDescent="0.25">
      <c r="A282" s="6" t="s">
        <v>293</v>
      </c>
      <c r="B282" s="6" t="s">
        <v>66</v>
      </c>
      <c r="C282" s="6" t="s">
        <v>295</v>
      </c>
      <c r="D282" s="6" t="s">
        <v>296</v>
      </c>
      <c r="E282" s="7" t="s">
        <v>179</v>
      </c>
      <c r="F282" s="8">
        <v>227</v>
      </c>
      <c r="G282" s="8">
        <v>510</v>
      </c>
      <c r="H282" s="9">
        <f>(F282+G282)*(1+0.2)+311</f>
        <v>1195.4000000000001</v>
      </c>
      <c r="I282" s="56">
        <f>959*(1+0.583+0.062*6+0.3)</f>
        <v>2162.5450000000001</v>
      </c>
      <c r="J282" s="14">
        <f>1+5.5%*4</f>
        <v>1.22</v>
      </c>
      <c r="K282" s="12">
        <f>27.6%+19.2%</f>
        <v>0.46800000000000003</v>
      </c>
      <c r="L282" s="12">
        <v>0</v>
      </c>
      <c r="M282" s="13">
        <v>0.8</v>
      </c>
      <c r="N282" s="13">
        <f>60.25%*2+K282+L282/2+3.65%*2</f>
        <v>1.746</v>
      </c>
      <c r="O282" s="12">
        <f>0.466+0.4+0.24</f>
        <v>1.1060000000000001</v>
      </c>
      <c r="P282" s="8">
        <f t="shared" si="36"/>
        <v>0.5</v>
      </c>
      <c r="Q282" s="8">
        <f t="shared" si="37"/>
        <v>0.9</v>
      </c>
      <c r="R282" s="12">
        <v>1.8019999999999998</v>
      </c>
      <c r="S282" s="6" t="s">
        <v>297</v>
      </c>
      <c r="T282" s="9">
        <f>((H282+97.92%*2394)*R282+0.35*2394)*(1+O282)*(1+N282)*P282*Q282</f>
        <v>18779.501434767011</v>
      </c>
    </row>
    <row r="283" spans="1:20" x14ac:dyDescent="0.25">
      <c r="A283" s="6" t="s">
        <v>293</v>
      </c>
      <c r="B283" s="6" t="s">
        <v>74</v>
      </c>
      <c r="C283" s="6" t="s">
        <v>295</v>
      </c>
      <c r="D283" s="6" t="s">
        <v>296</v>
      </c>
      <c r="E283" s="7" t="s">
        <v>179</v>
      </c>
      <c r="F283" s="8">
        <v>227</v>
      </c>
      <c r="G283" s="8">
        <v>510</v>
      </c>
      <c r="H283" s="9">
        <f>(F283+G283)*(1+0.2)+311</f>
        <v>1195.4000000000001</v>
      </c>
      <c r="I283" s="56">
        <f>959*(1+0.583+0.062*6+0.3+0.517)</f>
        <v>2658.348</v>
      </c>
      <c r="J283" s="14">
        <f>1+5.5%*4</f>
        <v>1.22</v>
      </c>
      <c r="K283" s="12">
        <f>19.2%</f>
        <v>0.192</v>
      </c>
      <c r="L283" s="12">
        <v>0</v>
      </c>
      <c r="M283" s="13">
        <f>60.25%+K283/2+L283/4</f>
        <v>0.69850000000000001</v>
      </c>
      <c r="N283" s="13">
        <f>60.25%*2+K283+L283/2</f>
        <v>1.397</v>
      </c>
      <c r="O283" s="12">
        <f>0.466+0.24</f>
        <v>0.70599999999999996</v>
      </c>
      <c r="P283" s="8">
        <f t="shared" si="36"/>
        <v>0.5</v>
      </c>
      <c r="Q283" s="8">
        <f t="shared" si="37"/>
        <v>0.9</v>
      </c>
      <c r="R283" s="12">
        <v>1.8019999999999998</v>
      </c>
      <c r="S283" s="6" t="s">
        <v>297</v>
      </c>
      <c r="T283" s="9">
        <f>((1461+97.92%*3234)*R283+0.35*3234)*(1+O283)*(1+N283)*P283*Q283</f>
        <v>17428.45252338404</v>
      </c>
    </row>
    <row r="285" spans="1:20" x14ac:dyDescent="0.25">
      <c r="A285" s="6" t="s">
        <v>9</v>
      </c>
      <c r="B285" s="6" t="s">
        <v>10</v>
      </c>
      <c r="C285" s="6" t="s">
        <v>11</v>
      </c>
      <c r="D285" s="6" t="s">
        <v>12</v>
      </c>
      <c r="E285" s="7" t="s">
        <v>13</v>
      </c>
      <c r="F285" s="8" t="s">
        <v>14</v>
      </c>
      <c r="G285" s="8" t="s">
        <v>15</v>
      </c>
      <c r="H285" s="9" t="s">
        <v>16</v>
      </c>
      <c r="I285" s="10" t="s">
        <v>67</v>
      </c>
      <c r="J285" s="14" t="s">
        <v>38</v>
      </c>
      <c r="K285" s="12" t="s">
        <v>19</v>
      </c>
      <c r="L285" s="12" t="s">
        <v>20</v>
      </c>
      <c r="M285" s="13" t="s">
        <v>21</v>
      </c>
      <c r="N285" s="13" t="s">
        <v>22</v>
      </c>
      <c r="O285" s="12" t="s">
        <v>23</v>
      </c>
      <c r="P285" s="8" t="s">
        <v>24</v>
      </c>
      <c r="Q285" s="8" t="s">
        <v>25</v>
      </c>
      <c r="R285" s="12" t="s">
        <v>26</v>
      </c>
      <c r="S285" s="6" t="s">
        <v>27</v>
      </c>
      <c r="T285" s="9" t="s">
        <v>28</v>
      </c>
    </row>
    <row r="286" spans="1:20" x14ac:dyDescent="0.25">
      <c r="A286" s="6" t="s">
        <v>298</v>
      </c>
      <c r="B286" s="6" t="s">
        <v>116</v>
      </c>
      <c r="C286" s="6" t="s">
        <v>299</v>
      </c>
      <c r="D286" s="6" t="s">
        <v>300</v>
      </c>
      <c r="E286" s="7" t="s">
        <v>231</v>
      </c>
      <c r="F286" s="8">
        <v>183</v>
      </c>
      <c r="G286" s="8">
        <v>454</v>
      </c>
      <c r="H286" s="9">
        <f>(F286+G286)*(1+0.2)+311</f>
        <v>1075.4000000000001</v>
      </c>
      <c r="I286" s="56">
        <f>648*(1+0.062*6+0.3)</f>
        <v>1083.4559999999999</v>
      </c>
      <c r="J286" s="14">
        <f>1+0.518+0.2+0.2+0.613</f>
        <v>2.5309999999999997</v>
      </c>
      <c r="K286" s="12">
        <v>0</v>
      </c>
      <c r="L286" s="12">
        <v>0</v>
      </c>
      <c r="M286" s="13">
        <f>60.25%+K286/2+L286/4</f>
        <v>0.60250000000000004</v>
      </c>
      <c r="N286" s="13" t="s">
        <v>44</v>
      </c>
      <c r="O286" s="12" t="s">
        <v>45</v>
      </c>
      <c r="P286" s="8">
        <f>0.5</f>
        <v>0.5</v>
      </c>
      <c r="Q286" s="8">
        <f>0.9</f>
        <v>0.9</v>
      </c>
      <c r="R286" s="12" t="s">
        <v>45</v>
      </c>
      <c r="S286" s="6" t="s">
        <v>301</v>
      </c>
      <c r="T286" s="9" t="s">
        <v>44</v>
      </c>
    </row>
    <row r="288" spans="1:20" x14ac:dyDescent="0.25">
      <c r="A288" s="6" t="s">
        <v>9</v>
      </c>
      <c r="B288" s="6" t="s">
        <v>10</v>
      </c>
      <c r="C288" s="6" t="s">
        <v>11</v>
      </c>
      <c r="D288" s="6" t="s">
        <v>12</v>
      </c>
      <c r="E288" s="7" t="s">
        <v>13</v>
      </c>
      <c r="F288" s="8" t="s">
        <v>14</v>
      </c>
      <c r="G288" s="8" t="s">
        <v>15</v>
      </c>
      <c r="H288" s="9" t="s">
        <v>16</v>
      </c>
      <c r="I288" s="10" t="s">
        <v>67</v>
      </c>
      <c r="J288" s="14"/>
      <c r="K288" s="12" t="s">
        <v>19</v>
      </c>
      <c r="L288" s="12" t="s">
        <v>20</v>
      </c>
      <c r="M288" s="13" t="s">
        <v>21</v>
      </c>
      <c r="N288" s="13" t="s">
        <v>22</v>
      </c>
      <c r="O288" s="12" t="s">
        <v>23</v>
      </c>
      <c r="P288" s="8" t="s">
        <v>24</v>
      </c>
      <c r="Q288" s="8" t="s">
        <v>25</v>
      </c>
      <c r="R288" s="12" t="s">
        <v>302</v>
      </c>
      <c r="S288" s="6" t="s">
        <v>27</v>
      </c>
      <c r="T288" s="9" t="s">
        <v>28</v>
      </c>
    </row>
    <row r="289" spans="1:20" x14ac:dyDescent="0.25">
      <c r="A289" s="6" t="s">
        <v>303</v>
      </c>
      <c r="B289" s="6" t="s">
        <v>304</v>
      </c>
      <c r="C289" s="6" t="s">
        <v>295</v>
      </c>
      <c r="D289" s="6" t="s">
        <v>296</v>
      </c>
      <c r="E289" s="7" t="s">
        <v>305</v>
      </c>
      <c r="F289" s="8">
        <v>251</v>
      </c>
      <c r="G289" s="8">
        <v>454</v>
      </c>
      <c r="H289" s="9">
        <f>(F289+G289)*(1+0.2)+311</f>
        <v>1157</v>
      </c>
      <c r="I289" s="56">
        <f>876*(1+0.583+0.062*6+0.3+0.69)</f>
        <v>2579.8199999999997</v>
      </c>
      <c r="K289" s="12">
        <v>0</v>
      </c>
      <c r="L289" s="12">
        <v>0</v>
      </c>
      <c r="M289" s="13">
        <f>60.25%+K289/2+L289/4</f>
        <v>0.60250000000000004</v>
      </c>
      <c r="N289" s="13">
        <f>60.25%*2+K289+L289/2</f>
        <v>1.2050000000000001</v>
      </c>
      <c r="O289" s="12">
        <f>0.466+0.288+0.24</f>
        <v>0.99399999999999999</v>
      </c>
      <c r="P289" s="8">
        <f>0.5</f>
        <v>0.5</v>
      </c>
      <c r="Q289" s="8">
        <f>0.9</f>
        <v>0.9</v>
      </c>
      <c r="R289" s="12">
        <v>3.2048000000000001</v>
      </c>
      <c r="S289" s="6" t="s">
        <v>306</v>
      </c>
      <c r="T289" s="9">
        <f>876*(1+0.584+0.062*6+0.3+0.69+0.24)*R289*(1+O289)*(1+N289)*P289*Q289</f>
        <v>17696.894878418516</v>
      </c>
    </row>
    <row r="290" spans="1:20" x14ac:dyDescent="0.25">
      <c r="A290" s="6" t="s">
        <v>303</v>
      </c>
      <c r="B290" s="6" t="s">
        <v>304</v>
      </c>
      <c r="C290" s="6" t="s">
        <v>307</v>
      </c>
      <c r="D290" s="6" t="s">
        <v>296</v>
      </c>
      <c r="E290" s="7" t="s">
        <v>305</v>
      </c>
      <c r="F290" s="8">
        <v>251</v>
      </c>
      <c r="G290" s="8">
        <v>454</v>
      </c>
      <c r="H290" s="9">
        <f>(F290+G290)*(1+0.2)+311</f>
        <v>1157</v>
      </c>
      <c r="I290" s="56">
        <f>876*(1+0.583+0.062*6+0.69)</f>
        <v>2317.02</v>
      </c>
      <c r="K290" s="12">
        <v>0</v>
      </c>
      <c r="L290" s="12">
        <v>0</v>
      </c>
      <c r="M290" s="13">
        <f>60.25%+K290/2+L290/4</f>
        <v>0.60250000000000004</v>
      </c>
      <c r="N290" s="13">
        <f>60.25%*2+K290+L290/2</f>
        <v>1.2050000000000001</v>
      </c>
      <c r="O290" s="12">
        <f>0.466+0.288+0.15</f>
        <v>0.90400000000000003</v>
      </c>
      <c r="P290" s="8">
        <f>0.5</f>
        <v>0.5</v>
      </c>
      <c r="Q290" s="8">
        <f>0.9</f>
        <v>0.9</v>
      </c>
      <c r="R290" s="12">
        <v>3.2048000000000001</v>
      </c>
      <c r="S290" s="6" t="s">
        <v>306</v>
      </c>
      <c r="T290" s="9">
        <f>876*(1+0.584+0.062*6+0.69)*R290*(1+O290)*(1+N290)*P290*Q290</f>
        <v>14034.047095327793</v>
      </c>
    </row>
    <row r="291" spans="1:20" x14ac:dyDescent="0.25">
      <c r="A291" s="6" t="s">
        <v>303</v>
      </c>
      <c r="B291" s="6" t="s">
        <v>304</v>
      </c>
      <c r="C291" s="6" t="s">
        <v>76</v>
      </c>
      <c r="D291" s="6" t="s">
        <v>296</v>
      </c>
      <c r="E291" s="7" t="s">
        <v>305</v>
      </c>
      <c r="F291" s="8">
        <v>251</v>
      </c>
      <c r="G291" s="8">
        <v>454</v>
      </c>
      <c r="H291" s="9">
        <f>(F291+G291)*(1+0.2)+311</f>
        <v>1157</v>
      </c>
      <c r="I291" s="56">
        <f>876*(1+0.583+0.062*6+0.69)</f>
        <v>2317.02</v>
      </c>
      <c r="K291" s="12">
        <v>0</v>
      </c>
      <c r="L291" s="12">
        <v>0</v>
      </c>
      <c r="M291" s="13">
        <f>60.25%+K291/2+L291/4</f>
        <v>0.60250000000000004</v>
      </c>
      <c r="N291" s="13">
        <f>60.25%*2+K291+L291/2</f>
        <v>1.2050000000000001</v>
      </c>
      <c r="O291" s="12">
        <f>0.466+0.288</f>
        <v>0.754</v>
      </c>
      <c r="P291" s="8">
        <f>0.5</f>
        <v>0.5</v>
      </c>
      <c r="Q291" s="8">
        <f>0.9</f>
        <v>0.9</v>
      </c>
      <c r="R291" s="12">
        <v>3.2048000000000001</v>
      </c>
      <c r="S291" s="6" t="s">
        <v>306</v>
      </c>
      <c r="T291" s="9">
        <f>876*(1+0.584+0.062*6+0.69)*R291*(1+O291)*(1+N291)*P291*Q291</f>
        <v>12928.423637187472</v>
      </c>
    </row>
    <row r="293" spans="1:20" x14ac:dyDescent="0.25">
      <c r="A293" s="6" t="s">
        <v>9</v>
      </c>
      <c r="B293" s="6" t="s">
        <v>10</v>
      </c>
      <c r="C293" s="6" t="s">
        <v>11</v>
      </c>
      <c r="D293" s="6" t="s">
        <v>12</v>
      </c>
      <c r="E293" s="7" t="s">
        <v>13</v>
      </c>
      <c r="F293" s="8" t="s">
        <v>14</v>
      </c>
      <c r="G293" s="8" t="s">
        <v>15</v>
      </c>
      <c r="H293" s="9" t="s">
        <v>16</v>
      </c>
      <c r="I293" s="10" t="s">
        <v>98</v>
      </c>
      <c r="J293" s="14"/>
      <c r="K293" s="12" t="s">
        <v>19</v>
      </c>
      <c r="L293" s="12" t="s">
        <v>20</v>
      </c>
      <c r="M293" s="13" t="s">
        <v>21</v>
      </c>
      <c r="N293" s="13" t="s">
        <v>22</v>
      </c>
      <c r="O293" s="12" t="s">
        <v>23</v>
      </c>
      <c r="P293" s="8" t="s">
        <v>24</v>
      </c>
      <c r="Q293" s="8" t="s">
        <v>25</v>
      </c>
      <c r="R293" s="12" t="s">
        <v>26</v>
      </c>
      <c r="S293" s="6" t="s">
        <v>27</v>
      </c>
      <c r="T293" s="9" t="s">
        <v>28</v>
      </c>
    </row>
    <row r="294" spans="1:20" x14ac:dyDescent="0.25">
      <c r="A294" s="6" t="s">
        <v>308</v>
      </c>
      <c r="B294" s="6" t="s">
        <v>47</v>
      </c>
      <c r="C294" s="6" t="s">
        <v>76</v>
      </c>
      <c r="D294" s="6" t="s">
        <v>107</v>
      </c>
      <c r="E294" s="7" t="s">
        <v>122</v>
      </c>
      <c r="F294" s="8">
        <v>251</v>
      </c>
      <c r="G294" s="8">
        <v>354</v>
      </c>
      <c r="H294" s="9">
        <f>(F294+G294)*(1+0.2)+311</f>
        <v>1037</v>
      </c>
      <c r="I294" s="56">
        <f>14695*(1+0.466*3+0.469+0.4+0.2)+4780</f>
        <v>55727.565000000002</v>
      </c>
      <c r="K294" s="12">
        <v>0</v>
      </c>
      <c r="L294" s="12">
        <v>0</v>
      </c>
      <c r="M294" s="13" t="s">
        <v>44</v>
      </c>
      <c r="N294" s="13" t="s">
        <v>44</v>
      </c>
      <c r="O294" s="12">
        <v>0.28800000000000003</v>
      </c>
      <c r="P294" s="8">
        <f>0.5</f>
        <v>0.5</v>
      </c>
      <c r="Q294" s="8">
        <v>1.05</v>
      </c>
      <c r="R294" s="12">
        <v>0.21760000000000002</v>
      </c>
      <c r="S294" s="6" t="s">
        <v>309</v>
      </c>
      <c r="T294" s="9">
        <f>(2506+R294*I294)*1.5*1.3</f>
        <v>28533.020380800001</v>
      </c>
    </row>
    <row r="295" spans="1:20" x14ac:dyDescent="0.25">
      <c r="A295" s="6" t="s">
        <v>308</v>
      </c>
      <c r="B295" s="6" t="s">
        <v>30</v>
      </c>
      <c r="C295" s="6" t="s">
        <v>76</v>
      </c>
      <c r="D295" s="6" t="s">
        <v>107</v>
      </c>
      <c r="E295" s="7" t="s">
        <v>122</v>
      </c>
      <c r="F295" s="8">
        <v>251</v>
      </c>
      <c r="G295" s="8">
        <v>608</v>
      </c>
      <c r="H295" s="9">
        <f>(F295+G295)*(1+0.2)+311+0.8%*I295</f>
        <v>1738.3628800000001</v>
      </c>
      <c r="I295" s="56">
        <f>14695*(1+0.466*3+0.25+0.2+0.2)+4780</f>
        <v>49570.360000000008</v>
      </c>
      <c r="K295" s="12">
        <v>-0.311</v>
      </c>
      <c r="L295" s="12">
        <v>0.66200000000000003</v>
      </c>
      <c r="M295" s="13">
        <f t="shared" ref="M295:M301" si="38">60.25%+K295/2+L295/4</f>
        <v>0.61250000000000004</v>
      </c>
      <c r="N295" s="13">
        <f t="shared" ref="N295:N301" si="39">60.25%*2+K295+L295/2</f>
        <v>1.2250000000000001</v>
      </c>
      <c r="O295" s="12">
        <v>0.28800000000000003</v>
      </c>
      <c r="P295" s="8">
        <f>0.5</f>
        <v>0.5</v>
      </c>
      <c r="Q295" s="8">
        <v>1.05</v>
      </c>
      <c r="R295" s="12">
        <v>8.3468</v>
      </c>
      <c r="S295" s="6" t="s">
        <v>310</v>
      </c>
      <c r="T295" s="9">
        <f>(H295*R295+0.33*I295)*(1+O295)*(1+N295)*P295*Q295</f>
        <v>46442.274126940443</v>
      </c>
    </row>
    <row r="296" spans="1:20" x14ac:dyDescent="0.25">
      <c r="A296" s="6" t="s">
        <v>308</v>
      </c>
      <c r="B296" s="6" t="s">
        <v>30</v>
      </c>
      <c r="C296" s="6" t="s">
        <v>311</v>
      </c>
      <c r="D296" s="6" t="s">
        <v>312</v>
      </c>
      <c r="E296" s="7" t="s">
        <v>188</v>
      </c>
      <c r="F296" s="8">
        <v>251</v>
      </c>
      <c r="G296" s="8">
        <v>608</v>
      </c>
      <c r="H296" s="9">
        <f>(F296+G296)*(1+0.2)+311+0.8%*I296</f>
        <v>1611.1629599999999</v>
      </c>
      <c r="I296" s="56">
        <f>14695*(1+0.466*1+0.3+0.2)+4780</f>
        <v>33670.369999999995</v>
      </c>
      <c r="K296" s="12">
        <v>0</v>
      </c>
      <c r="L296" s="12">
        <v>0.66200000000000003</v>
      </c>
      <c r="M296" s="13">
        <f t="shared" si="38"/>
        <v>0.76800000000000002</v>
      </c>
      <c r="N296" s="13">
        <f t="shared" si="39"/>
        <v>1.536</v>
      </c>
      <c r="O296" s="12">
        <f>0.466+0.288+0.15+0.2</f>
        <v>1.1040000000000001</v>
      </c>
      <c r="P296" s="8">
        <f>0.5</f>
        <v>0.5</v>
      </c>
      <c r="Q296" s="8">
        <v>1.05</v>
      </c>
      <c r="R296" s="12">
        <v>8.9971999999999994</v>
      </c>
      <c r="S296" s="6" t="s">
        <v>310</v>
      </c>
      <c r="T296" s="9">
        <f>(H296*R296+0.33*I296)*(1+O296)*(1+N296)*P296*Q296</f>
        <v>71732.505398216977</v>
      </c>
    </row>
    <row r="298" spans="1:20" x14ac:dyDescent="0.25">
      <c r="A298" s="6" t="s">
        <v>9</v>
      </c>
      <c r="B298" s="6" t="s">
        <v>10</v>
      </c>
      <c r="C298" s="6" t="s">
        <v>11</v>
      </c>
      <c r="D298" s="6" t="s">
        <v>12</v>
      </c>
      <c r="E298" s="7" t="s">
        <v>13</v>
      </c>
      <c r="F298" s="8" t="s">
        <v>14</v>
      </c>
      <c r="G298" s="8" t="s">
        <v>15</v>
      </c>
      <c r="H298" s="9" t="s">
        <v>16</v>
      </c>
      <c r="I298" s="10" t="s">
        <v>67</v>
      </c>
      <c r="J298" s="14"/>
      <c r="K298" s="12" t="s">
        <v>19</v>
      </c>
      <c r="L298" s="12" t="s">
        <v>20</v>
      </c>
      <c r="M298" s="13" t="s">
        <v>21</v>
      </c>
      <c r="N298" s="13" t="s">
        <v>22</v>
      </c>
      <c r="O298" s="12" t="s">
        <v>23</v>
      </c>
      <c r="P298" s="8" t="s">
        <v>24</v>
      </c>
      <c r="Q298" s="8" t="s">
        <v>25</v>
      </c>
      <c r="R298" s="12" t="s">
        <v>26</v>
      </c>
      <c r="S298" s="6" t="s">
        <v>27</v>
      </c>
      <c r="T298" s="9" t="s">
        <v>28</v>
      </c>
    </row>
    <row r="299" spans="1:20" x14ac:dyDescent="0.25">
      <c r="A299" s="6" t="s">
        <v>313</v>
      </c>
      <c r="B299" s="6" t="s">
        <v>294</v>
      </c>
      <c r="C299" s="6" t="s">
        <v>295</v>
      </c>
      <c r="D299" s="6" t="s">
        <v>296</v>
      </c>
      <c r="E299" s="7" t="s">
        <v>83</v>
      </c>
      <c r="F299" s="8">
        <v>191</v>
      </c>
      <c r="G299" s="8">
        <v>542</v>
      </c>
      <c r="H299" s="9">
        <f>(F299+G299)*(1+0.2)+311</f>
        <v>1190.5999999999999</v>
      </c>
      <c r="I299" s="56">
        <f>799*(1+0.583+0.248+0.3+0.28+0.3)</f>
        <v>2166.0889999999995</v>
      </c>
      <c r="K299" s="12">
        <v>0</v>
      </c>
      <c r="L299" s="12">
        <v>0.88200000000000001</v>
      </c>
      <c r="M299" s="13">
        <v>0.7</v>
      </c>
      <c r="N299" s="13">
        <f>60.25%*2+K299+L299/2+12.3%*2</f>
        <v>1.8920000000000001</v>
      </c>
      <c r="O299" s="12">
        <f>0.466+0.24</f>
        <v>0.70599999999999996</v>
      </c>
      <c r="P299" s="8">
        <f>0.5</f>
        <v>0.5</v>
      </c>
      <c r="Q299" s="8">
        <f>0.9</f>
        <v>0.9</v>
      </c>
      <c r="R299" s="12">
        <v>1.5640000000000001</v>
      </c>
      <c r="S299" s="6" t="s">
        <v>314</v>
      </c>
      <c r="T299" s="9">
        <f>((H299+1.3*2358)*R299+0.4*2358)*(1+O299)*(1+N299)*P299*Q299</f>
        <v>16872.508241625601</v>
      </c>
    </row>
    <row r="300" spans="1:20" x14ac:dyDescent="0.25">
      <c r="A300" s="6" t="s">
        <v>313</v>
      </c>
      <c r="B300" s="6" t="s">
        <v>66</v>
      </c>
      <c r="C300" s="6" t="s">
        <v>295</v>
      </c>
      <c r="D300" s="6" t="s">
        <v>296</v>
      </c>
      <c r="E300" s="7" t="s">
        <v>83</v>
      </c>
      <c r="F300" s="8">
        <v>191</v>
      </c>
      <c r="G300" s="8">
        <v>510</v>
      </c>
      <c r="H300" s="9">
        <f>(F300+G300)*(1+0.2)+311</f>
        <v>1152.1999999999998</v>
      </c>
      <c r="I300" s="56">
        <f>799*(1+0.583+0.062*6+0.3+0.3)</f>
        <v>2041.4449999999997</v>
      </c>
      <c r="K300" s="12">
        <v>0.27600000000000002</v>
      </c>
      <c r="L300" s="12">
        <v>0</v>
      </c>
      <c r="M300" s="13">
        <f t="shared" si="38"/>
        <v>0.74050000000000005</v>
      </c>
      <c r="N300" s="13">
        <f t="shared" si="39"/>
        <v>1.4810000000000001</v>
      </c>
      <c r="O300" s="12">
        <f>0.466+0.4+0.24</f>
        <v>1.1060000000000001</v>
      </c>
      <c r="P300" s="8">
        <f>0.5</f>
        <v>0.5</v>
      </c>
      <c r="Q300" s="8">
        <f>0.9</f>
        <v>0.9</v>
      </c>
      <c r="R300" s="12">
        <v>1.5640000000000001</v>
      </c>
      <c r="S300" s="6" t="s">
        <v>314</v>
      </c>
      <c r="T300" s="9">
        <f>(H300+1.3*2223)*R300*(1+O300)*(1+N300)*P300*Q300</f>
        <v>14864.19681788028</v>
      </c>
    </row>
    <row r="301" spans="1:20" x14ac:dyDescent="0.25">
      <c r="A301" s="6" t="s">
        <v>313</v>
      </c>
      <c r="B301" s="6" t="s">
        <v>74</v>
      </c>
      <c r="C301" s="6" t="s">
        <v>295</v>
      </c>
      <c r="D301" s="6" t="s">
        <v>296</v>
      </c>
      <c r="E301" s="7" t="s">
        <v>83</v>
      </c>
      <c r="F301" s="8">
        <v>191</v>
      </c>
      <c r="G301" s="8">
        <v>510</v>
      </c>
      <c r="H301" s="9">
        <f>(F301+G301)*(1+0.2)+311</f>
        <v>1152.1999999999998</v>
      </c>
      <c r="I301" s="56">
        <f>799*(1+0.583+0.062*6+0.3+0.517+0.3)</f>
        <v>2454.5279999999998</v>
      </c>
      <c r="K301" s="12">
        <v>0</v>
      </c>
      <c r="L301" s="12">
        <v>0</v>
      </c>
      <c r="M301" s="13">
        <f t="shared" si="38"/>
        <v>0.60250000000000004</v>
      </c>
      <c r="N301" s="13">
        <f t="shared" si="39"/>
        <v>1.2050000000000001</v>
      </c>
      <c r="O301" s="12">
        <f>0.466+0.24</f>
        <v>0.70599999999999996</v>
      </c>
      <c r="P301" s="8">
        <f>0.5</f>
        <v>0.5</v>
      </c>
      <c r="Q301" s="8">
        <f>0.9</f>
        <v>0.9</v>
      </c>
      <c r="R301" s="12">
        <v>1.5640000000000001</v>
      </c>
      <c r="S301" s="6" t="s">
        <v>314</v>
      </c>
      <c r="T301" s="9">
        <f>(1320+1.3*2934)*R301*(1+O301)*(1+N301)*P301*Q301</f>
        <v>13592.823118030803</v>
      </c>
    </row>
    <row r="303" spans="1:20" x14ac:dyDescent="0.25">
      <c r="A303" s="6" t="s">
        <v>9</v>
      </c>
      <c r="B303" s="6" t="s">
        <v>10</v>
      </c>
      <c r="C303" s="6" t="s">
        <v>11</v>
      </c>
      <c r="D303" s="6" t="s">
        <v>12</v>
      </c>
      <c r="E303" s="7" t="s">
        <v>13</v>
      </c>
      <c r="F303" s="8" t="s">
        <v>14</v>
      </c>
      <c r="G303" s="8" t="s">
        <v>15</v>
      </c>
      <c r="H303" s="9" t="s">
        <v>16</v>
      </c>
      <c r="J303" s="14"/>
      <c r="K303" s="12" t="s">
        <v>19</v>
      </c>
      <c r="L303" s="12" t="s">
        <v>20</v>
      </c>
      <c r="M303" s="13" t="s">
        <v>21</v>
      </c>
      <c r="N303" s="13" t="s">
        <v>22</v>
      </c>
      <c r="O303" s="12" t="s">
        <v>23</v>
      </c>
      <c r="P303" s="8" t="s">
        <v>24</v>
      </c>
      <c r="Q303" s="8" t="s">
        <v>25</v>
      </c>
      <c r="R303" s="12" t="s">
        <v>26</v>
      </c>
      <c r="S303" s="6" t="s">
        <v>27</v>
      </c>
      <c r="T303" s="9" t="s">
        <v>28</v>
      </c>
    </row>
    <row r="304" spans="1:20" x14ac:dyDescent="0.25">
      <c r="A304" s="6" t="s">
        <v>315</v>
      </c>
      <c r="B304" s="6" t="s">
        <v>56</v>
      </c>
      <c r="C304" s="6" t="s">
        <v>316</v>
      </c>
      <c r="D304" s="6" t="s">
        <v>317</v>
      </c>
      <c r="E304" s="7" t="s">
        <v>318</v>
      </c>
      <c r="F304" s="8">
        <v>212</v>
      </c>
      <c r="G304" s="8">
        <v>608</v>
      </c>
      <c r="H304" s="9">
        <f>(F304+G304)*(1+0.3+0.466+0.18)+311</f>
        <v>1906.72</v>
      </c>
      <c r="K304" s="12">
        <v>0.33100000000000002</v>
      </c>
      <c r="L304" s="12">
        <v>0</v>
      </c>
      <c r="M304" s="13">
        <f>60.25%+K304/2+L304/4</f>
        <v>0.76800000000000002</v>
      </c>
      <c r="N304" s="13">
        <f>60.25%*2+K304+L304/2</f>
        <v>1.536</v>
      </c>
      <c r="O304" s="12">
        <f>0.466+0.15+0.24+0.12</f>
        <v>0.97599999999999998</v>
      </c>
      <c r="P304" s="8">
        <f>190/(190*(1)+190)</f>
        <v>0.5</v>
      </c>
      <c r="Q304" s="8">
        <v>0.9</v>
      </c>
      <c r="R304" s="12">
        <f>184.79%</f>
        <v>1.8478999999999999</v>
      </c>
      <c r="S304" s="6" t="s">
        <v>319</v>
      </c>
      <c r="T304" s="9">
        <f>H304*R304*(1+O304)*(1+N304*M304)*P304*Q304</f>
        <v>6828.9071027694681</v>
      </c>
    </row>
    <row r="305" spans="1:20" x14ac:dyDescent="0.25">
      <c r="A305" s="6" t="s">
        <v>315</v>
      </c>
      <c r="B305" s="6" t="s">
        <v>320</v>
      </c>
      <c r="C305" s="6" t="s">
        <v>316</v>
      </c>
      <c r="D305" s="6" t="s">
        <v>317</v>
      </c>
      <c r="E305" s="7" t="s">
        <v>318</v>
      </c>
      <c r="F305" s="8">
        <v>212</v>
      </c>
      <c r="G305" s="8">
        <v>608</v>
      </c>
      <c r="H305" s="9">
        <f>(F305+G305)*(1+0.3+0.466+0.18+0.496)+311</f>
        <v>2313.44</v>
      </c>
      <c r="K305" s="12">
        <v>0</v>
      </c>
      <c r="L305" s="12">
        <v>0</v>
      </c>
      <c r="M305" s="13">
        <f>60.25%+K305/2+L305/4</f>
        <v>0.60250000000000004</v>
      </c>
      <c r="N305" s="13">
        <f>60.25%*2+K305+L305/2</f>
        <v>1.2050000000000001</v>
      </c>
      <c r="O305" s="12">
        <f>0.466+0.15+0.24+0.12</f>
        <v>0.97599999999999998</v>
      </c>
      <c r="P305" s="8">
        <f>190/(190*(1)+190)</f>
        <v>0.5</v>
      </c>
      <c r="Q305" s="8">
        <v>0.9</v>
      </c>
      <c r="R305" s="12">
        <f>184.79%</f>
        <v>1.8478999999999999</v>
      </c>
      <c r="S305" s="6" t="s">
        <v>319</v>
      </c>
      <c r="T305" s="9">
        <f>2559*R305*(1+O305)*(1+N305*M305)*P305*Q305</f>
        <v>7257.5851845614716</v>
      </c>
    </row>
    <row r="306" spans="1:20" x14ac:dyDescent="0.25">
      <c r="A306" s="6" t="s">
        <v>315</v>
      </c>
      <c r="B306" s="6" t="s">
        <v>60</v>
      </c>
      <c r="C306" s="6" t="s">
        <v>316</v>
      </c>
      <c r="D306" s="6" t="s">
        <v>317</v>
      </c>
      <c r="E306" s="7" t="s">
        <v>318</v>
      </c>
      <c r="F306" s="8">
        <v>212</v>
      </c>
      <c r="G306" s="8">
        <v>510</v>
      </c>
      <c r="H306" s="9">
        <f>(F306+G306)*(1+0.3+0.466+0.18)+311</f>
        <v>1716.0119999999999</v>
      </c>
      <c r="K306" s="12">
        <v>0</v>
      </c>
      <c r="L306" s="12">
        <v>0.55100000000000005</v>
      </c>
      <c r="M306" s="13">
        <v>0.7</v>
      </c>
      <c r="N306" s="13">
        <f>60.25%*2+K306+L306/2+4.03%*2</f>
        <v>1.5611000000000002</v>
      </c>
      <c r="O306" s="12">
        <f>0.466+0.15+0.24+0.12+0.96</f>
        <v>1.9359999999999999</v>
      </c>
      <c r="P306" s="8">
        <f>190/(190*(1)+190)</f>
        <v>0.5</v>
      </c>
      <c r="Q306" s="8">
        <v>0.9</v>
      </c>
      <c r="R306" s="12">
        <f>184.79%</f>
        <v>1.8478999999999999</v>
      </c>
      <c r="S306" s="6" t="s">
        <v>319</v>
      </c>
      <c r="T306" s="9">
        <f>H306*R306*(1+O306)*(1+N306*M306)*P306*Q306</f>
        <v>8767.7640115264785</v>
      </c>
    </row>
    <row r="308" spans="1:20" x14ac:dyDescent="0.25">
      <c r="A308" s="6" t="s">
        <v>9</v>
      </c>
      <c r="B308" s="6" t="s">
        <v>10</v>
      </c>
      <c r="C308" s="6" t="s">
        <v>11</v>
      </c>
      <c r="D308" s="6" t="s">
        <v>12</v>
      </c>
      <c r="E308" s="7" t="s">
        <v>13</v>
      </c>
      <c r="F308" s="8" t="s">
        <v>14</v>
      </c>
      <c r="G308" s="8" t="s">
        <v>15</v>
      </c>
      <c r="H308" s="9" t="s">
        <v>16</v>
      </c>
      <c r="J308" s="14"/>
      <c r="K308" s="12" t="s">
        <v>19</v>
      </c>
      <c r="L308" s="12" t="s">
        <v>20</v>
      </c>
      <c r="M308" s="13" t="s">
        <v>21</v>
      </c>
      <c r="N308" s="13" t="s">
        <v>22</v>
      </c>
      <c r="O308" s="12" t="s">
        <v>23</v>
      </c>
      <c r="P308" s="8" t="s">
        <v>24</v>
      </c>
      <c r="Q308" s="8" t="s">
        <v>25</v>
      </c>
      <c r="R308" s="12" t="s">
        <v>26</v>
      </c>
      <c r="S308" s="6" t="s">
        <v>27</v>
      </c>
      <c r="T308" s="9" t="s">
        <v>28</v>
      </c>
    </row>
    <row r="309" spans="1:20" x14ac:dyDescent="0.25">
      <c r="A309" s="6" t="s">
        <v>321</v>
      </c>
      <c r="B309" s="6" t="s">
        <v>224</v>
      </c>
      <c r="C309" s="6" t="s">
        <v>316</v>
      </c>
      <c r="D309" s="6" t="s">
        <v>317</v>
      </c>
      <c r="E309" s="7" t="s">
        <v>240</v>
      </c>
      <c r="F309" s="8">
        <v>212</v>
      </c>
      <c r="G309" s="8">
        <v>674</v>
      </c>
      <c r="H309" s="9">
        <f>(F309+G309)*(1+0.3+0.466+0.18+0.24)+311</f>
        <v>2247.7960000000003</v>
      </c>
      <c r="K309" s="12">
        <v>0</v>
      </c>
      <c r="L309" s="12">
        <v>0.441</v>
      </c>
      <c r="M309" s="13">
        <f>60.25%+K309/2+L309/4</f>
        <v>0.71274999999999999</v>
      </c>
      <c r="N309" s="13">
        <f>60.25%*2+K309+L309/2</f>
        <v>1.4255</v>
      </c>
      <c r="O309" s="12">
        <f>0.466+0.15+0.4</f>
        <v>1.016</v>
      </c>
      <c r="P309" s="8">
        <f t="shared" ref="P309:P315" si="40">190/(190*(1)+190)</f>
        <v>0.5</v>
      </c>
      <c r="Q309" s="8">
        <v>0.9</v>
      </c>
      <c r="R309" s="12">
        <v>3.145</v>
      </c>
      <c r="S309" s="6" t="s">
        <v>322</v>
      </c>
      <c r="T309" s="9">
        <f>H309*R309*(1+O309)*(1+N309)*P309*Q309</f>
        <v>15555.424394098514</v>
      </c>
    </row>
    <row r="310" spans="1:20" x14ac:dyDescent="0.25">
      <c r="A310" s="6" t="s">
        <v>321</v>
      </c>
      <c r="B310" s="6" t="s">
        <v>124</v>
      </c>
      <c r="C310" s="6" t="s">
        <v>316</v>
      </c>
      <c r="D310" s="6" t="s">
        <v>317</v>
      </c>
      <c r="E310" s="7" t="s">
        <v>240</v>
      </c>
      <c r="F310" s="8">
        <v>212</v>
      </c>
      <c r="G310" s="8">
        <v>542</v>
      </c>
      <c r="H310" s="9">
        <f>(F310+G310)*(1+0.3+0.466+0.18+0.24)+311+1.2%*(10875*(1+0.2+0.2)+4780)</f>
        <v>2199.3040000000001</v>
      </c>
      <c r="K310" s="12">
        <v>0.441</v>
      </c>
      <c r="L310" s="12">
        <v>0</v>
      </c>
      <c r="M310" s="13">
        <v>0.8</v>
      </c>
      <c r="N310" s="13">
        <f>60.25%*2+K310+L310/2+2.3%*2</f>
        <v>1.6920000000000002</v>
      </c>
      <c r="O310" s="12">
        <f>0.466+0.15</f>
        <v>0.61599999999999999</v>
      </c>
      <c r="P310" s="8">
        <f t="shared" si="40"/>
        <v>0.5</v>
      </c>
      <c r="Q310" s="8">
        <v>0.9</v>
      </c>
      <c r="R310" s="12">
        <v>3.145</v>
      </c>
      <c r="S310" s="6" t="s">
        <v>322</v>
      </c>
      <c r="T310" s="9">
        <f>H310*R310*(1+O310)*(1+N310)*P310*Q310</f>
        <v>13540.504306776194</v>
      </c>
    </row>
    <row r="311" spans="1:20" x14ac:dyDescent="0.25">
      <c r="A311" s="6" t="s">
        <v>321</v>
      </c>
      <c r="B311" s="6" t="s">
        <v>127</v>
      </c>
      <c r="C311" s="6" t="s">
        <v>316</v>
      </c>
      <c r="D311" s="6" t="s">
        <v>317</v>
      </c>
      <c r="E311" s="7" t="s">
        <v>240</v>
      </c>
      <c r="F311" s="8">
        <v>212</v>
      </c>
      <c r="G311" s="8">
        <v>510</v>
      </c>
      <c r="H311" s="9">
        <f>(F311+G311)*(1+0.3+0.466+0.18+0.24)+311</f>
        <v>1889.2919999999999</v>
      </c>
      <c r="K311" s="12">
        <v>0.27600000000000002</v>
      </c>
      <c r="L311" s="12">
        <v>0</v>
      </c>
      <c r="M311" s="13">
        <f>60.25%+K311/2+L311/4</f>
        <v>0.74050000000000005</v>
      </c>
      <c r="N311" s="13">
        <f>60.25%*2+K311+L311/2</f>
        <v>1.4810000000000001</v>
      </c>
      <c r="O311" s="12">
        <f>0.466+0.15</f>
        <v>0.61599999999999999</v>
      </c>
      <c r="P311" s="8">
        <f t="shared" si="40"/>
        <v>0.5</v>
      </c>
      <c r="Q311" s="8">
        <v>0.9</v>
      </c>
      <c r="R311" s="12">
        <v>3.145</v>
      </c>
      <c r="S311" s="6" t="s">
        <v>322</v>
      </c>
      <c r="T311" s="9">
        <f>H311*R311*(1+O311)*(1+N311)*P311*Q311</f>
        <v>10720.137847395887</v>
      </c>
    </row>
    <row r="313" spans="1:20" x14ac:dyDescent="0.25">
      <c r="A313" s="6" t="s">
        <v>9</v>
      </c>
      <c r="B313" s="6" t="s">
        <v>10</v>
      </c>
      <c r="C313" s="6" t="s">
        <v>11</v>
      </c>
      <c r="D313" s="6" t="s">
        <v>12</v>
      </c>
      <c r="E313" s="7" t="s">
        <v>13</v>
      </c>
      <c r="F313" s="8" t="s">
        <v>14</v>
      </c>
      <c r="G313" s="8" t="s">
        <v>15</v>
      </c>
      <c r="H313" s="9" t="s">
        <v>16</v>
      </c>
      <c r="I313" s="10" t="s">
        <v>38</v>
      </c>
      <c r="J313" s="14" t="s">
        <v>323</v>
      </c>
      <c r="K313" s="12" t="s">
        <v>19</v>
      </c>
      <c r="L313" s="12" t="s">
        <v>20</v>
      </c>
      <c r="M313" s="13" t="s">
        <v>21</v>
      </c>
      <c r="N313" s="13" t="s">
        <v>22</v>
      </c>
      <c r="O313" s="12" t="s">
        <v>23</v>
      </c>
      <c r="P313" s="8" t="s">
        <v>24</v>
      </c>
      <c r="Q313" s="8" t="s">
        <v>25</v>
      </c>
      <c r="R313" s="12" t="s">
        <v>26</v>
      </c>
      <c r="S313" s="6" t="s">
        <v>27</v>
      </c>
      <c r="T313" s="9" t="s">
        <v>28</v>
      </c>
    </row>
    <row r="314" spans="1:20" x14ac:dyDescent="0.25">
      <c r="A314" s="6" t="s">
        <v>324</v>
      </c>
      <c r="B314" s="6" t="s">
        <v>40</v>
      </c>
      <c r="C314" s="6" t="s">
        <v>295</v>
      </c>
      <c r="D314" s="6" t="s">
        <v>325</v>
      </c>
      <c r="E314" s="7" t="s">
        <v>91</v>
      </c>
      <c r="F314" s="8">
        <v>191</v>
      </c>
      <c r="G314" s="8">
        <v>565</v>
      </c>
      <c r="H314" s="9">
        <f>(F314+G314)*(1+0.2)+311</f>
        <v>1218.1999999999998</v>
      </c>
      <c r="I314" s="19">
        <f>1+0.306+0.6+0.267</f>
        <v>2.173</v>
      </c>
      <c r="J314" s="10">
        <f>734*(1+0.062*6+0.3+0.583*2)</f>
        <v>2083.0920000000001</v>
      </c>
      <c r="K314" s="12">
        <v>0</v>
      </c>
      <c r="L314" s="12">
        <v>0</v>
      </c>
      <c r="M314" s="13">
        <v>0.6</v>
      </c>
      <c r="N314" s="13" t="s">
        <v>44</v>
      </c>
      <c r="O314" s="12" t="s">
        <v>45</v>
      </c>
      <c r="P314" s="8">
        <f t="shared" si="40"/>
        <v>0.5</v>
      </c>
      <c r="Q314" s="8">
        <v>0.9</v>
      </c>
      <c r="R314" s="12" t="s">
        <v>45</v>
      </c>
      <c r="S314" s="6" t="s">
        <v>45</v>
      </c>
      <c r="T314" s="9" t="s">
        <v>44</v>
      </c>
    </row>
    <row r="315" spans="1:20" x14ac:dyDescent="0.25">
      <c r="A315" s="6" t="s">
        <v>324</v>
      </c>
      <c r="B315" s="6" t="s">
        <v>106</v>
      </c>
      <c r="C315" s="6" t="s">
        <v>295</v>
      </c>
      <c r="D315" s="6" t="s">
        <v>77</v>
      </c>
      <c r="E315" s="7" t="s">
        <v>91</v>
      </c>
      <c r="F315" s="8">
        <v>191</v>
      </c>
      <c r="G315" s="8">
        <v>565</v>
      </c>
      <c r="H315" s="9">
        <f>(F315+G315)*(1+0.2)+311</f>
        <v>1218.1999999999998</v>
      </c>
      <c r="I315" s="19">
        <f>1+0.8+0.267</f>
        <v>2.0670000000000002</v>
      </c>
      <c r="J315" s="10">
        <f>734*(1+0.062*6+0.3+0.583*3)</f>
        <v>2511.0139999999997</v>
      </c>
      <c r="K315" s="12">
        <v>0</v>
      </c>
      <c r="L315" s="12">
        <v>0</v>
      </c>
      <c r="M315" s="13" t="s">
        <v>44</v>
      </c>
      <c r="N315" s="13" t="s">
        <v>44</v>
      </c>
      <c r="O315" s="12" t="s">
        <v>45</v>
      </c>
      <c r="P315" s="8">
        <f t="shared" si="40"/>
        <v>0.5</v>
      </c>
      <c r="Q315" s="8">
        <v>0.9</v>
      </c>
      <c r="R315" s="12" t="s">
        <v>45</v>
      </c>
      <c r="S315" s="6" t="s">
        <v>45</v>
      </c>
      <c r="T315" s="9" t="s">
        <v>44</v>
      </c>
    </row>
  </sheetData>
  <mergeCells count="14">
    <mergeCell ref="A2:E6"/>
    <mergeCell ref="F2:I6"/>
    <mergeCell ref="J2:N6"/>
    <mergeCell ref="O2:T6"/>
    <mergeCell ref="A1:T1"/>
    <mergeCell ref="A10:T10"/>
    <mergeCell ref="A68:T68"/>
    <mergeCell ref="A112:T112"/>
    <mergeCell ref="A150:T150"/>
    <mergeCell ref="A279:T279"/>
    <mergeCell ref="A7:E9"/>
    <mergeCell ref="F7:I9"/>
    <mergeCell ref="J7:N9"/>
    <mergeCell ref="O7:T9"/>
  </mergeCells>
  <phoneticPr fontId="13" type="noConversion"/>
  <pageMargins left="0.75" right="0.75" top="1" bottom="1" header="0.51180555555555551" footer="0.51180555555555551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"/>
  <sheetViews>
    <sheetView topLeftCell="A49" zoomScaleSheetLayoutView="100" workbookViewId="0">
      <selection activeCell="I67" sqref="I67"/>
    </sheetView>
  </sheetViews>
  <sheetFormatPr defaultColWidth="9" defaultRowHeight="15" x14ac:dyDescent="0.25"/>
  <sheetData>
    <row r="1" spans="1:1" x14ac:dyDescent="0.25">
      <c r="A1" t="s">
        <v>326</v>
      </c>
    </row>
    <row r="2" spans="1:1" x14ac:dyDescent="0.25">
      <c r="A2" t="s">
        <v>327</v>
      </c>
    </row>
    <row r="3" spans="1:1" x14ac:dyDescent="0.25">
      <c r="A3" t="s">
        <v>328</v>
      </c>
    </row>
    <row r="4" spans="1:1" x14ac:dyDescent="0.25">
      <c r="A4" t="s">
        <v>329</v>
      </c>
    </row>
    <row r="5" spans="1:1" x14ac:dyDescent="0.25">
      <c r="A5" t="s">
        <v>330</v>
      </c>
    </row>
    <row r="6" spans="1:1" x14ac:dyDescent="0.25">
      <c r="A6" t="s">
        <v>331</v>
      </c>
    </row>
    <row r="7" spans="1:1" x14ac:dyDescent="0.25">
      <c r="A7" t="s">
        <v>332</v>
      </c>
    </row>
    <row r="9" spans="1:1" x14ac:dyDescent="0.25">
      <c r="A9" t="s">
        <v>333</v>
      </c>
    </row>
    <row r="10" spans="1:1" x14ac:dyDescent="0.25">
      <c r="A10" s="1" t="s">
        <v>334</v>
      </c>
    </row>
    <row r="11" spans="1:1" x14ac:dyDescent="0.25">
      <c r="A11" s="1" t="s">
        <v>335</v>
      </c>
    </row>
    <row r="12" spans="1:1" x14ac:dyDescent="0.25">
      <c r="A12" s="2" t="s">
        <v>336</v>
      </c>
    </row>
    <row r="13" spans="1:1" x14ac:dyDescent="0.25">
      <c r="A13" s="2" t="s">
        <v>337</v>
      </c>
    </row>
    <row r="14" spans="1:1" x14ac:dyDescent="0.25">
      <c r="A14" s="2" t="s">
        <v>338</v>
      </c>
    </row>
    <row r="15" spans="1:1" x14ac:dyDescent="0.25">
      <c r="A15" s="2" t="s">
        <v>339</v>
      </c>
    </row>
    <row r="16" spans="1:1" x14ac:dyDescent="0.25">
      <c r="A16" s="2" t="s">
        <v>340</v>
      </c>
    </row>
    <row r="17" spans="1:1" x14ac:dyDescent="0.25">
      <c r="A17" s="2" t="s">
        <v>341</v>
      </c>
    </row>
    <row r="19" spans="1:1" x14ac:dyDescent="0.25">
      <c r="A19" t="s">
        <v>342</v>
      </c>
    </row>
    <row r="20" spans="1:1" x14ac:dyDescent="0.25">
      <c r="A20" t="s">
        <v>343</v>
      </c>
    </row>
    <row r="23" spans="1:1" x14ac:dyDescent="0.25">
      <c r="A23" s="1" t="s">
        <v>344</v>
      </c>
    </row>
    <row r="24" spans="1:1" x14ac:dyDescent="0.25">
      <c r="A24" s="1" t="s">
        <v>345</v>
      </c>
    </row>
    <row r="25" spans="1:1" x14ac:dyDescent="0.25">
      <c r="A25" s="1" t="s">
        <v>346</v>
      </c>
    </row>
    <row r="26" spans="1:1" x14ac:dyDescent="0.25">
      <c r="A26" s="1" t="s">
        <v>347</v>
      </c>
    </row>
    <row r="29" spans="1:1" x14ac:dyDescent="0.25">
      <c r="A29" s="1" t="s">
        <v>348</v>
      </c>
    </row>
    <row r="30" spans="1:1" x14ac:dyDescent="0.25">
      <c r="A30" s="1" t="s">
        <v>349</v>
      </c>
    </row>
    <row r="31" spans="1:1" x14ac:dyDescent="0.25">
      <c r="A31" s="1" t="s">
        <v>350</v>
      </c>
    </row>
    <row r="32" spans="1:1" x14ac:dyDescent="0.25">
      <c r="A32" s="1" t="s">
        <v>351</v>
      </c>
    </row>
    <row r="33" spans="1:1" x14ac:dyDescent="0.25">
      <c r="A33" s="1" t="s">
        <v>352</v>
      </c>
    </row>
    <row r="34" spans="1:1" x14ac:dyDescent="0.25">
      <c r="A34" s="1" t="s">
        <v>353</v>
      </c>
    </row>
    <row r="35" spans="1:1" x14ac:dyDescent="0.25">
      <c r="A35" s="1" t="s">
        <v>354</v>
      </c>
    </row>
    <row r="38" spans="1:1" x14ac:dyDescent="0.25">
      <c r="A38" s="1" t="s">
        <v>355</v>
      </c>
    </row>
    <row r="39" spans="1:1" x14ac:dyDescent="0.25">
      <c r="A39" s="1" t="s">
        <v>356</v>
      </c>
    </row>
    <row r="40" spans="1:1" x14ac:dyDescent="0.25">
      <c r="A40" s="1" t="s">
        <v>357</v>
      </c>
    </row>
    <row r="41" spans="1:1" x14ac:dyDescent="0.25">
      <c r="A41" s="1" t="s">
        <v>358</v>
      </c>
    </row>
    <row r="42" spans="1:1" x14ac:dyDescent="0.25">
      <c r="A42" s="1" t="s">
        <v>359</v>
      </c>
    </row>
    <row r="43" spans="1:1" x14ac:dyDescent="0.25">
      <c r="A43" s="1" t="s">
        <v>360</v>
      </c>
    </row>
    <row r="44" spans="1:1" x14ac:dyDescent="0.25">
      <c r="A44" s="1" t="s">
        <v>361</v>
      </c>
    </row>
    <row r="45" spans="1:1" x14ac:dyDescent="0.25">
      <c r="A45" s="1" t="s">
        <v>362</v>
      </c>
    </row>
    <row r="46" spans="1:1" x14ac:dyDescent="0.25">
      <c r="A46" s="1" t="s">
        <v>363</v>
      </c>
    </row>
    <row r="48" spans="1:1" x14ac:dyDescent="0.25">
      <c r="A48" s="1" t="s">
        <v>364</v>
      </c>
    </row>
    <row r="49" spans="1:1" x14ac:dyDescent="0.25">
      <c r="A49" s="1" t="s">
        <v>365</v>
      </c>
    </row>
    <row r="50" spans="1:1" x14ac:dyDescent="0.25">
      <c r="A50" s="1" t="s">
        <v>366</v>
      </c>
    </row>
    <row r="51" spans="1:1" x14ac:dyDescent="0.25">
      <c r="A51" s="1" t="s">
        <v>367</v>
      </c>
    </row>
    <row r="53" spans="1:1" x14ac:dyDescent="0.25">
      <c r="A53" s="1" t="s">
        <v>368</v>
      </c>
    </row>
    <row r="54" spans="1:1" x14ac:dyDescent="0.25">
      <c r="A54" s="1" t="s">
        <v>369</v>
      </c>
    </row>
    <row r="55" spans="1:1" x14ac:dyDescent="0.25">
      <c r="A55" s="1" t="s">
        <v>370</v>
      </c>
    </row>
    <row r="56" spans="1:1" x14ac:dyDescent="0.25">
      <c r="A56" s="1" t="s">
        <v>371</v>
      </c>
    </row>
    <row r="57" spans="1:1" x14ac:dyDescent="0.25">
      <c r="A57" s="1" t="s">
        <v>372</v>
      </c>
    </row>
    <row r="58" spans="1:1" x14ac:dyDescent="0.25">
      <c r="A58" s="1" t="s">
        <v>373</v>
      </c>
    </row>
    <row r="59" spans="1:1" x14ac:dyDescent="0.25">
      <c r="A59" s="1" t="s">
        <v>374</v>
      </c>
    </row>
    <row r="60" spans="1:1" x14ac:dyDescent="0.25">
      <c r="A60" s="1" t="s">
        <v>375</v>
      </c>
    </row>
    <row r="61" spans="1:1" x14ac:dyDescent="0.25">
      <c r="A61" s="1" t="s">
        <v>376</v>
      </c>
    </row>
    <row r="62" spans="1:1" x14ac:dyDescent="0.25">
      <c r="A62" s="1" t="s">
        <v>377</v>
      </c>
    </row>
    <row r="63" spans="1:1" x14ac:dyDescent="0.25">
      <c r="A63" s="1" t="s">
        <v>378</v>
      </c>
    </row>
    <row r="64" spans="1:1" x14ac:dyDescent="0.25">
      <c r="A64" s="1" t="s">
        <v>379</v>
      </c>
    </row>
    <row r="66" spans="1:1" x14ac:dyDescent="0.25">
      <c r="A66" t="s">
        <v>380</v>
      </c>
    </row>
    <row r="67" spans="1:1" x14ac:dyDescent="0.25">
      <c r="A67" s="1" t="s">
        <v>381</v>
      </c>
    </row>
    <row r="68" spans="1:1" x14ac:dyDescent="0.25">
      <c r="A68" s="1" t="s">
        <v>382</v>
      </c>
    </row>
    <row r="69" spans="1:1" x14ac:dyDescent="0.25">
      <c r="A69" s="2" t="s">
        <v>383</v>
      </c>
    </row>
    <row r="70" spans="1:1" x14ac:dyDescent="0.25">
      <c r="A70" s="2" t="s">
        <v>384</v>
      </c>
    </row>
    <row r="71" spans="1:1" x14ac:dyDescent="0.25">
      <c r="A71" s="1" t="s">
        <v>385</v>
      </c>
    </row>
    <row r="72" spans="1:1" x14ac:dyDescent="0.25">
      <c r="A72" s="1" t="s">
        <v>386</v>
      </c>
    </row>
    <row r="74" spans="1:1" x14ac:dyDescent="0.25">
      <c r="A74" s="3">
        <v>3.1</v>
      </c>
    </row>
    <row r="75" spans="1:1" x14ac:dyDescent="0.25">
      <c r="A75" t="s">
        <v>387</v>
      </c>
    </row>
    <row r="76" spans="1:1" x14ac:dyDescent="0.25">
      <c r="A76" t="s">
        <v>388</v>
      </c>
    </row>
  </sheetData>
  <phoneticPr fontId="13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正表</vt:lpstr>
      <vt:lpstr>更新and修正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administration</dc:creator>
  <cp:lastModifiedBy>Wuyi无疑</cp:lastModifiedBy>
  <dcterms:created xsi:type="dcterms:W3CDTF">2016-12-02T08:54:00Z</dcterms:created>
  <dcterms:modified xsi:type="dcterms:W3CDTF">2022-10-09T16:38:07Z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  <property fmtid="{D5CDD505-2E9C-101B-9397-08002B2CF9AE}" pid="3" name="ICV">
    <vt:lpwstr>F407ECE881A546CD98760BC1B2D32BB7</vt:lpwstr>
  </property>
</Properties>
</file>