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GenshinUID\GenshinUID\tools\blue_data\"/>
    </mc:Choice>
  </mc:AlternateContent>
  <xr:revisionPtr revIDLastSave="0" documentId="8_{C9C68456-E538-452A-8C0B-9EAFDC02ABAA}" xr6:coauthVersionLast="47" xr6:coauthVersionMax="47" xr10:uidLastSave="{00000000-0000-0000-0000-000000000000}"/>
  <bookViews>
    <workbookView xWindow="0" yWindow="3170" windowWidth="25580" windowHeight="10400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4" l="1"/>
  <c r="T15" i="4"/>
  <c r="T14" i="4"/>
  <c r="I15" i="4"/>
  <c r="I14" i="4"/>
  <c r="H14" i="4"/>
  <c r="M15" i="4"/>
  <c r="N15" i="4"/>
  <c r="O14" i="4"/>
  <c r="O15" i="4"/>
  <c r="T173" i="4"/>
  <c r="T171" i="4"/>
  <c r="I173" i="4"/>
  <c r="I171" i="4"/>
  <c r="J173" i="4"/>
  <c r="G173" i="4"/>
  <c r="H173" i="4"/>
  <c r="M218" i="4"/>
  <c r="N218" i="4"/>
  <c r="M219" i="4"/>
  <c r="N219" i="4"/>
  <c r="M217" i="4"/>
  <c r="N217" i="4"/>
  <c r="I219" i="4"/>
  <c r="O219" i="4"/>
  <c r="I218" i="4"/>
  <c r="O218" i="4"/>
  <c r="I217" i="4"/>
  <c r="O217" i="4"/>
  <c r="F218" i="4"/>
  <c r="H218" i="4"/>
  <c r="T218" i="4"/>
  <c r="F219" i="4"/>
  <c r="H219" i="4"/>
  <c r="T219" i="4"/>
  <c r="F217" i="4"/>
  <c r="H217" i="4"/>
  <c r="T217" i="4"/>
  <c r="U300" i="4"/>
  <c r="M300" i="4"/>
  <c r="N300" i="4"/>
  <c r="I300" i="4"/>
  <c r="Q300" i="4"/>
  <c r="P300" i="4"/>
  <c r="O300" i="4"/>
  <c r="H300" i="4"/>
  <c r="J15" i="4"/>
  <c r="J20" i="4"/>
  <c r="F71" i="4"/>
  <c r="F72" i="4"/>
  <c r="F73" i="4"/>
  <c r="F70" i="4"/>
  <c r="O70" i="4"/>
  <c r="I70" i="4"/>
  <c r="J70" i="4"/>
  <c r="V72" i="4"/>
  <c r="O72" i="4"/>
  <c r="I73" i="4"/>
  <c r="U73" i="4"/>
  <c r="J73" i="4"/>
  <c r="H72" i="4"/>
  <c r="V71" i="4"/>
  <c r="O71" i="4"/>
  <c r="H71" i="4"/>
  <c r="V73" i="4"/>
  <c r="O73" i="4"/>
  <c r="V70" i="4"/>
  <c r="H70" i="4"/>
  <c r="R71" i="4"/>
  <c r="R72" i="4"/>
  <c r="R73" i="4"/>
  <c r="R70" i="4"/>
  <c r="I72" i="4"/>
  <c r="U72" i="4"/>
  <c r="T72" i="4"/>
  <c r="I71" i="4"/>
  <c r="J72" i="4"/>
  <c r="J71" i="4"/>
  <c r="H73" i="4"/>
  <c r="P71" i="4"/>
  <c r="P73" i="4"/>
  <c r="P72" i="4"/>
  <c r="P70" i="4"/>
  <c r="I326" i="4"/>
  <c r="F12" i="4"/>
  <c r="G12" i="4"/>
  <c r="H12" i="4"/>
  <c r="I12" i="4"/>
  <c r="J12" i="4"/>
  <c r="K12" i="4"/>
  <c r="L12" i="4"/>
  <c r="O12" i="4"/>
  <c r="P12" i="4"/>
  <c r="Q12" i="4"/>
  <c r="R12" i="4"/>
  <c r="F13" i="4"/>
  <c r="G13" i="4"/>
  <c r="I13" i="4"/>
  <c r="J13" i="4"/>
  <c r="K13" i="4"/>
  <c r="L13" i="4"/>
  <c r="O13" i="4"/>
  <c r="P13" i="4"/>
  <c r="Q13" i="4"/>
  <c r="R13" i="4"/>
  <c r="F14" i="4"/>
  <c r="J14" i="4"/>
  <c r="K14" i="4"/>
  <c r="L14" i="4"/>
  <c r="N14" i="4"/>
  <c r="P14" i="4"/>
  <c r="Q14" i="4"/>
  <c r="R14" i="4"/>
  <c r="F15" i="4"/>
  <c r="L15" i="4"/>
  <c r="P15" i="4"/>
  <c r="Q15" i="4"/>
  <c r="R15" i="4"/>
  <c r="F17" i="4"/>
  <c r="G17" i="4"/>
  <c r="H17" i="4"/>
  <c r="T17" i="4"/>
  <c r="I17" i="4"/>
  <c r="J17" i="4"/>
  <c r="K17" i="4"/>
  <c r="L17" i="4"/>
  <c r="O17" i="4"/>
  <c r="P17" i="4"/>
  <c r="Q17" i="4"/>
  <c r="R17" i="4"/>
  <c r="F18" i="4"/>
  <c r="G18" i="4"/>
  <c r="I18" i="4"/>
  <c r="J18" i="4"/>
  <c r="K18" i="4"/>
  <c r="N18" i="4"/>
  <c r="L18" i="4"/>
  <c r="O18" i="4"/>
  <c r="P18" i="4"/>
  <c r="Q18" i="4"/>
  <c r="R18" i="4"/>
  <c r="F19" i="4"/>
  <c r="I19" i="4"/>
  <c r="H19" i="4"/>
  <c r="J19" i="4"/>
  <c r="K19" i="4"/>
  <c r="M19" i="4"/>
  <c r="L19" i="4"/>
  <c r="O19" i="4"/>
  <c r="P19" i="4"/>
  <c r="Q19" i="4"/>
  <c r="R19" i="4"/>
  <c r="F20" i="4"/>
  <c r="I20" i="4"/>
  <c r="H20" i="4"/>
  <c r="K20" i="4"/>
  <c r="L20" i="4"/>
  <c r="O20" i="4"/>
  <c r="P20" i="4"/>
  <c r="Q20" i="4"/>
  <c r="R20" i="4"/>
  <c r="H23" i="4"/>
  <c r="I23" i="4"/>
  <c r="T23" i="4"/>
  <c r="J23" i="4"/>
  <c r="K23" i="4"/>
  <c r="L23" i="4"/>
  <c r="O23" i="4"/>
  <c r="P23" i="4"/>
  <c r="Q23" i="4"/>
  <c r="H24" i="4"/>
  <c r="I24" i="4"/>
  <c r="T24" i="4"/>
  <c r="J24" i="4"/>
  <c r="K24" i="4"/>
  <c r="P24" i="4"/>
  <c r="Q24" i="4"/>
  <c r="G27" i="4"/>
  <c r="H27" i="4"/>
  <c r="K27" i="4"/>
  <c r="L27" i="4"/>
  <c r="O27" i="4"/>
  <c r="P27" i="4"/>
  <c r="Q27" i="4"/>
  <c r="H28" i="4"/>
  <c r="K28" i="4"/>
  <c r="L28" i="4"/>
  <c r="N28" i="4"/>
  <c r="O28" i="4"/>
  <c r="P28" i="4"/>
  <c r="Q28" i="4"/>
  <c r="G31" i="4"/>
  <c r="H31" i="4"/>
  <c r="T31" i="4"/>
  <c r="I31" i="4"/>
  <c r="K31" i="4"/>
  <c r="L31" i="4"/>
  <c r="M31" i="4"/>
  <c r="O31" i="4"/>
  <c r="P31" i="4"/>
  <c r="Q31" i="4"/>
  <c r="H32" i="4"/>
  <c r="I32" i="4"/>
  <c r="K32" i="4"/>
  <c r="L32" i="4"/>
  <c r="O32" i="4"/>
  <c r="P32" i="4"/>
  <c r="Q32" i="4"/>
  <c r="G35" i="4"/>
  <c r="H35" i="4"/>
  <c r="T35" i="4"/>
  <c r="I35" i="4"/>
  <c r="K35" i="4"/>
  <c r="L35" i="4"/>
  <c r="O35" i="4"/>
  <c r="P35" i="4"/>
  <c r="Q35" i="4"/>
  <c r="H36" i="4"/>
  <c r="I36" i="4"/>
  <c r="K36" i="4"/>
  <c r="L36" i="4"/>
  <c r="O36" i="4"/>
  <c r="P36" i="4"/>
  <c r="Q36" i="4"/>
  <c r="G39" i="4"/>
  <c r="H39" i="4"/>
  <c r="I39" i="4"/>
  <c r="K39" i="4"/>
  <c r="M39" i="4"/>
  <c r="L39" i="4"/>
  <c r="O39" i="4"/>
  <c r="P39" i="4"/>
  <c r="Q39" i="4"/>
  <c r="H40" i="4"/>
  <c r="I40" i="4"/>
  <c r="K40" i="4"/>
  <c r="L40" i="4"/>
  <c r="N40" i="4"/>
  <c r="M40" i="4"/>
  <c r="O40" i="4"/>
  <c r="P40" i="4"/>
  <c r="Q40" i="4"/>
  <c r="G43" i="4"/>
  <c r="H43" i="4"/>
  <c r="I43" i="4"/>
  <c r="K43" i="4"/>
  <c r="N43" i="4"/>
  <c r="T43" i="4"/>
  <c r="L43" i="4"/>
  <c r="O43" i="4"/>
  <c r="P43" i="4"/>
  <c r="H44" i="4"/>
  <c r="I44" i="4"/>
  <c r="K44" i="4"/>
  <c r="L44" i="4"/>
  <c r="N44" i="4"/>
  <c r="O44" i="4"/>
  <c r="T44" i="4"/>
  <c r="P44" i="4"/>
  <c r="H45" i="4"/>
  <c r="I45" i="4"/>
  <c r="T45" i="4"/>
  <c r="K45" i="4"/>
  <c r="L45" i="4"/>
  <c r="O45" i="4"/>
  <c r="P45" i="4"/>
  <c r="H46" i="4"/>
  <c r="I46" i="4"/>
  <c r="T46" i="4"/>
  <c r="K46" i="4"/>
  <c r="L46" i="4"/>
  <c r="O46" i="4"/>
  <c r="P46" i="4"/>
  <c r="G49" i="4"/>
  <c r="H49" i="4"/>
  <c r="I49" i="4"/>
  <c r="K49" i="4"/>
  <c r="L49" i="4"/>
  <c r="O49" i="4"/>
  <c r="P49" i="4"/>
  <c r="Q49" i="4"/>
  <c r="H50" i="4"/>
  <c r="I50" i="4"/>
  <c r="K50" i="4"/>
  <c r="L50" i="4"/>
  <c r="N50" i="4"/>
  <c r="O50" i="4"/>
  <c r="P50" i="4"/>
  <c r="Q50" i="4"/>
  <c r="I53" i="4"/>
  <c r="J53" i="4"/>
  <c r="H53" i="4"/>
  <c r="T53" i="4"/>
  <c r="L53" i="4"/>
  <c r="M53" i="4"/>
  <c r="P53" i="4"/>
  <c r="Q53" i="4"/>
  <c r="I54" i="4"/>
  <c r="J54" i="4"/>
  <c r="O54" i="4"/>
  <c r="L54" i="4"/>
  <c r="N54" i="4"/>
  <c r="P54" i="4"/>
  <c r="Q54" i="4"/>
  <c r="H55" i="4"/>
  <c r="I55" i="4"/>
  <c r="J55" i="4"/>
  <c r="O55" i="4"/>
  <c r="L55" i="4"/>
  <c r="N55" i="4"/>
  <c r="P55" i="4"/>
  <c r="Q55" i="4"/>
  <c r="H56" i="4"/>
  <c r="I56" i="4"/>
  <c r="J56" i="4"/>
  <c r="O56" i="4"/>
  <c r="L56" i="4"/>
  <c r="M56" i="4"/>
  <c r="P56" i="4"/>
  <c r="Q56" i="4"/>
  <c r="H57" i="4"/>
  <c r="I57" i="4"/>
  <c r="J57" i="4"/>
  <c r="O57" i="4"/>
  <c r="K57" i="4"/>
  <c r="M57" i="4"/>
  <c r="L57" i="4"/>
  <c r="P57" i="4"/>
  <c r="Q57" i="4"/>
  <c r="H58" i="4"/>
  <c r="I58" i="4"/>
  <c r="J58" i="4"/>
  <c r="O58" i="4"/>
  <c r="T58" i="4"/>
  <c r="K58" i="4"/>
  <c r="L58" i="4"/>
  <c r="P58" i="4"/>
  <c r="Q58" i="4"/>
  <c r="H61" i="4"/>
  <c r="I61" i="4"/>
  <c r="J61" i="4"/>
  <c r="L61" i="4"/>
  <c r="N61" i="4"/>
  <c r="M61" i="4"/>
  <c r="O61" i="4"/>
  <c r="P61" i="4"/>
  <c r="Q61" i="4"/>
  <c r="H62" i="4"/>
  <c r="I62" i="4"/>
  <c r="J62" i="4"/>
  <c r="L62" i="4"/>
  <c r="N62" i="4"/>
  <c r="O62" i="4"/>
  <c r="P62" i="4"/>
  <c r="Q62" i="4"/>
  <c r="H65" i="4"/>
  <c r="I65" i="4"/>
  <c r="T65" i="4"/>
  <c r="J65" i="4"/>
  <c r="L65" i="4"/>
  <c r="P65" i="4"/>
  <c r="Q65" i="4"/>
  <c r="H66" i="4"/>
  <c r="I66" i="4"/>
  <c r="T66" i="4"/>
  <c r="J66" i="4"/>
  <c r="L66" i="4"/>
  <c r="P66" i="4"/>
  <c r="Q66" i="4"/>
  <c r="H76" i="4"/>
  <c r="I76" i="4"/>
  <c r="J76" i="4"/>
  <c r="P76" i="4"/>
  <c r="H77" i="4"/>
  <c r="I77" i="4"/>
  <c r="J77" i="4"/>
  <c r="P77" i="4"/>
  <c r="T77" i="4"/>
  <c r="H78" i="4"/>
  <c r="I78" i="4"/>
  <c r="T78" i="4"/>
  <c r="J78" i="4"/>
  <c r="P78" i="4"/>
  <c r="H81" i="4"/>
  <c r="I81" i="4"/>
  <c r="J81" i="4"/>
  <c r="O81" i="4"/>
  <c r="M81" i="4"/>
  <c r="N81" i="4"/>
  <c r="P81" i="4"/>
  <c r="H82" i="4"/>
  <c r="I82" i="4"/>
  <c r="J82" i="4"/>
  <c r="O82" i="4"/>
  <c r="M82" i="4"/>
  <c r="N82" i="4"/>
  <c r="P82" i="4"/>
  <c r="H83" i="4"/>
  <c r="I83" i="4"/>
  <c r="J83" i="4"/>
  <c r="O83" i="4"/>
  <c r="M83" i="4"/>
  <c r="N83" i="4"/>
  <c r="P83" i="4"/>
  <c r="H84" i="4"/>
  <c r="I84" i="4"/>
  <c r="J84" i="4"/>
  <c r="O84" i="4"/>
  <c r="M84" i="4"/>
  <c r="N84" i="4"/>
  <c r="P84" i="4"/>
  <c r="H87" i="4"/>
  <c r="I87" i="4"/>
  <c r="M87" i="4"/>
  <c r="N87" i="4"/>
  <c r="O87" i="4"/>
  <c r="P87" i="4"/>
  <c r="I88" i="4"/>
  <c r="H88" i="4"/>
  <c r="M88" i="4"/>
  <c r="N88" i="4"/>
  <c r="O88" i="4"/>
  <c r="P88" i="4"/>
  <c r="H89" i="4"/>
  <c r="I89" i="4"/>
  <c r="M89" i="4"/>
  <c r="N89" i="4"/>
  <c r="O89" i="4"/>
  <c r="P89" i="4"/>
  <c r="H92" i="4"/>
  <c r="I92" i="4"/>
  <c r="J92" i="4"/>
  <c r="L92" i="4"/>
  <c r="O92" i="4"/>
  <c r="P92" i="4"/>
  <c r="T92" i="4"/>
  <c r="Q92" i="4"/>
  <c r="H93" i="4"/>
  <c r="I93" i="4"/>
  <c r="J93" i="4"/>
  <c r="L93" i="4"/>
  <c r="O93" i="4"/>
  <c r="P93" i="4"/>
  <c r="Q93" i="4"/>
  <c r="H94" i="4"/>
  <c r="I94" i="4"/>
  <c r="J94" i="4"/>
  <c r="L94" i="4"/>
  <c r="O94" i="4"/>
  <c r="P94" i="4"/>
  <c r="Q94" i="4"/>
  <c r="H95" i="4"/>
  <c r="I95" i="4"/>
  <c r="J95" i="4"/>
  <c r="L95" i="4"/>
  <c r="O95" i="4"/>
  <c r="P95" i="4"/>
  <c r="Q95" i="4"/>
  <c r="H98" i="4"/>
  <c r="I98" i="4"/>
  <c r="L98" i="4"/>
  <c r="N98" i="4"/>
  <c r="M98" i="4"/>
  <c r="O98" i="4"/>
  <c r="P98" i="4"/>
  <c r="Q98" i="4"/>
  <c r="H99" i="4"/>
  <c r="I99" i="4"/>
  <c r="L99" i="4"/>
  <c r="N99" i="4"/>
  <c r="O99" i="4"/>
  <c r="P99" i="4"/>
  <c r="Q99" i="4"/>
  <c r="H100" i="4"/>
  <c r="I100" i="4"/>
  <c r="M100" i="4"/>
  <c r="N100" i="4"/>
  <c r="O100" i="4"/>
  <c r="P100" i="4"/>
  <c r="Q100" i="4"/>
  <c r="H101" i="4"/>
  <c r="I101" i="4"/>
  <c r="L101" i="4"/>
  <c r="N101" i="4"/>
  <c r="M101" i="4"/>
  <c r="O101" i="4"/>
  <c r="P101" i="4"/>
  <c r="Q101" i="4"/>
  <c r="H104" i="4"/>
  <c r="I104" i="4"/>
  <c r="J104" i="4"/>
  <c r="L104" i="4"/>
  <c r="M104" i="4"/>
  <c r="O104" i="4"/>
  <c r="P104" i="4"/>
  <c r="I105" i="4"/>
  <c r="H105" i="4"/>
  <c r="J105" i="4"/>
  <c r="O105" i="4"/>
  <c r="N105" i="4"/>
  <c r="P105" i="4"/>
  <c r="H108" i="4"/>
  <c r="I108" i="4"/>
  <c r="O108" i="4"/>
  <c r="M108" i="4"/>
  <c r="N108" i="4"/>
  <c r="P108" i="4"/>
  <c r="H109" i="4"/>
  <c r="I109" i="4"/>
  <c r="O109" i="4"/>
  <c r="M109" i="4"/>
  <c r="N109" i="4"/>
  <c r="T109" i="4"/>
  <c r="P109" i="4"/>
  <c r="H110" i="4"/>
  <c r="I110" i="4"/>
  <c r="O110" i="4"/>
  <c r="M110" i="4"/>
  <c r="N110" i="4"/>
  <c r="P110" i="4"/>
  <c r="H113" i="4"/>
  <c r="I113" i="4"/>
  <c r="J113" i="4"/>
  <c r="T113" i="4"/>
  <c r="P113" i="4"/>
  <c r="H114" i="4"/>
  <c r="I114" i="4"/>
  <c r="J114" i="4"/>
  <c r="P114" i="4"/>
  <c r="H115" i="4"/>
  <c r="I115" i="4"/>
  <c r="T115" i="4"/>
  <c r="J115" i="4"/>
  <c r="P115" i="4"/>
  <c r="H119" i="4"/>
  <c r="T119" i="4"/>
  <c r="M119" i="4"/>
  <c r="N119" i="4"/>
  <c r="O119" i="4"/>
  <c r="P119" i="4"/>
  <c r="R119" i="4"/>
  <c r="H120" i="4"/>
  <c r="M120" i="4"/>
  <c r="N120" i="4"/>
  <c r="O120" i="4"/>
  <c r="P120" i="4"/>
  <c r="R120" i="4"/>
  <c r="H121" i="4"/>
  <c r="M121" i="4"/>
  <c r="N121" i="4"/>
  <c r="O121" i="4"/>
  <c r="P121" i="4"/>
  <c r="R121" i="4"/>
  <c r="H124" i="4"/>
  <c r="I124" i="4"/>
  <c r="J124" i="4"/>
  <c r="T124" i="4"/>
  <c r="P124" i="4"/>
  <c r="H125" i="4"/>
  <c r="I125" i="4"/>
  <c r="J125" i="4"/>
  <c r="P125" i="4"/>
  <c r="H128" i="4"/>
  <c r="I128" i="4"/>
  <c r="T128" i="4"/>
  <c r="J128" i="4"/>
  <c r="P128" i="4"/>
  <c r="H129" i="4"/>
  <c r="I129" i="4"/>
  <c r="J129" i="4"/>
  <c r="P129" i="4"/>
  <c r="H130" i="4"/>
  <c r="I130" i="4"/>
  <c r="T130" i="4"/>
  <c r="J130" i="4"/>
  <c r="P130" i="4"/>
  <c r="H133" i="4"/>
  <c r="J133" i="4"/>
  <c r="K133" i="4"/>
  <c r="L133" i="4"/>
  <c r="O133" i="4"/>
  <c r="P133" i="4"/>
  <c r="T133" i="4"/>
  <c r="Q133" i="4"/>
  <c r="I134" i="4"/>
  <c r="H134" i="4"/>
  <c r="K134" i="4"/>
  <c r="L134" i="4"/>
  <c r="O134" i="4"/>
  <c r="P134" i="4"/>
  <c r="Q134" i="4"/>
  <c r="H135" i="4"/>
  <c r="J135" i="4"/>
  <c r="K135" i="4"/>
  <c r="L135" i="4"/>
  <c r="O135" i="4"/>
  <c r="P135" i="4"/>
  <c r="Q135" i="4"/>
  <c r="H138" i="4"/>
  <c r="I138" i="4"/>
  <c r="T138" i="4"/>
  <c r="J138" i="4"/>
  <c r="P138" i="4"/>
  <c r="H139" i="4"/>
  <c r="I139" i="4"/>
  <c r="T139" i="4"/>
  <c r="J139" i="4"/>
  <c r="P139" i="4"/>
  <c r="H140" i="4"/>
  <c r="I140" i="4"/>
  <c r="T140" i="4"/>
  <c r="J140" i="4"/>
  <c r="P140" i="4"/>
  <c r="H143" i="4"/>
  <c r="I143" i="4"/>
  <c r="J143" i="4"/>
  <c r="T143" i="4"/>
  <c r="P143" i="4"/>
  <c r="H144" i="4"/>
  <c r="I144" i="4"/>
  <c r="J144" i="4"/>
  <c r="P144" i="4"/>
  <c r="H145" i="4"/>
  <c r="I145" i="4"/>
  <c r="J145" i="4"/>
  <c r="T145" i="4"/>
  <c r="P145" i="4"/>
  <c r="H148" i="4"/>
  <c r="I148" i="4"/>
  <c r="T148" i="4"/>
  <c r="P148" i="4"/>
  <c r="H149" i="4"/>
  <c r="I149" i="4"/>
  <c r="T149" i="4"/>
  <c r="P149" i="4"/>
  <c r="H150" i="4"/>
  <c r="I150" i="4"/>
  <c r="T150" i="4"/>
  <c r="P150" i="4"/>
  <c r="H153" i="4"/>
  <c r="I153" i="4"/>
  <c r="T153" i="4"/>
  <c r="P153" i="4"/>
  <c r="F157" i="4"/>
  <c r="I157" i="4"/>
  <c r="U157" i="4"/>
  <c r="J157" i="4"/>
  <c r="M157" i="4"/>
  <c r="N157" i="4"/>
  <c r="O157" i="4"/>
  <c r="F158" i="4"/>
  <c r="H158" i="4"/>
  <c r="V158" i="4"/>
  <c r="T158" i="4"/>
  <c r="I158" i="4"/>
  <c r="U158" i="4"/>
  <c r="J158" i="4"/>
  <c r="M158" i="4"/>
  <c r="N158" i="4"/>
  <c r="O158" i="4"/>
  <c r="F159" i="4"/>
  <c r="H159" i="4"/>
  <c r="I159" i="4"/>
  <c r="U159" i="4"/>
  <c r="J159" i="4"/>
  <c r="M159" i="4"/>
  <c r="N159" i="4"/>
  <c r="O159" i="4"/>
  <c r="F160" i="4"/>
  <c r="I160" i="4"/>
  <c r="U160" i="4"/>
  <c r="J160" i="4"/>
  <c r="M160" i="4"/>
  <c r="N160" i="4"/>
  <c r="O160" i="4"/>
  <c r="F161" i="4"/>
  <c r="H161" i="4"/>
  <c r="I161" i="4"/>
  <c r="U161" i="4"/>
  <c r="J161" i="4"/>
  <c r="M161" i="4"/>
  <c r="N161" i="4"/>
  <c r="O161" i="4"/>
  <c r="F162" i="4"/>
  <c r="V162" i="4"/>
  <c r="H162" i="4"/>
  <c r="I162" i="4"/>
  <c r="U162" i="4"/>
  <c r="J162" i="4"/>
  <c r="M162" i="4"/>
  <c r="N162" i="4"/>
  <c r="O162" i="4"/>
  <c r="H165" i="4"/>
  <c r="I165" i="4"/>
  <c r="J165" i="4"/>
  <c r="T165" i="4"/>
  <c r="G166" i="4"/>
  <c r="H166" i="4"/>
  <c r="I166" i="4"/>
  <c r="J166" i="4"/>
  <c r="T166" i="4"/>
  <c r="H167" i="4"/>
  <c r="I167" i="4"/>
  <c r="J167" i="4"/>
  <c r="T167" i="4"/>
  <c r="H170" i="4"/>
  <c r="I170" i="4"/>
  <c r="J170" i="4"/>
  <c r="T170" i="4"/>
  <c r="H171" i="4"/>
  <c r="J171" i="4"/>
  <c r="G172" i="4"/>
  <c r="H172" i="4"/>
  <c r="I172" i="4"/>
  <c r="T172" i="4"/>
  <c r="J172" i="4"/>
  <c r="F176" i="4"/>
  <c r="G176" i="4"/>
  <c r="J176" i="4"/>
  <c r="K176" i="4"/>
  <c r="M176" i="4"/>
  <c r="L176" i="4"/>
  <c r="U176" i="4"/>
  <c r="O176" i="4"/>
  <c r="F177" i="4"/>
  <c r="H177" i="4"/>
  <c r="G177" i="4"/>
  <c r="K177" i="4"/>
  <c r="L177" i="4"/>
  <c r="U177" i="4"/>
  <c r="O177" i="4"/>
  <c r="F178" i="4"/>
  <c r="J178" i="4"/>
  <c r="K178" i="4"/>
  <c r="L178" i="4"/>
  <c r="U178" i="4"/>
  <c r="O178" i="4"/>
  <c r="T178" i="4"/>
  <c r="F179" i="4"/>
  <c r="G179" i="4"/>
  <c r="K179" i="4"/>
  <c r="L179" i="4"/>
  <c r="U179" i="4"/>
  <c r="O179" i="4"/>
  <c r="I182" i="4"/>
  <c r="O182" i="4"/>
  <c r="M182" i="4"/>
  <c r="N182" i="4"/>
  <c r="P182" i="4"/>
  <c r="R182" i="4"/>
  <c r="H183" i="4"/>
  <c r="I183" i="4"/>
  <c r="O183" i="4"/>
  <c r="M183" i="4"/>
  <c r="N183" i="4"/>
  <c r="R183" i="4"/>
  <c r="H186" i="4"/>
  <c r="I186" i="4"/>
  <c r="O186" i="4"/>
  <c r="T186" i="4"/>
  <c r="N186" i="4"/>
  <c r="H187" i="4"/>
  <c r="I187" i="4"/>
  <c r="O187" i="4"/>
  <c r="T187" i="4"/>
  <c r="N187" i="4"/>
  <c r="H190" i="4"/>
  <c r="K190" i="4"/>
  <c r="L190" i="4"/>
  <c r="O190" i="4"/>
  <c r="R190" i="4"/>
  <c r="H191" i="4"/>
  <c r="K191" i="4"/>
  <c r="N191" i="4"/>
  <c r="O191" i="4"/>
  <c r="R191" i="4"/>
  <c r="H192" i="4"/>
  <c r="M192" i="4"/>
  <c r="N192" i="4"/>
  <c r="O192" i="4"/>
  <c r="R192" i="4"/>
  <c r="T192" i="4"/>
  <c r="H195" i="4"/>
  <c r="M195" i="4"/>
  <c r="N195" i="4"/>
  <c r="O195" i="4"/>
  <c r="P195" i="4"/>
  <c r="H196" i="4"/>
  <c r="M196" i="4"/>
  <c r="N196" i="4"/>
  <c r="T196" i="4"/>
  <c r="O196" i="4"/>
  <c r="P196" i="4"/>
  <c r="H199" i="4"/>
  <c r="J199" i="4"/>
  <c r="M199" i="4"/>
  <c r="N199" i="4"/>
  <c r="O199" i="4"/>
  <c r="P199" i="4"/>
  <c r="H200" i="4"/>
  <c r="I200" i="4"/>
  <c r="J200" i="4"/>
  <c r="M200" i="4"/>
  <c r="N200" i="4"/>
  <c r="O200" i="4"/>
  <c r="P200" i="4"/>
  <c r="H201" i="4"/>
  <c r="T201" i="4"/>
  <c r="M201" i="4"/>
  <c r="N201" i="4"/>
  <c r="O201" i="4"/>
  <c r="P201" i="4"/>
  <c r="H202" i="4"/>
  <c r="I202" i="4"/>
  <c r="M202" i="4"/>
  <c r="N202" i="4"/>
  <c r="O202" i="4"/>
  <c r="P202" i="4"/>
  <c r="H205" i="4"/>
  <c r="I205" i="4"/>
  <c r="M205" i="4"/>
  <c r="N205" i="4"/>
  <c r="O205" i="4"/>
  <c r="P205" i="4"/>
  <c r="H206" i="4"/>
  <c r="I206" i="4"/>
  <c r="M206" i="4"/>
  <c r="N206" i="4"/>
  <c r="O206" i="4"/>
  <c r="P206" i="4"/>
  <c r="H209" i="4"/>
  <c r="I209" i="4"/>
  <c r="O209" i="4"/>
  <c r="M209" i="4"/>
  <c r="N209" i="4"/>
  <c r="H210" i="4"/>
  <c r="I210" i="4"/>
  <c r="O210" i="4"/>
  <c r="M210" i="4"/>
  <c r="N210" i="4"/>
  <c r="H213" i="4"/>
  <c r="I213" i="4"/>
  <c r="T213" i="4"/>
  <c r="M213" i="4"/>
  <c r="N213" i="4"/>
  <c r="H222" i="4"/>
  <c r="I222" i="4"/>
  <c r="O222" i="4"/>
  <c r="M222" i="4"/>
  <c r="N222" i="4"/>
  <c r="H223" i="4"/>
  <c r="I223" i="4"/>
  <c r="O223" i="4"/>
  <c r="T223" i="4"/>
  <c r="M223" i="4"/>
  <c r="N223" i="4"/>
  <c r="H224" i="4"/>
  <c r="I224" i="4"/>
  <c r="O224" i="4"/>
  <c r="M224" i="4"/>
  <c r="N224" i="4"/>
  <c r="H225" i="4"/>
  <c r="I225" i="4"/>
  <c r="O225" i="4"/>
  <c r="M225" i="4"/>
  <c r="N225" i="4"/>
  <c r="H228" i="4"/>
  <c r="I228" i="4"/>
  <c r="J228" i="4"/>
  <c r="M228" i="4"/>
  <c r="N228" i="4"/>
  <c r="O228" i="4"/>
  <c r="H229" i="4"/>
  <c r="I229" i="4"/>
  <c r="J229" i="4"/>
  <c r="M229" i="4"/>
  <c r="N229" i="4"/>
  <c r="O229" i="4"/>
  <c r="H230" i="4"/>
  <c r="I230" i="4"/>
  <c r="J230" i="4"/>
  <c r="M230" i="4"/>
  <c r="N230" i="4"/>
  <c r="O230" i="4"/>
  <c r="H231" i="4"/>
  <c r="I231" i="4"/>
  <c r="J231" i="4"/>
  <c r="M231" i="4"/>
  <c r="N231" i="4"/>
  <c r="O231" i="4"/>
  <c r="H234" i="4"/>
  <c r="I234" i="4"/>
  <c r="O234" i="4"/>
  <c r="J234" i="4"/>
  <c r="M234" i="4"/>
  <c r="N234" i="4"/>
  <c r="H235" i="4"/>
  <c r="I235" i="4"/>
  <c r="O235" i="4"/>
  <c r="J235" i="4"/>
  <c r="M235" i="4"/>
  <c r="N235" i="4"/>
  <c r="H236" i="4"/>
  <c r="T236" i="4"/>
  <c r="I236" i="4"/>
  <c r="O236" i="4"/>
  <c r="J236" i="4"/>
  <c r="M236" i="4"/>
  <c r="N236" i="4"/>
  <c r="H240" i="4"/>
  <c r="I240" i="4"/>
  <c r="P240" i="4"/>
  <c r="Q240" i="4"/>
  <c r="I241" i="4"/>
  <c r="H241" i="4"/>
  <c r="P241" i="4"/>
  <c r="Q241" i="4"/>
  <c r="H242" i="4"/>
  <c r="I242" i="4"/>
  <c r="P242" i="4"/>
  <c r="Q242" i="4"/>
  <c r="H243" i="4"/>
  <c r="I243" i="4"/>
  <c r="P243" i="4"/>
  <c r="Q243" i="4"/>
  <c r="H246" i="4"/>
  <c r="K246" i="4"/>
  <c r="L246" i="4"/>
  <c r="O246" i="4"/>
  <c r="P246" i="4"/>
  <c r="Q246" i="4"/>
  <c r="R246" i="4"/>
  <c r="H247" i="4"/>
  <c r="K247" i="4"/>
  <c r="L247" i="4"/>
  <c r="N247" i="4"/>
  <c r="O247" i="4"/>
  <c r="P247" i="4"/>
  <c r="Q247" i="4"/>
  <c r="R247" i="4"/>
  <c r="H250" i="4"/>
  <c r="M250" i="4"/>
  <c r="N250" i="4"/>
  <c r="O250" i="4"/>
  <c r="P250" i="4"/>
  <c r="R250" i="4"/>
  <c r="T250" i="4"/>
  <c r="H251" i="4"/>
  <c r="M251" i="4"/>
  <c r="N251" i="4"/>
  <c r="O251" i="4"/>
  <c r="P251" i="4"/>
  <c r="R251" i="4"/>
  <c r="T251" i="4"/>
  <c r="H252" i="4"/>
  <c r="K252" i="4"/>
  <c r="N252" i="4"/>
  <c r="T252" i="4"/>
  <c r="L252" i="4"/>
  <c r="O252" i="4"/>
  <c r="P252" i="4"/>
  <c r="R252" i="4"/>
  <c r="F256" i="4"/>
  <c r="H256" i="4"/>
  <c r="G256" i="4"/>
  <c r="K256" i="4"/>
  <c r="N256" i="4"/>
  <c r="L256" i="4"/>
  <c r="O256" i="4"/>
  <c r="P256" i="4"/>
  <c r="Q256" i="4"/>
  <c r="T256" i="4"/>
  <c r="F257" i="4"/>
  <c r="H257" i="4"/>
  <c r="K257" i="4"/>
  <c r="L257" i="4"/>
  <c r="N257" i="4"/>
  <c r="O257" i="4"/>
  <c r="P257" i="4"/>
  <c r="Q257" i="4"/>
  <c r="F258" i="4"/>
  <c r="H258" i="4"/>
  <c r="K258" i="4"/>
  <c r="M258" i="4"/>
  <c r="L258" i="4"/>
  <c r="O258" i="4"/>
  <c r="P258" i="4"/>
  <c r="Q258" i="4"/>
  <c r="F261" i="4"/>
  <c r="G261" i="4"/>
  <c r="J261" i="4"/>
  <c r="K261" i="4"/>
  <c r="M261" i="4"/>
  <c r="L261" i="4"/>
  <c r="O261" i="4"/>
  <c r="P261" i="4"/>
  <c r="Q261" i="4"/>
  <c r="F262" i="4"/>
  <c r="H262" i="4"/>
  <c r="T262" i="4"/>
  <c r="G262" i="4"/>
  <c r="J262" i="4"/>
  <c r="K262" i="4"/>
  <c r="L262" i="4"/>
  <c r="N262" i="4"/>
  <c r="O262" i="4"/>
  <c r="P262" i="4"/>
  <c r="Q262" i="4"/>
  <c r="F263" i="4"/>
  <c r="H263" i="4"/>
  <c r="J263" i="4"/>
  <c r="K263" i="4"/>
  <c r="L263" i="4"/>
  <c r="M263" i="4"/>
  <c r="O263" i="4"/>
  <c r="P263" i="4"/>
  <c r="Q263" i="4"/>
  <c r="F264" i="4"/>
  <c r="I264" i="4"/>
  <c r="J264" i="4"/>
  <c r="K264" i="4"/>
  <c r="L264" i="4"/>
  <c r="O264" i="4"/>
  <c r="P264" i="4"/>
  <c r="Q264" i="4"/>
  <c r="H267" i="4"/>
  <c r="I267" i="4"/>
  <c r="O267" i="4"/>
  <c r="M267" i="4"/>
  <c r="N267" i="4"/>
  <c r="H268" i="4"/>
  <c r="I268" i="4"/>
  <c r="O268" i="4"/>
  <c r="K268" i="4"/>
  <c r="N268" i="4"/>
  <c r="T268" i="4"/>
  <c r="G271" i="4"/>
  <c r="H271" i="4"/>
  <c r="M271" i="4"/>
  <c r="N271" i="4"/>
  <c r="O271" i="4"/>
  <c r="P271" i="4"/>
  <c r="Q271" i="4"/>
  <c r="H272" i="4"/>
  <c r="K272" i="4"/>
  <c r="N272" i="4"/>
  <c r="O272" i="4"/>
  <c r="P272" i="4"/>
  <c r="Q272" i="4"/>
  <c r="H275" i="4"/>
  <c r="T275" i="4"/>
  <c r="I275" i="4"/>
  <c r="P275" i="4"/>
  <c r="Q275" i="4"/>
  <c r="H276" i="4"/>
  <c r="T276" i="4"/>
  <c r="I276" i="4"/>
  <c r="P276" i="4"/>
  <c r="Q276" i="4"/>
  <c r="H277" i="4"/>
  <c r="I277" i="4"/>
  <c r="P277" i="4"/>
  <c r="Q277" i="4"/>
  <c r="H280" i="4"/>
  <c r="I280" i="4"/>
  <c r="T280" i="4"/>
  <c r="P280" i="4"/>
  <c r="Q280" i="4"/>
  <c r="H284" i="4"/>
  <c r="N284" i="4"/>
  <c r="T284" i="4"/>
  <c r="O284" i="4"/>
  <c r="P284" i="4"/>
  <c r="Q284" i="4"/>
  <c r="H287" i="4"/>
  <c r="M287" i="4"/>
  <c r="N287" i="4"/>
  <c r="O287" i="4"/>
  <c r="P287" i="4"/>
  <c r="Q287" i="4"/>
  <c r="H291" i="4"/>
  <c r="T291" i="4"/>
  <c r="I291" i="4"/>
  <c r="J291" i="4"/>
  <c r="N291" i="4"/>
  <c r="O291" i="4"/>
  <c r="P291" i="4"/>
  <c r="Q291" i="4"/>
  <c r="H292" i="4"/>
  <c r="I292" i="4"/>
  <c r="J292" i="4"/>
  <c r="K292" i="4"/>
  <c r="N292" i="4"/>
  <c r="O292" i="4"/>
  <c r="T292" i="4"/>
  <c r="P292" i="4"/>
  <c r="Q292" i="4"/>
  <c r="H293" i="4"/>
  <c r="I293" i="4"/>
  <c r="J293" i="4"/>
  <c r="K293" i="4"/>
  <c r="M293" i="4"/>
  <c r="N293" i="4"/>
  <c r="O293" i="4"/>
  <c r="T293" i="4"/>
  <c r="P293" i="4"/>
  <c r="Q293" i="4"/>
  <c r="H296" i="4"/>
  <c r="I296" i="4"/>
  <c r="J296" i="4"/>
  <c r="M296" i="4"/>
  <c r="P296" i="4"/>
  <c r="Q296" i="4"/>
  <c r="H299" i="4"/>
  <c r="I299" i="4"/>
  <c r="M299" i="4"/>
  <c r="N299" i="4"/>
  <c r="O299" i="4"/>
  <c r="T299" i="4"/>
  <c r="P299" i="4"/>
  <c r="Q299" i="4"/>
  <c r="H301" i="4"/>
  <c r="I301" i="4"/>
  <c r="M301" i="4"/>
  <c r="N301" i="4"/>
  <c r="O301" i="4"/>
  <c r="T301" i="4"/>
  <c r="P301" i="4"/>
  <c r="Q301" i="4"/>
  <c r="H302" i="4"/>
  <c r="I302" i="4"/>
  <c r="M302" i="4"/>
  <c r="N302" i="4"/>
  <c r="O302" i="4"/>
  <c r="P302" i="4"/>
  <c r="Q302" i="4"/>
  <c r="H305" i="4"/>
  <c r="I305" i="4"/>
  <c r="T305" i="4"/>
  <c r="P305" i="4"/>
  <c r="I306" i="4"/>
  <c r="H306" i="4"/>
  <c r="M306" i="4"/>
  <c r="N306" i="4"/>
  <c r="P306" i="4"/>
  <c r="T306" i="4"/>
  <c r="I307" i="4"/>
  <c r="H307" i="4"/>
  <c r="M307" i="4"/>
  <c r="N307" i="4"/>
  <c r="O307" i="4"/>
  <c r="P307" i="4"/>
  <c r="H310" i="4"/>
  <c r="I310" i="4"/>
  <c r="N310" i="4"/>
  <c r="O310" i="4"/>
  <c r="P310" i="4"/>
  <c r="Q310" i="4"/>
  <c r="H311" i="4"/>
  <c r="I311" i="4"/>
  <c r="M311" i="4"/>
  <c r="N311" i="4"/>
  <c r="O311" i="4"/>
  <c r="P311" i="4"/>
  <c r="Q311" i="4"/>
  <c r="H312" i="4"/>
  <c r="I312" i="4"/>
  <c r="M312" i="4"/>
  <c r="N312" i="4"/>
  <c r="O312" i="4"/>
  <c r="T312" i="4"/>
  <c r="P312" i="4"/>
  <c r="Q312" i="4"/>
  <c r="H315" i="4"/>
  <c r="M315" i="4"/>
  <c r="N315" i="4"/>
  <c r="O315" i="4"/>
  <c r="P315" i="4"/>
  <c r="R315" i="4"/>
  <c r="T315" i="4"/>
  <c r="H316" i="4"/>
  <c r="M316" i="4"/>
  <c r="N316" i="4"/>
  <c r="O316" i="4"/>
  <c r="P316" i="4"/>
  <c r="R316" i="4"/>
  <c r="H317" i="4"/>
  <c r="N317" i="4"/>
  <c r="O317" i="4"/>
  <c r="P317" i="4"/>
  <c r="R317" i="4"/>
  <c r="H320" i="4"/>
  <c r="M320" i="4"/>
  <c r="N320" i="4"/>
  <c r="O320" i="4"/>
  <c r="T320" i="4"/>
  <c r="P320" i="4"/>
  <c r="H321" i="4"/>
  <c r="N321" i="4"/>
  <c r="O321" i="4"/>
  <c r="P321" i="4"/>
  <c r="H322" i="4"/>
  <c r="M322" i="4"/>
  <c r="N322" i="4"/>
  <c r="T322" i="4"/>
  <c r="O322" i="4"/>
  <c r="P322" i="4"/>
  <c r="H325" i="4"/>
  <c r="I325" i="4"/>
  <c r="J325" i="4"/>
  <c r="P325" i="4"/>
  <c r="H326" i="4"/>
  <c r="J326" i="4"/>
  <c r="P326" i="4"/>
  <c r="J177" i="4"/>
  <c r="H54" i="4"/>
  <c r="T54" i="4"/>
  <c r="N20" i="4"/>
  <c r="M17" i="4"/>
  <c r="T228" i="4"/>
  <c r="T76" i="4"/>
  <c r="H179" i="4"/>
  <c r="M32" i="4"/>
  <c r="M62" i="4"/>
  <c r="M49" i="4"/>
  <c r="J134" i="4"/>
  <c r="T95" i="4"/>
  <c r="N58" i="4"/>
  <c r="M177" i="4"/>
  <c r="M20" i="4"/>
  <c r="M28" i="4"/>
  <c r="V159" i="4"/>
  <c r="T159" i="4"/>
  <c r="T277" i="4"/>
  <c r="M36" i="4"/>
  <c r="M18" i="4"/>
  <c r="V157" i="4"/>
  <c r="T157" i="4"/>
  <c r="T93" i="4"/>
  <c r="N27" i="4"/>
  <c r="O53" i="4"/>
  <c r="H157" i="4"/>
  <c r="N36" i="4"/>
  <c r="T36" i="4"/>
  <c r="N17" i="4"/>
  <c r="V161" i="4"/>
  <c r="N32" i="4"/>
  <c r="N13" i="4"/>
  <c r="J179" i="4"/>
  <c r="M55" i="4"/>
  <c r="N53" i="4"/>
  <c r="U87" i="4"/>
  <c r="H176" i="4"/>
  <c r="T89" i="4"/>
  <c r="N178" i="4"/>
  <c r="N133" i="4"/>
  <c r="H182" i="4"/>
  <c r="N263" i="4"/>
  <c r="T263" i="4"/>
  <c r="M58" i="4"/>
  <c r="N49" i="4"/>
  <c r="N31" i="4"/>
  <c r="T202" i="4"/>
  <c r="N177" i="4"/>
  <c r="T177" i="4"/>
  <c r="O213" i="4"/>
  <c r="M13" i="4"/>
  <c r="M14" i="4"/>
  <c r="N258" i="4"/>
  <c r="N57" i="4"/>
  <c r="T230" i="4"/>
  <c r="T225" i="4"/>
  <c r="M35" i="4"/>
  <c r="T321" i="4"/>
  <c r="M54" i="4"/>
  <c r="N35" i="4"/>
  <c r="T87" i="4"/>
  <c r="M256" i="4"/>
  <c r="T104" i="4"/>
  <c r="M246" i="4"/>
  <c r="H178" i="4"/>
  <c r="M99" i="4"/>
  <c r="N179" i="4"/>
  <c r="N104" i="4"/>
  <c r="T129" i="4"/>
  <c r="T162" i="4"/>
  <c r="H264" i="4"/>
  <c r="T231" i="4"/>
  <c r="M178" i="4"/>
  <c r="T28" i="4"/>
  <c r="T247" i="4"/>
  <c r="T210" i="4"/>
  <c r="T110" i="4"/>
  <c r="T105" i="4"/>
  <c r="T101" i="4"/>
  <c r="T98" i="4"/>
  <c r="T246" i="4"/>
  <c r="N12" i="4"/>
  <c r="T12" i="4"/>
  <c r="T302" i="4"/>
  <c r="T205" i="4"/>
  <c r="T20" i="4"/>
  <c r="I258" i="4"/>
  <c r="T258" i="4"/>
  <c r="M190" i="4"/>
  <c r="N135" i="4"/>
  <c r="T135" i="4"/>
  <c r="T100" i="4"/>
  <c r="T94" i="4"/>
  <c r="T49" i="4"/>
  <c r="U70" i="4"/>
  <c r="T307" i="4"/>
  <c r="T200" i="4"/>
  <c r="T55" i="4"/>
  <c r="T40" i="4"/>
  <c r="T234" i="4"/>
  <c r="T311" i="4"/>
  <c r="T272" i="4"/>
  <c r="T209" i="4"/>
  <c r="T195" i="4"/>
  <c r="T114" i="4"/>
  <c r="T267" i="4"/>
  <c r="T161" i="4"/>
  <c r="T125" i="4"/>
  <c r="T57" i="4"/>
  <c r="H18" i="4"/>
  <c r="T18" i="4"/>
  <c r="T134" i="4"/>
  <c r="T287" i="4"/>
  <c r="H261" i="4"/>
  <c r="T199" i="4"/>
  <c r="T182" i="4"/>
  <c r="T120" i="4"/>
  <c r="M44" i="4"/>
  <c r="T317" i="4"/>
  <c r="T206" i="4"/>
  <c r="U89" i="4"/>
  <c r="T50" i="4"/>
  <c r="H13" i="4"/>
  <c r="T13" i="4"/>
  <c r="T32" i="4"/>
  <c r="T235" i="4"/>
  <c r="T61" i="4"/>
  <c r="H160" i="4"/>
  <c r="T70" i="4"/>
  <c r="T316" i="4"/>
  <c r="T108" i="4"/>
  <c r="T81" i="4"/>
  <c r="M43" i="4"/>
  <c r="N264" i="4"/>
  <c r="T191" i="4"/>
  <c r="M179" i="4"/>
  <c r="N134" i="4"/>
  <c r="T99" i="4"/>
  <c r="T27" i="4"/>
  <c r="T300" i="4"/>
  <c r="T179" i="4"/>
  <c r="T271" i="4"/>
  <c r="N246" i="4"/>
  <c r="T144" i="4"/>
  <c r="T121" i="4"/>
  <c r="U88" i="4"/>
  <c r="T62" i="4"/>
  <c r="U71" i="4"/>
  <c r="T71" i="4"/>
  <c r="T73" i="4"/>
  <c r="T183" i="4"/>
  <c r="T310" i="4"/>
  <c r="T229" i="4"/>
  <c r="T224" i="4"/>
  <c r="N176" i="4"/>
  <c r="T176" i="4"/>
  <c r="T83" i="4"/>
  <c r="N39" i="4"/>
  <c r="T39" i="4"/>
  <c r="T82" i="4"/>
  <c r="T264" i="4"/>
  <c r="T257" i="4"/>
  <c r="T261" i="4"/>
  <c r="T84" i="4"/>
  <c r="T19" i="4"/>
  <c r="T88" i="4"/>
  <c r="M268" i="4"/>
  <c r="M264" i="4"/>
  <c r="N56" i="4"/>
  <c r="T56" i="4"/>
  <c r="M12" i="4"/>
  <c r="M247" i="4"/>
  <c r="M262" i="4"/>
  <c r="N19" i="4"/>
  <c r="M50" i="4"/>
  <c r="M272" i="4"/>
  <c r="N261" i="4"/>
  <c r="N190" i="4"/>
  <c r="T190" i="4"/>
  <c r="V160" i="4"/>
  <c r="T160" i="4"/>
  <c r="M257" i="4"/>
  <c r="T222" i="4"/>
</calcChain>
</file>

<file path=xl/sharedStrings.xml><?xml version="1.0" encoding="utf-8"?>
<sst xmlns="http://schemas.openxmlformats.org/spreadsheetml/2006/main" count="2511" uniqueCount="423">
  <si>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</si>
  <si>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</si>
  <si>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</si>
  <si>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</si>
  <si>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</si>
  <si>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</si>
  <si>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</si>
  <si>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                        ⑨饰金4在数值预估时算14%攻击和100精通；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</si>
  <si>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</si>
  <si>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</si>
  <si>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</si>
  <si>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</si>
  <si>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</si>
  <si>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</si>
  <si>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</si>
  <si>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</si>
  <si>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</si>
  <si>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</si>
  <si>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</si>
  <si>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</si>
  <si>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</si>
  <si>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</si>
  <si>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</si>
  <si>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</si>
  <si>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</si>
  <si>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</si>
  <si>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</si>
  <si>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</si>
  <si>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</si>
  <si>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</si>
  <si>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</si>
  <si>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</si>
  <si>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</si>
  <si>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</si>
  <si>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</si>
  <si>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</si>
  <si>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</si>
  <si>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</si>
  <si>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</si>
  <si>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</si>
  <si>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</si>
  <si>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</si>
  <si>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</si>
  <si>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</si>
  <si>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</si>
  <si>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</si>
  <si>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</si>
  <si>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</si>
  <si>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</si>
  <si>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</si>
  <si>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</si>
  <si>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</si>
  <si>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</si>
  <si>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</si>
  <si>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</si>
  <si>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</si>
  <si>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</si>
  <si>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</si>
  <si>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</si>
  <si>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</si>
  <si>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</si>
  <si>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</si>
  <si>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</si>
  <si>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</si>
  <si>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</si>
  <si>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</si>
  <si>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</si>
  <si>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</si>
  <si>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</si>
  <si>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</si>
  <si>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</si>
  <si>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</si>
  <si>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</si>
  <si>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</si>
  <si>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</si>
  <si>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</si>
  <si>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</si>
  <si>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</si>
  <si>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</si>
  <si>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</si>
  <si>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</si>
  <si>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</si>
  <si>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</si>
  <si>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</si>
  <si>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</si>
  <si>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</si>
  <si>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</si>
  <si>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薙草之稻光</t>
  </si>
  <si>
    <t>旗印4</t>
  </si>
  <si>
    <t>充火暴</t>
  </si>
  <si>
    <t>2/11/13</t>
  </si>
  <si>
    <t>Q踩班蒸发</t>
  </si>
  <si>
    <t>天空之脊</t>
  </si>
  <si>
    <t>渔获</t>
  </si>
  <si>
    <t>班尼特</t>
  </si>
  <si>
    <t>风鹰剑</t>
  </si>
  <si>
    <t>天空之刃</t>
  </si>
  <si>
    <t>生命值</t>
  </si>
  <si>
    <t>少女4</t>
  </si>
  <si>
    <t>充生治</t>
  </si>
  <si>
    <t>Q治疗</t>
  </si>
  <si>
    <t>坎蒂丝</t>
  </si>
  <si>
    <t>生生暴</t>
  </si>
  <si>
    <t>2/10/11</t>
  </si>
  <si>
    <t>Q水波</t>
  </si>
  <si>
    <t>喜多院十文字</t>
  </si>
  <si>
    <t>生生生</t>
  </si>
  <si>
    <t>生命值3</t>
  </si>
  <si>
    <t>夜兰</t>
  </si>
  <si>
    <t>若水</t>
  </si>
  <si>
    <t>绝缘4</t>
  </si>
  <si>
    <t>充水暴</t>
  </si>
  <si>
    <t>8/9/10</t>
  </si>
  <si>
    <t>Q协同</t>
  </si>
  <si>
    <t>生水暴</t>
  </si>
  <si>
    <t>西风猎弓</t>
  </si>
  <si>
    <t>无余响</t>
  </si>
  <si>
    <t>神里绫人</t>
  </si>
  <si>
    <t>波乱月白经津</t>
  </si>
  <si>
    <t>余响4</t>
  </si>
  <si>
    <t>攻水暴</t>
  </si>
  <si>
    <t>6/10/9</t>
  </si>
  <si>
    <t>E首刀+余响/无</t>
  </si>
  <si>
    <t>磐岩结绿</t>
  </si>
  <si>
    <t>沉沦4</t>
  </si>
  <si>
    <t>E首刀+沉沦4</t>
  </si>
  <si>
    <t>黑剑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</si>
  <si>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</si>
  <si>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</si>
  <si>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</si>
  <si>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</si>
  <si>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</si>
  <si>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</si>
  <si>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</si>
  <si>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</si>
  <si>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</si>
  <si>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</si>
  <si>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</si>
  <si>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</si>
  <si>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</si>
  <si>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</si>
  <si>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2沉沦2乐团</t>
  </si>
  <si>
    <t>2/9/10</t>
  </si>
  <si>
    <t>近战Q蒸发</t>
  </si>
  <si>
    <t>2沉沦2角斗</t>
  </si>
  <si>
    <t>天空之翼</t>
  </si>
  <si>
    <t>苍翠猎弓</t>
  </si>
  <si>
    <t>行秋</t>
  </si>
  <si>
    <t>祭礼剑</t>
  </si>
  <si>
    <t>2沉沦2宗室</t>
  </si>
  <si>
    <t>2/12/13</t>
  </si>
  <si>
    <t>Q剑雨</t>
  </si>
  <si>
    <t>莫娜</t>
  </si>
  <si>
    <t>Q暴击蒸发</t>
  </si>
  <si>
    <t>Q暴击</t>
  </si>
  <si>
    <t>芭芭拉</t>
  </si>
  <si>
    <t>6/12/12</t>
  </si>
  <si>
    <t>Q瞬抬</t>
  </si>
  <si>
    <t>鹿野院平藏</t>
  </si>
  <si>
    <t>天空之卷</t>
  </si>
  <si>
    <t>翠绿4</t>
  </si>
  <si>
    <t>攻风暴</t>
  </si>
  <si>
    <t>8/13/11</t>
  </si>
  <si>
    <t>满豪意轰拳</t>
  </si>
  <si>
    <t>匣里日月</t>
  </si>
  <si>
    <t>早柚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</si>
  <si>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</si>
  <si>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</si>
  <si>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</si>
  <si>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</si>
  <si>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</si>
  <si>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</si>
  <si>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</si>
  <si>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</si>
  <si>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铁蜂刺</t>
  </si>
  <si>
    <t>魈</t>
  </si>
  <si>
    <t>和璞鸢</t>
  </si>
  <si>
    <t>辰砂4</t>
  </si>
  <si>
    <t>10/8/9</t>
  </si>
  <si>
    <t>开大首插</t>
  </si>
  <si>
    <t>决斗之枪</t>
  </si>
  <si>
    <t>温迪</t>
  </si>
  <si>
    <t>绝弦</t>
  </si>
  <si>
    <t>充精精</t>
  </si>
  <si>
    <t>琴</t>
  </si>
  <si>
    <t>天目影打刀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</si>
  <si>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</si>
  <si>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</si>
  <si>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</si>
  <si>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</si>
  <si>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</si>
  <si>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</si>
  <si>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</si>
  <si>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攻击力</t>
  </si>
  <si>
    <t>赛诺</t>
  </si>
  <si>
    <t>赤沙之杖</t>
  </si>
  <si>
    <t>饰金4</t>
  </si>
  <si>
    <t>精雷暴</t>
  </si>
  <si>
    <t>E「裁定」激化</t>
  </si>
  <si>
    <t>攻雷暴</t>
  </si>
  <si>
    <t>如雷4</t>
  </si>
  <si>
    <t>多莉</t>
  </si>
  <si>
    <t>2/10/12</t>
  </si>
  <si>
    <t>Q治疗每跳</t>
  </si>
  <si>
    <t>钟剑</t>
  </si>
  <si>
    <t>久岐忍</t>
  </si>
  <si>
    <t>原木刀</t>
  </si>
  <si>
    <t>2/12/10</t>
  </si>
  <si>
    <t>E半血治疗</t>
  </si>
  <si>
    <t>精精治</t>
  </si>
  <si>
    <t>八重神子</t>
  </si>
  <si>
    <t>神乐之真意</t>
  </si>
  <si>
    <t>2如雷2角斗</t>
  </si>
  <si>
    <t>杀生樱落雷</t>
  </si>
  <si>
    <t>雷电将军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</si>
  <si>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</si>
  <si>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</si>
  <si>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</si>
  <si>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</si>
  <si>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</si>
  <si>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</si>
  <si>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</si>
  <si>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</si>
  <si>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</si>
  <si>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</si>
  <si>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</si>
  <si>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</si>
  <si>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</si>
  <si>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</si>
  <si>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</si>
  <si>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</si>
  <si>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</si>
  <si>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</si>
  <si>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</si>
  <si>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</si>
  <si>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</si>
  <si>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</si>
  <si>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</si>
  <si>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</si>
  <si>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6/12/13</t>
  </si>
  <si>
    <t>Q闪电链</t>
  </si>
  <si>
    <t>空/荧（雷）</t>
  </si>
  <si>
    <t>勾玉加充能</t>
  </si>
  <si>
    <t>提纳里</t>
  </si>
  <si>
    <t>猎人之径</t>
  </si>
  <si>
    <t>深林4</t>
  </si>
  <si>
    <t>精草暴</t>
  </si>
  <si>
    <t>激化藏蕴矢</t>
  </si>
  <si>
    <t>柯莱</t>
  </si>
  <si>
    <t>攻草暴</t>
  </si>
  <si>
    <t>6/10/12</t>
  </si>
  <si>
    <t>Q每跳激化</t>
  </si>
  <si>
    <t>空/荧（草）</t>
  </si>
  <si>
    <t>申鹤</t>
  </si>
  <si>
    <t>息灾</t>
  </si>
  <si>
    <t>2角斗2追忆</t>
  </si>
  <si>
    <t>攻攻攻</t>
  </si>
  <si>
    <t>2/10/9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</si>
  <si>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</si>
  <si>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</si>
  <si>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</si>
  <si>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</si>
  <si>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</si>
  <si>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</si>
  <si>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</si>
  <si>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优菈</t>
  </si>
  <si>
    <t>松籁响起之时</t>
  </si>
  <si>
    <t>苍白4</t>
  </si>
  <si>
    <t>Q13层光剑</t>
  </si>
  <si>
    <t>（eQAAAAEAAAA）</t>
  </si>
  <si>
    <t>甘雨</t>
  </si>
  <si>
    <t>霜华矢绽放</t>
  </si>
  <si>
    <t>破魔之弓</t>
  </si>
  <si>
    <t>试做澹月</t>
  </si>
  <si>
    <t>霜华矢融化</t>
  </si>
  <si>
    <t>精冰暴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</si>
  <si>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</si>
  <si>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</si>
  <si>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</si>
  <si>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</si>
  <si>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</si>
  <si>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</si>
  <si>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</si>
  <si>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</si>
  <si>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</si>
  <si>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</si>
  <si>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</si>
  <si>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</si>
  <si>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</si>
  <si>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</si>
  <si>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</si>
  <si>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</si>
  <si>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</si>
  <si>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</si>
  <si>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</si>
  <si>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</si>
  <si>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</si>
  <si>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</si>
  <si>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</si>
  <si>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</si>
  <si>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</si>
  <si>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</si>
  <si>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</si>
  <si>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</si>
  <si>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</si>
  <si>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</si>
  <si>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磐岩4</t>
  </si>
  <si>
    <t>钟离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</si>
  <si>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</si>
  <si>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</si>
  <si>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</si>
  <si>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</si>
  <si>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</si>
  <si>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</si>
  <si>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</si>
  <si>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</si>
  <si>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</si>
  <si>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</si>
  <si>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</si>
  <si>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</si>
  <si>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</si>
  <si>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</si>
  <si>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</si>
  <si>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</si>
  <si>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</si>
  <si>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</si>
  <si>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</si>
  <si>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</si>
  <si>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</si>
  <si>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</si>
  <si>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</si>
  <si>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</si>
  <si>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</si>
  <si>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</si>
  <si>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</si>
  <si>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</si>
  <si>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</si>
  <si>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</si>
  <si>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</si>
  <si>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</si>
  <si>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</si>
  <si>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</si>
  <si>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</si>
  <si>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2.5版本：</t>
  </si>
  <si>
    <t>添加八重神子相关数据</t>
  </si>
  <si>
    <t>作图里菲谢尔、刻晴是2+2</t>
  </si>
  <si>
    <t>甘雨增加破魔之弓的数据</t>
  </si>
  <si>
    <t>2.6版本</t>
  </si>
  <si>
    <t>修正钟离2+2的生命值</t>
  </si>
  <si>
    <t>修正风系角色的精通数值，以及对应的扩散伤害</t>
  </si>
  <si>
    <t>添加神里绫人的相关数据</t>
  </si>
  <si>
    <t>修正流浪丽莎和优菈的伤害预估数值</t>
  </si>
  <si>
    <t>修正魈的白值，以及对应的攻击、伤害预估</t>
  </si>
  <si>
    <t>魈的圣遗物更新为辰砂4</t>
  </si>
  <si>
    <t>2.7版本</t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</si>
  <si>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</si>
  <si>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</si>
  <si>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</si>
  <si>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</si>
  <si>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</si>
  <si>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</si>
  <si>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</si>
  <si>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</si>
  <si>
    <t>2.8版本</t>
  </si>
  <si>
    <t>修正砂糖金珀、讨龙的精通</t>
  </si>
  <si>
    <t>添加鹿野院平藏相关数据</t>
  </si>
  <si>
    <t>修正久岐忍的数据</t>
  </si>
  <si>
    <t>3.0版本</t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</si>
  <si>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</si>
  <si>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</si>
  <si>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</si>
  <si>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</si>
  <si>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</si>
  <si>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</si>
  <si>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</si>
  <si>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</si>
  <si>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</si>
  <si>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</si>
  <si>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</si>
  <si>
    <t>3.0下半</t>
  </si>
  <si>
    <r>
      <t>修正</t>
    </r>
    <r>
      <rPr>
        <sz val="12"/>
        <color indexed="30"/>
        <rFont val="宋体"/>
        <charset val="134"/>
      </rPr>
      <t>提纳里</t>
    </r>
    <r>
      <rPr>
        <sz val="12"/>
        <rFont val="宋体"/>
        <charset val="134"/>
      </rPr>
      <t>的白值，对应的攻击和伤害预估</t>
    </r>
  </si>
  <si>
    <r>
      <t>修正</t>
    </r>
    <r>
      <rPr>
        <sz val="12"/>
        <color indexed="30"/>
        <rFont val="宋体"/>
        <charset val="134"/>
      </rPr>
      <t>优菈</t>
    </r>
    <r>
      <rPr>
        <sz val="12"/>
        <rFont val="宋体"/>
        <charset val="134"/>
      </rPr>
      <t>的伤害预估</t>
    </r>
  </si>
  <si>
    <r>
      <t>丽莎</t>
    </r>
    <r>
      <rPr>
        <sz val="12"/>
        <rFont val="宋体"/>
        <charset val="134"/>
      </rPr>
      <t>图中物杯→雷杯文本修正</t>
    </r>
  </si>
  <si>
    <r>
      <t>菲谢尔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丽莎</t>
    </r>
    <r>
      <rPr>
        <sz val="12"/>
        <rFont val="宋体"/>
        <charset val="134"/>
      </rPr>
      <t>添加元素精通的参考数据</t>
    </r>
  </si>
  <si>
    <r>
      <t>添加</t>
    </r>
    <r>
      <rPr>
        <sz val="12"/>
        <color indexed="30"/>
        <rFont val="宋体"/>
        <charset val="134"/>
      </rPr>
      <t>多莉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</si>
  <si>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钟离</t>
    </r>
    <r>
      <rPr>
        <sz val="12"/>
        <rFont val="宋体"/>
        <charset val="134"/>
      </rPr>
      <t>护摩生生生的生命值以及对应的伤害预估</t>
    </r>
  </si>
  <si>
    <t>云堇删去稻光、天空，添加喜多院十文字</t>
  </si>
  <si>
    <t>修正久岐忍西风、温迪西风、草主原木刀的白值</t>
  </si>
  <si>
    <t>妮露</t>
    <phoneticPr fontId="6" type="noConversion"/>
  </si>
  <si>
    <t>圣显之钥</t>
    <phoneticPr fontId="6" type="noConversion"/>
  </si>
  <si>
    <t>磐岩结绿</t>
    <phoneticPr fontId="6" type="noConversion"/>
  </si>
  <si>
    <t>2/8/9</t>
    <phoneticPr fontId="6" type="noConversion"/>
  </si>
  <si>
    <t>元素精通</t>
    <phoneticPr fontId="6" type="noConversion"/>
  </si>
  <si>
    <t>丰穰之核</t>
    <phoneticPr fontId="6" type="noConversion"/>
  </si>
  <si>
    <t>实际精通</t>
    <phoneticPr fontId="6" type="noConversion"/>
  </si>
  <si>
    <t>2千岩2乐团</t>
    <phoneticPr fontId="6" type="noConversion"/>
  </si>
  <si>
    <t>实际生命</t>
    <phoneticPr fontId="6" type="noConversion"/>
  </si>
  <si>
    <t>西福斯的月光</t>
    <phoneticPr fontId="6" type="noConversion"/>
  </si>
  <si>
    <t>2/10/9</t>
    <phoneticPr fontId="6" type="noConversion"/>
  </si>
  <si>
    <t>达达利亚删去弓藏一行，技能改为2/10/9</t>
    <phoneticPr fontId="6" type="noConversion"/>
  </si>
  <si>
    <t>决斗之枪</t>
    <phoneticPr fontId="6" type="noConversion"/>
  </si>
  <si>
    <t>匣里灭辰</t>
    <phoneticPr fontId="6" type="noConversion"/>
  </si>
  <si>
    <t>黎明神剑</t>
    <phoneticPr fontId="6" type="noConversion"/>
  </si>
  <si>
    <t>阿贝多添加一行黎明神剑的数据</t>
    <phoneticPr fontId="6" type="noConversion"/>
  </si>
  <si>
    <t>添加赛诺、坎蒂丝相关数据</t>
    <phoneticPr fontId="6" type="noConversion"/>
  </si>
  <si>
    <t>添加妮露相关数据</t>
    <phoneticPr fontId="6" type="noConversion"/>
  </si>
  <si>
    <t>西斯福的月光</t>
    <phoneticPr fontId="6" type="noConversion"/>
  </si>
  <si>
    <t>万叶铁蜂刺换月光剑</t>
    <phoneticPr fontId="6" type="noConversion"/>
  </si>
  <si>
    <t>纳西妲</t>
    <phoneticPr fontId="6" type="noConversion"/>
  </si>
  <si>
    <t>千夜浮梦</t>
    <phoneticPr fontId="6" type="noConversion"/>
  </si>
  <si>
    <t>精精精</t>
    <phoneticPr fontId="6" type="noConversion"/>
  </si>
  <si>
    <t>祭礼残章</t>
    <phoneticPr fontId="6" type="noConversion"/>
  </si>
  <si>
    <t>流浪的晚星</t>
    <phoneticPr fontId="6" type="noConversion"/>
  </si>
  <si>
    <t>6/10/9</t>
    <phoneticPr fontId="6" type="noConversion"/>
  </si>
  <si>
    <t>充能效率</t>
    <phoneticPr fontId="6" type="noConversion"/>
  </si>
  <si>
    <t>激化灭净三业</t>
    <phoneticPr fontId="6" type="noConversion"/>
  </si>
  <si>
    <t>添加纳西妲相关数据</t>
    <phoneticPr fontId="6" type="noConversion"/>
  </si>
  <si>
    <t>饰金4</t>
    <phoneticPr fontId="6" type="noConversion"/>
  </si>
  <si>
    <t>精精治</t>
    <phoneticPr fontId="6" type="noConversion"/>
  </si>
  <si>
    <t>修正饰金4久岐忍的精通数据</t>
    <phoneticPr fontId="6" type="noConversion"/>
  </si>
  <si>
    <t>删除久岐忍原木刀一行，添加一行饰金4铁蜂刺的数据</t>
    <phoneticPr fontId="6" type="noConversion"/>
  </si>
  <si>
    <t>精火暴</t>
    <phoneticPr fontId="6" type="noConversion"/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</si>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</sst>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5" x14ac:knownFonts="1">
    <font>
      <sz val="12"/>
      <name val="宋体"/>
      <charset val="134"/>
    </font>
    <font>
      <sz val="12"/>
      <color indexed="30"/>
      <name val="宋体"/>
      <charset val="134"/>
    </font>
    <font>
      <sz val="11"/>
      <color indexed="8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sz val="12"/>
      <color theme="2" tint="-9.9978637043366805E-2"/>
      <name val="宋体"/>
      <charset val="134"/>
    </font>
    <font>
      <sz val="12"/>
      <color theme="2"/>
      <name val="宋体"/>
      <charset val="134"/>
    </font>
    <font>
      <sz val="12"/>
      <color theme="0" tint="-0.14999847407452621"/>
      <name val="宋体"/>
      <charset val="134"/>
    </font>
    <font>
      <sz val="12"/>
      <color theme="0" tint="-4.9989318521683403E-2"/>
      <name val="宋体"/>
      <charset val="134"/>
    </font>
    <font>
      <sz val="12"/>
      <color rgb="FFC00000"/>
      <name val="宋体"/>
      <charset val="134"/>
    </font>
    <font>
      <b/>
      <sz val="16"/>
      <color rgb="FF0070C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EF1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E9AD"/>
        <bgColor indexed="64"/>
      </patternFill>
    </fill>
    <fill>
      <patternFill patternType="solid">
        <fgColor rgb="FFFFEAE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79">
    <xf numFmtId="0" fontId="0" fillId="0" borderId="0" xfId="0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0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176" fontId="8" fillId="0" borderId="0" xfId="0" applyNumberFormat="1" applyFont="1" applyAlignment="1">
      <alignment horizontal="center" vertical="center"/>
    </xf>
    <xf numFmtId="176" fontId="11" fillId="0" borderId="0" xfId="0" applyNumberFormat="1" applyFont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6"/>
  <sheetViews>
    <sheetView tabSelected="1" topLeftCell="A314" zoomScale="90" zoomScaleNormal="90" zoomScaleSheetLayoutView="100" workbookViewId="0">
      <selection activeCell="F326" sqref="F326"/>
    </sheetView>
  </sheetViews>
  <sheetFormatPr defaultColWidth="9" defaultRowHeight="15" x14ac:dyDescent="0.25"/>
  <cols>
    <col min="1" max="1" width="12.83203125" style="6" customWidth="1"/>
    <col min="2" max="2" width="13.9140625" style="6" customWidth="1"/>
    <col min="3" max="3" width="12.83203125" style="6" customWidth="1"/>
    <col min="4" max="4" width="7.5" style="6" customWidth="1"/>
    <col min="5" max="5" width="9.5" style="7" customWidth="1"/>
    <col min="6" max="7" width="9.5" style="8" customWidth="1"/>
    <col min="8" max="8" width="9.5" style="9" customWidth="1"/>
    <col min="9" max="9" width="9.5" style="10" customWidth="1"/>
    <col min="10" max="10" width="9.5" style="11" customWidth="1"/>
    <col min="11" max="12" width="9.5" style="12" customWidth="1"/>
    <col min="13" max="13" width="7.5" style="13" customWidth="1"/>
    <col min="14" max="14" width="11.5" style="13" customWidth="1"/>
    <col min="15" max="15" width="8.5" style="12" customWidth="1"/>
    <col min="16" max="17" width="7.5" style="8" customWidth="1"/>
    <col min="18" max="18" width="9.5" style="12" customWidth="1"/>
    <col min="19" max="19" width="15.58203125" style="6" customWidth="1"/>
    <col min="20" max="20" width="10.58203125" style="9" customWidth="1"/>
    <col min="22" max="22" width="11.58203125" customWidth="1"/>
  </cols>
  <sheetData>
    <row r="1" spans="1:23" ht="21" x14ac:dyDescent="0.25">
      <c r="A1" s="71" t="s">
        <v>0</v>
      </c>
      <c r="B1" s="71"/>
      <c r="C1" s="71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1"/>
      <c r="T1" s="72"/>
    </row>
    <row r="2" spans="1:23" ht="31" customHeight="1" x14ac:dyDescent="0.25">
      <c r="A2" s="69" t="s">
        <v>1</v>
      </c>
      <c r="B2" s="69"/>
      <c r="C2" s="69"/>
      <c r="D2" s="69"/>
      <c r="E2" s="69"/>
      <c r="F2" s="70" t="s">
        <v>422</v>
      </c>
      <c r="G2" s="70"/>
      <c r="H2" s="70"/>
      <c r="I2" s="70"/>
      <c r="J2" s="70" t="s">
        <v>2</v>
      </c>
      <c r="K2" s="70"/>
      <c r="L2" s="70"/>
      <c r="M2" s="70"/>
      <c r="N2" s="70"/>
      <c r="O2" s="70" t="s">
        <v>3</v>
      </c>
      <c r="P2" s="70"/>
      <c r="Q2" s="70"/>
      <c r="R2" s="70"/>
      <c r="S2" s="70"/>
      <c r="T2" s="70"/>
      <c r="U2" s="15"/>
      <c r="V2" s="15"/>
      <c r="W2" s="15"/>
    </row>
    <row r="3" spans="1:23" ht="31" customHeight="1" x14ac:dyDescent="0.25">
      <c r="A3" s="69"/>
      <c r="B3" s="69"/>
      <c r="C3" s="69"/>
      <c r="D3" s="69"/>
      <c r="E3" s="69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15"/>
      <c r="V3" s="15"/>
      <c r="W3" s="15"/>
    </row>
    <row r="4" spans="1:23" ht="31" customHeight="1" x14ac:dyDescent="0.25">
      <c r="A4" s="69"/>
      <c r="B4" s="69"/>
      <c r="C4" s="69"/>
      <c r="D4" s="69"/>
      <c r="E4" s="69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15"/>
      <c r="V4" s="15"/>
      <c r="W4" s="15"/>
    </row>
    <row r="5" spans="1:23" ht="31" customHeight="1" x14ac:dyDescent="0.25">
      <c r="A5" s="69"/>
      <c r="B5" s="69"/>
      <c r="C5" s="69"/>
      <c r="D5" s="69"/>
      <c r="E5" s="69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15"/>
      <c r="V5" s="15"/>
      <c r="W5" s="15"/>
    </row>
    <row r="6" spans="1:23" ht="31" customHeight="1" x14ac:dyDescent="0.25">
      <c r="A6" s="69"/>
      <c r="B6" s="69"/>
      <c r="C6" s="69"/>
      <c r="D6" s="69"/>
      <c r="E6" s="69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15"/>
      <c r="V6" s="15"/>
      <c r="W6" s="15"/>
    </row>
    <row r="7" spans="1:23" ht="26" customHeight="1" x14ac:dyDescent="0.25">
      <c r="A7" s="70" t="s">
        <v>4</v>
      </c>
      <c r="B7" s="78"/>
      <c r="C7" s="78"/>
      <c r="D7" s="78"/>
      <c r="E7" s="78"/>
      <c r="F7" s="78" t="s">
        <v>5</v>
      </c>
      <c r="G7" s="70"/>
      <c r="H7" s="70"/>
      <c r="I7" s="70"/>
      <c r="J7" s="78" t="s">
        <v>6</v>
      </c>
      <c r="K7" s="70"/>
      <c r="L7" s="70"/>
      <c r="M7" s="70"/>
      <c r="N7" s="70"/>
      <c r="O7" s="78" t="s">
        <v>7</v>
      </c>
      <c r="P7" s="70"/>
      <c r="Q7" s="70"/>
      <c r="R7" s="70"/>
      <c r="S7" s="70"/>
      <c r="T7" s="70"/>
      <c r="U7" s="3"/>
      <c r="V7" s="3"/>
      <c r="W7" s="3"/>
    </row>
    <row r="8" spans="1:23" ht="26" customHeight="1" x14ac:dyDescent="0.25">
      <c r="A8" s="78"/>
      <c r="B8" s="78"/>
      <c r="C8" s="78"/>
      <c r="D8" s="78"/>
      <c r="E8" s="78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3"/>
      <c r="V8" s="3"/>
      <c r="W8" s="3"/>
    </row>
    <row r="9" spans="1:23" ht="26" customHeight="1" x14ac:dyDescent="0.25">
      <c r="A9" s="78"/>
      <c r="B9" s="78"/>
      <c r="C9" s="78"/>
      <c r="D9" s="78"/>
      <c r="E9" s="78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3"/>
      <c r="V9" s="3"/>
      <c r="W9" s="3"/>
    </row>
    <row r="10" spans="1:23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</row>
    <row r="11" spans="1:23" x14ac:dyDescent="0.25">
      <c r="A11" s="6" t="s">
        <v>8</v>
      </c>
      <c r="B11" s="6" t="s">
        <v>9</v>
      </c>
      <c r="C11" s="6" t="s">
        <v>10</v>
      </c>
      <c r="D11" s="6" t="s">
        <v>11</v>
      </c>
      <c r="E11" s="7" t="s">
        <v>12</v>
      </c>
      <c r="F11" s="8" t="s">
        <v>13</v>
      </c>
      <c r="G11" s="8" t="s">
        <v>14</v>
      </c>
      <c r="H11" s="9" t="s">
        <v>15</v>
      </c>
      <c r="I11" s="10" t="s">
        <v>16</v>
      </c>
      <c r="J11" s="10" t="s">
        <v>17</v>
      </c>
      <c r="K11" s="12" t="s">
        <v>18</v>
      </c>
      <c r="L11" s="12" t="s">
        <v>19</v>
      </c>
      <c r="M11" s="13" t="s">
        <v>20</v>
      </c>
      <c r="N11" s="13" t="s">
        <v>21</v>
      </c>
      <c r="O11" s="12" t="s">
        <v>22</v>
      </c>
      <c r="P11" s="8" t="s">
        <v>23</v>
      </c>
      <c r="Q11" s="8" t="s">
        <v>24</v>
      </c>
      <c r="R11" s="12" t="s">
        <v>25</v>
      </c>
      <c r="S11" s="6" t="s">
        <v>26</v>
      </c>
      <c r="T11" s="9" t="s">
        <v>27</v>
      </c>
    </row>
    <row r="12" spans="1:23" x14ac:dyDescent="0.25">
      <c r="A12" s="6" t="s">
        <v>28</v>
      </c>
      <c r="B12" s="6" t="s">
        <v>29</v>
      </c>
      <c r="C12" s="6" t="s">
        <v>30</v>
      </c>
      <c r="D12" s="6" t="s">
        <v>31</v>
      </c>
      <c r="E12" s="7" t="s">
        <v>32</v>
      </c>
      <c r="F12" s="8">
        <f>106</f>
        <v>106</v>
      </c>
      <c r="G12" s="8">
        <f>608</f>
        <v>608</v>
      </c>
      <c r="H12" s="9">
        <f>(F12+G12)*(1+0.2+0.18)+311+(5.96%+1.8%)*I12</f>
        <v>4039.8860032000002</v>
      </c>
      <c r="I12" s="10">
        <f>15552*(1+0.466+0.3+0.2)+4780</f>
        <v>35355.232000000004</v>
      </c>
      <c r="J12" s="11">
        <f>80</f>
        <v>80</v>
      </c>
      <c r="K12" s="12">
        <f>0</f>
        <v>0</v>
      </c>
      <c r="L12" s="12">
        <f>38.4%+66.2%</f>
        <v>1.046</v>
      </c>
      <c r="M12" s="13">
        <f>63.55%+K12/2+L12/4-19.7%</f>
        <v>0.70000000000000007</v>
      </c>
      <c r="N12" s="13">
        <f>63.55%*2+K12+L12/2+19.7%*2-6.6%*2</f>
        <v>2.056</v>
      </c>
      <c r="O12" s="12">
        <f>0.466+0.5+0.33</f>
        <v>1.296</v>
      </c>
      <c r="P12" s="8">
        <f>0.5</f>
        <v>0.5</v>
      </c>
      <c r="Q12" s="8">
        <f>0.9</f>
        <v>0.9</v>
      </c>
      <c r="R12" s="12">
        <f>2.4257</f>
        <v>2.4257</v>
      </c>
      <c r="S12" s="6" t="s">
        <v>33</v>
      </c>
      <c r="T12" s="9">
        <f>H12*R12*(1+O12)*(1+N12)*P12*Q12*1.5*(1+(2.78*J12)/(J12+1400))</f>
        <v>53386.948774124219</v>
      </c>
    </row>
    <row r="13" spans="1:23" x14ac:dyDescent="0.25">
      <c r="A13" s="6" t="s">
        <v>28</v>
      </c>
      <c r="B13" s="6" t="s">
        <v>29</v>
      </c>
      <c r="C13" s="6" t="s">
        <v>30</v>
      </c>
      <c r="D13" s="6" t="s">
        <v>34</v>
      </c>
      <c r="E13" s="7" t="s">
        <v>32</v>
      </c>
      <c r="F13" s="8">
        <f>106</f>
        <v>106</v>
      </c>
      <c r="G13" s="8">
        <f>608</f>
        <v>608</v>
      </c>
      <c r="H13" s="9">
        <f>(F13+G13)*(1+0.2+0.18)+311+(5.96%+1.8%)*I13</f>
        <v>3477.5007999999998</v>
      </c>
      <c r="I13" s="10">
        <f>15552*(1+0.3+0.2)+4780</f>
        <v>28108</v>
      </c>
      <c r="J13" s="11">
        <f>80+187</f>
        <v>267</v>
      </c>
      <c r="K13" s="12">
        <f>0</f>
        <v>0</v>
      </c>
      <c r="L13" s="12">
        <f>38.4%+66.2%</f>
        <v>1.046</v>
      </c>
      <c r="M13" s="13">
        <f>63.55%+K13/2+L13/4-19.7%</f>
        <v>0.70000000000000007</v>
      </c>
      <c r="N13" s="13">
        <f>63.55%*2+K13+L13/2+19.7%*2-6.6%*2</f>
        <v>2.056</v>
      </c>
      <c r="O13" s="12">
        <f>0.466+0.5+0.33</f>
        <v>1.296</v>
      </c>
      <c r="P13" s="8">
        <f>0.5</f>
        <v>0.5</v>
      </c>
      <c r="Q13" s="8">
        <f>0.9</f>
        <v>0.9</v>
      </c>
      <c r="R13" s="12">
        <f>2.4257</f>
        <v>2.4257</v>
      </c>
      <c r="S13" s="6" t="s">
        <v>33</v>
      </c>
      <c r="T13" s="9">
        <f>H13*R13*(1+O13)*(1+N13)*P13*Q13*1.5*(1+(2.78*J13)/(J13+1400))</f>
        <v>57740.61478722524</v>
      </c>
    </row>
    <row r="14" spans="1:23" x14ac:dyDescent="0.25">
      <c r="A14" s="6" t="s">
        <v>28</v>
      </c>
      <c r="B14" s="6" t="s">
        <v>35</v>
      </c>
      <c r="C14" s="6" t="s">
        <v>30</v>
      </c>
      <c r="D14" s="6" t="s">
        <v>31</v>
      </c>
      <c r="E14" s="7" t="s">
        <v>32</v>
      </c>
      <c r="F14" s="8">
        <f>106</f>
        <v>106</v>
      </c>
      <c r="G14" s="8">
        <v>454</v>
      </c>
      <c r="H14" s="9">
        <f>(F14+G14)*(1+0.2+0.18)+311+(5.96%)*I14</f>
        <v>3005.5919871999999</v>
      </c>
      <c r="I14" s="10">
        <f>15552*(1+0.466+0.3)+4780</f>
        <v>32244.831999999999</v>
      </c>
      <c r="J14" s="11">
        <f>80+221</f>
        <v>301</v>
      </c>
      <c r="K14" s="12">
        <f>0</f>
        <v>0</v>
      </c>
      <c r="L14" s="12">
        <f>38.4%</f>
        <v>0.38400000000000001</v>
      </c>
      <c r="M14" s="13">
        <f>60.25%+K14/2+L14/4</f>
        <v>0.69850000000000001</v>
      </c>
      <c r="N14" s="13">
        <f>60.25%*2+K14+L14/2</f>
        <v>1.397</v>
      </c>
      <c r="O14" s="12">
        <f>0.466+0.5+0.33+0.36</f>
        <v>1.6560000000000001</v>
      </c>
      <c r="P14" s="8">
        <f>0.5</f>
        <v>0.5</v>
      </c>
      <c r="Q14" s="8">
        <f>0.9</f>
        <v>0.9</v>
      </c>
      <c r="R14" s="12">
        <f>2.4257</f>
        <v>2.4257</v>
      </c>
      <c r="S14" s="6" t="s">
        <v>33</v>
      </c>
      <c r="T14" s="9">
        <f>H14*R14*(1+O14)*(1+N14)*P14*Q14*1.5*(1+(2.78*J14)/(J14+1400))</f>
        <v>46743.006945727582</v>
      </c>
    </row>
    <row r="15" spans="1:23" x14ac:dyDescent="0.25">
      <c r="A15" s="6" t="s">
        <v>28</v>
      </c>
      <c r="B15" s="60" t="s">
        <v>400</v>
      </c>
      <c r="C15" s="6" t="s">
        <v>30</v>
      </c>
      <c r="D15" s="60" t="s">
        <v>421</v>
      </c>
      <c r="E15" s="7" t="s">
        <v>32</v>
      </c>
      <c r="F15" s="8">
        <f>106</f>
        <v>106</v>
      </c>
      <c r="G15" s="8">
        <v>454</v>
      </c>
      <c r="H15" s="9">
        <f>(F15+G15)*(1+0.2+0.18+0.32)+311+(5.96%)*I15</f>
        <v>2752.8569600000001</v>
      </c>
      <c r="I15" s="10">
        <f>15552*(1+0.3)+4780</f>
        <v>24997.600000000002</v>
      </c>
      <c r="J15" s="11">
        <f>80+187</f>
        <v>267</v>
      </c>
      <c r="K15" s="12">
        <v>0.36799999999999999</v>
      </c>
      <c r="L15" s="12">
        <f>38.4%</f>
        <v>0.38400000000000001</v>
      </c>
      <c r="M15" s="13">
        <f>60.25%+K15/2+L15/4-8.25%</f>
        <v>0.79999999999999993</v>
      </c>
      <c r="N15" s="13">
        <f>60.25%*2+K15+L15/2+8.25%*2</f>
        <v>1.93</v>
      </c>
      <c r="O15" s="12">
        <f>0.466+0.5+0.33</f>
        <v>1.296</v>
      </c>
      <c r="P15" s="8">
        <f>0.5</f>
        <v>0.5</v>
      </c>
      <c r="Q15" s="8">
        <f>0.9</f>
        <v>0.9</v>
      </c>
      <c r="R15" s="12">
        <f>2.4257</f>
        <v>2.4257</v>
      </c>
      <c r="S15" s="6" t="s">
        <v>33</v>
      </c>
      <c r="T15" s="9">
        <f>H15*R15*(1+O15)*(1+N15)*P15*Q15*1.5*(1+(2.78*J15)/(J15+1400))</f>
        <v>43824.006703878498</v>
      </c>
    </row>
    <row r="17" spans="1:21" x14ac:dyDescent="0.25">
      <c r="A17" s="6" t="s">
        <v>28</v>
      </c>
      <c r="B17" s="6" t="s">
        <v>29</v>
      </c>
      <c r="C17" s="6" t="s">
        <v>36</v>
      </c>
      <c r="D17" s="6" t="s">
        <v>31</v>
      </c>
      <c r="E17" s="7" t="s">
        <v>32</v>
      </c>
      <c r="F17" s="8">
        <f>106</f>
        <v>106</v>
      </c>
      <c r="G17" s="8">
        <f>608</f>
        <v>608</v>
      </c>
      <c r="H17" s="9">
        <f>(F17+G17)*(1+0.2)+311+(5.96%+1.8%)*I17</f>
        <v>3911.3660032000007</v>
      </c>
      <c r="I17" s="10">
        <f>15552*(1+0.466+0.3+0.2)+4780</f>
        <v>35355.232000000004</v>
      </c>
      <c r="J17" s="11">
        <f>80</f>
        <v>80</v>
      </c>
      <c r="K17" s="12">
        <f>0</f>
        <v>0</v>
      </c>
      <c r="L17" s="12">
        <f>38.4%+66.2%</f>
        <v>1.046</v>
      </c>
      <c r="M17" s="13">
        <f>63.55%+K17/2+L17/4-19.7%</f>
        <v>0.70000000000000007</v>
      </c>
      <c r="N17" s="13">
        <f>63.55%*2+K17+L17/2+19.7%*2-6.6%*2</f>
        <v>2.056</v>
      </c>
      <c r="O17" s="12">
        <f>0.466+0.225+0.33</f>
        <v>1.0210000000000001</v>
      </c>
      <c r="P17" s="8">
        <f>0.5</f>
        <v>0.5</v>
      </c>
      <c r="Q17" s="8">
        <f>0.9</f>
        <v>0.9</v>
      </c>
      <c r="R17" s="12">
        <f>2.4257</f>
        <v>2.4257</v>
      </c>
      <c r="S17" s="6" t="s">
        <v>33</v>
      </c>
      <c r="T17" s="9">
        <f>H17*R17*(1+O17)*(1+N17)*P17*Q17*1.5*(1+(2.78*J17)/(J17+1400)+0.15)</f>
        <v>51430.721148416014</v>
      </c>
    </row>
    <row r="18" spans="1:21" x14ac:dyDescent="0.25">
      <c r="A18" s="6" t="s">
        <v>28</v>
      </c>
      <c r="B18" s="6" t="s">
        <v>29</v>
      </c>
      <c r="C18" s="6" t="s">
        <v>36</v>
      </c>
      <c r="D18" s="6" t="s">
        <v>34</v>
      </c>
      <c r="E18" s="7" t="s">
        <v>32</v>
      </c>
      <c r="F18" s="8">
        <f>106</f>
        <v>106</v>
      </c>
      <c r="G18" s="8">
        <f>608</f>
        <v>608</v>
      </c>
      <c r="H18" s="9">
        <f>(F18+G18)*(1+0.2)+311+(5.96%+1.8%)*I18</f>
        <v>3348.9808000000003</v>
      </c>
      <c r="I18" s="10">
        <f>15552*(1+0.3+0.2)+4780</f>
        <v>28108</v>
      </c>
      <c r="J18" s="11">
        <f>80+187</f>
        <v>267</v>
      </c>
      <c r="K18" s="12">
        <f>0</f>
        <v>0</v>
      </c>
      <c r="L18" s="12">
        <f>38.4%+66.2%</f>
        <v>1.046</v>
      </c>
      <c r="M18" s="13">
        <f>63.55%+K18/2+L18/4-19.7%</f>
        <v>0.70000000000000007</v>
      </c>
      <c r="N18" s="13">
        <f>63.55%*2+K18+L18/2+19.7%*2-6.6%*2</f>
        <v>2.056</v>
      </c>
      <c r="O18" s="12">
        <f>0.466+0.225+0.33</f>
        <v>1.0210000000000001</v>
      </c>
      <c r="P18" s="8">
        <f>0.5</f>
        <v>0.5</v>
      </c>
      <c r="Q18" s="8">
        <f>0.9</f>
        <v>0.9</v>
      </c>
      <c r="R18" s="12">
        <f>2.4257</f>
        <v>2.4257</v>
      </c>
      <c r="S18" s="6" t="s">
        <v>33</v>
      </c>
      <c r="T18" s="9">
        <f>H18*R18*(1+O18)*(1+N18)*P18*Q18*1.5*(1+(2.78*J18)/(J18+1400)+0.15)</f>
        <v>54026.464603692337</v>
      </c>
    </row>
    <row r="19" spans="1:21" x14ac:dyDescent="0.25">
      <c r="A19" s="6" t="s">
        <v>28</v>
      </c>
      <c r="B19" s="6" t="s">
        <v>35</v>
      </c>
      <c r="C19" s="6" t="s">
        <v>36</v>
      </c>
      <c r="D19" s="6" t="s">
        <v>31</v>
      </c>
      <c r="E19" s="7" t="s">
        <v>32</v>
      </c>
      <c r="F19" s="8">
        <f>106</f>
        <v>106</v>
      </c>
      <c r="G19" s="8">
        <v>454</v>
      </c>
      <c r="H19" s="9">
        <f>(F19+G19)*(1+0.2)+311+(5.96%)*I19</f>
        <v>2904.7919872000002</v>
      </c>
      <c r="I19" s="10">
        <f>15552*(1+0.466+0.3)+4780</f>
        <v>32244.831999999999</v>
      </c>
      <c r="J19" s="11">
        <f>80+221</f>
        <v>301</v>
      </c>
      <c r="K19" s="12">
        <f>0</f>
        <v>0</v>
      </c>
      <c r="L19" s="12">
        <f>38.4%</f>
        <v>0.38400000000000001</v>
      </c>
      <c r="M19" s="13">
        <f>60.25%+K19/2+L19/4</f>
        <v>0.69850000000000001</v>
      </c>
      <c r="N19" s="13">
        <f>60.25%*2+K19+L19/2</f>
        <v>1.397</v>
      </c>
      <c r="O19" s="12">
        <f>0.466+0.225+0.33+0.36</f>
        <v>1.3810000000000002</v>
      </c>
      <c r="P19" s="8">
        <f>0.5</f>
        <v>0.5</v>
      </c>
      <c r="Q19" s="8">
        <f>0.9</f>
        <v>0.9</v>
      </c>
      <c r="R19" s="12">
        <f>2.4257</f>
        <v>2.4257</v>
      </c>
      <c r="S19" s="6" t="s">
        <v>33</v>
      </c>
      <c r="T19" s="9">
        <f>H19*R19*(1+O19)*(1+N19)*P19*Q19*1.5*(1+(2.78*J19)/(J19+1400)+0.15)</f>
        <v>44569.633798427581</v>
      </c>
    </row>
    <row r="20" spans="1:21" x14ac:dyDescent="0.25">
      <c r="A20" s="6" t="s">
        <v>28</v>
      </c>
      <c r="B20" s="60" t="s">
        <v>401</v>
      </c>
      <c r="C20" s="6" t="s">
        <v>36</v>
      </c>
      <c r="D20" s="6" t="s">
        <v>34</v>
      </c>
      <c r="E20" s="7" t="s">
        <v>32</v>
      </c>
      <c r="F20" s="8">
        <f>106</f>
        <v>106</v>
      </c>
      <c r="G20" s="8">
        <v>454</v>
      </c>
      <c r="H20" s="9">
        <f>(F20+G20)*(1+0.2)+311+(5.96%)*I20</f>
        <v>2472.8569600000001</v>
      </c>
      <c r="I20" s="10">
        <f>15552*(1+0.3)+4780</f>
        <v>24997.600000000002</v>
      </c>
      <c r="J20" s="11">
        <f>80+187+221</f>
        <v>488</v>
      </c>
      <c r="K20" s="12">
        <f>0</f>
        <v>0</v>
      </c>
      <c r="L20" s="12">
        <f>38.4%</f>
        <v>0.38400000000000001</v>
      </c>
      <c r="M20" s="13">
        <f>60.25%+K20/2+L20/4</f>
        <v>0.69850000000000001</v>
      </c>
      <c r="N20" s="13">
        <f>60.25%*2+K20+L20/2</f>
        <v>1.397</v>
      </c>
      <c r="O20" s="12">
        <f>0.466+0.225+0.33+0.36</f>
        <v>1.3810000000000002</v>
      </c>
      <c r="P20" s="8">
        <f>0.5</f>
        <v>0.5</v>
      </c>
      <c r="Q20" s="8">
        <f>0.9</f>
        <v>0.9</v>
      </c>
      <c r="R20" s="12">
        <f>2.4257</f>
        <v>2.4257</v>
      </c>
      <c r="S20" s="6" t="s">
        <v>33</v>
      </c>
      <c r="T20" s="9">
        <f>H20*R20*(1+O20)*(1+N20)*P20*Q20*1.5*(1+(2.78*J20)/(J20+1400)+0.15)</f>
        <v>43179.158706164329</v>
      </c>
    </row>
    <row r="22" spans="1:21" x14ac:dyDescent="0.25">
      <c r="A22" s="6" t="s">
        <v>8</v>
      </c>
      <c r="B22" s="6" t="s">
        <v>9</v>
      </c>
      <c r="C22" s="6" t="s">
        <v>10</v>
      </c>
      <c r="D22" s="6" t="s">
        <v>11</v>
      </c>
      <c r="E22" s="7" t="s">
        <v>12</v>
      </c>
      <c r="F22" s="8" t="s">
        <v>13</v>
      </c>
      <c r="G22" s="8" t="s">
        <v>14</v>
      </c>
      <c r="H22" s="9" t="s">
        <v>15</v>
      </c>
      <c r="I22" s="10" t="s">
        <v>16</v>
      </c>
      <c r="J22" s="11" t="s">
        <v>37</v>
      </c>
      <c r="K22" s="12" t="s">
        <v>18</v>
      </c>
      <c r="L22" s="12" t="s">
        <v>19</v>
      </c>
      <c r="M22" s="13" t="s">
        <v>20</v>
      </c>
      <c r="N22" s="13" t="s">
        <v>21</v>
      </c>
      <c r="O22" s="12" t="s">
        <v>22</v>
      </c>
      <c r="P22" s="8" t="s">
        <v>23</v>
      </c>
      <c r="Q22" s="8" t="s">
        <v>24</v>
      </c>
      <c r="R22" s="12" t="s">
        <v>25</v>
      </c>
      <c r="S22" s="6" t="s">
        <v>26</v>
      </c>
      <c r="T22" s="9" t="s">
        <v>27</v>
      </c>
    </row>
    <row r="23" spans="1:21" x14ac:dyDescent="0.25">
      <c r="A23" s="6" t="s">
        <v>38</v>
      </c>
      <c r="B23" s="6" t="s">
        <v>39</v>
      </c>
      <c r="C23" s="6" t="s">
        <v>40</v>
      </c>
      <c r="D23" s="6" t="s">
        <v>41</v>
      </c>
      <c r="E23" s="7" t="s">
        <v>42</v>
      </c>
      <c r="F23" s="8">
        <v>202</v>
      </c>
      <c r="G23" s="8">
        <v>565</v>
      </c>
      <c r="H23" s="9">
        <f>(F23+G23)*(1+0.3+0.24)+311</f>
        <v>1492.18</v>
      </c>
      <c r="I23" s="10">
        <f>10331*(1+0.466+0.05*6)+4780</f>
        <v>23024.545999999998</v>
      </c>
      <c r="J23" s="14">
        <f>1+0.518+0.2+0.306+0.2</f>
        <v>2.2240000000000002</v>
      </c>
      <c r="K23" s="12">
        <f>0</f>
        <v>0</v>
      </c>
      <c r="L23" s="12">
        <f>0</f>
        <v>0</v>
      </c>
      <c r="M23" s="13">
        <v>0.7</v>
      </c>
      <c r="N23" s="13" t="s">
        <v>43</v>
      </c>
      <c r="O23" s="12">
        <f>0</f>
        <v>0</v>
      </c>
      <c r="P23" s="8">
        <f t="shared" ref="P23:P28" si="0">0.5</f>
        <v>0.5</v>
      </c>
      <c r="Q23" s="8">
        <f t="shared" ref="Q23:Q28" si="1">0.9</f>
        <v>0.9</v>
      </c>
      <c r="R23" s="12" t="s">
        <v>44</v>
      </c>
      <c r="S23" s="6" t="s">
        <v>45</v>
      </c>
      <c r="T23" s="9">
        <f>39.2%*I23+4829</f>
        <v>13854.622031999999</v>
      </c>
    </row>
    <row r="24" spans="1:21" x14ac:dyDescent="0.25">
      <c r="A24" s="6" t="s">
        <v>38</v>
      </c>
      <c r="B24" s="6" t="s">
        <v>46</v>
      </c>
      <c r="C24" s="6" t="s">
        <v>40</v>
      </c>
      <c r="D24" s="6" t="s">
        <v>47</v>
      </c>
      <c r="E24" s="7" t="s">
        <v>42</v>
      </c>
      <c r="F24" s="8">
        <v>202</v>
      </c>
      <c r="G24" s="8">
        <v>354</v>
      </c>
      <c r="H24" s="9">
        <f>(F24+G24)*(1+0.3+0.24)+311</f>
        <v>1167.24</v>
      </c>
      <c r="I24" s="10">
        <f>10331*(1+0.466*2+0.469+0.05*8)+4780</f>
        <v>33717.130999999994</v>
      </c>
      <c r="J24" s="14">
        <f>1+0.518+0.2+0.2</f>
        <v>1.9179999999999999</v>
      </c>
      <c r="K24" s="12">
        <f>0</f>
        <v>0</v>
      </c>
      <c r="L24" s="12">
        <v>0</v>
      </c>
      <c r="M24" s="13" t="s">
        <v>43</v>
      </c>
      <c r="N24" s="13" t="s">
        <v>43</v>
      </c>
      <c r="O24" s="12">
        <v>0</v>
      </c>
      <c r="P24" s="8">
        <f t="shared" si="0"/>
        <v>0.5</v>
      </c>
      <c r="Q24" s="8">
        <f t="shared" si="1"/>
        <v>0.9</v>
      </c>
      <c r="R24" s="12" t="s">
        <v>44</v>
      </c>
      <c r="S24" s="6" t="s">
        <v>45</v>
      </c>
      <c r="T24" s="9">
        <f>39.2%*I24+4829</f>
        <v>18046.115352000001</v>
      </c>
    </row>
    <row r="26" spans="1:21" x14ac:dyDescent="0.25">
      <c r="A26" s="6" t="s">
        <v>8</v>
      </c>
      <c r="B26" s="6" t="s">
        <v>9</v>
      </c>
      <c r="C26" s="6" t="s">
        <v>10</v>
      </c>
      <c r="D26" s="6" t="s">
        <v>11</v>
      </c>
      <c r="E26" s="7" t="s">
        <v>12</v>
      </c>
      <c r="F26" s="8" t="s">
        <v>13</v>
      </c>
      <c r="G26" s="8" t="s">
        <v>14</v>
      </c>
      <c r="H26" s="9" t="s">
        <v>15</v>
      </c>
      <c r="K26" s="12" t="s">
        <v>18</v>
      </c>
      <c r="L26" s="12" t="s">
        <v>19</v>
      </c>
      <c r="M26" s="13" t="s">
        <v>20</v>
      </c>
      <c r="N26" s="13" t="s">
        <v>21</v>
      </c>
      <c r="O26" s="12" t="s">
        <v>22</v>
      </c>
      <c r="P26" s="8" t="s">
        <v>23</v>
      </c>
      <c r="Q26" s="8" t="s">
        <v>24</v>
      </c>
      <c r="R26" s="12" t="s">
        <v>25</v>
      </c>
      <c r="S26" s="6" t="s">
        <v>26</v>
      </c>
      <c r="T26" s="9" t="s">
        <v>27</v>
      </c>
    </row>
    <row r="27" spans="1:21" x14ac:dyDescent="0.25">
      <c r="A27" s="6" t="s">
        <v>48</v>
      </c>
      <c r="B27" s="6" t="s">
        <v>49</v>
      </c>
      <c r="C27" s="6" t="s">
        <v>30</v>
      </c>
      <c r="D27" s="6" t="s">
        <v>50</v>
      </c>
      <c r="E27" s="7" t="s">
        <v>51</v>
      </c>
      <c r="F27" s="8">
        <v>323</v>
      </c>
      <c r="G27" s="8">
        <f>608</f>
        <v>608</v>
      </c>
      <c r="H27" s="9">
        <f>(F27+G27)*(1+0.3+0.466+0.2+0.18)+311</f>
        <v>2308.9259999999999</v>
      </c>
      <c r="K27" s="12">
        <f>19.2%</f>
        <v>0.192</v>
      </c>
      <c r="L27" s="12">
        <f>66.2%</f>
        <v>0.66200000000000003</v>
      </c>
      <c r="M27" s="13">
        <v>0.8</v>
      </c>
      <c r="N27" s="13">
        <f>63.55%*2+K27+L27/2+3.1%*2</f>
        <v>1.8559999999999999</v>
      </c>
      <c r="O27" s="12">
        <f>0.466+0.4+0.5</f>
        <v>1.3660000000000001</v>
      </c>
      <c r="P27" s="8">
        <f t="shared" si="0"/>
        <v>0.5</v>
      </c>
      <c r="Q27" s="8">
        <f t="shared" si="1"/>
        <v>0.9</v>
      </c>
      <c r="R27" s="12">
        <v>0.63590000000000002</v>
      </c>
      <c r="S27" s="6" t="s">
        <v>52</v>
      </c>
      <c r="T27" s="9">
        <f>H27*R27*(1+O27)*(1+N27)*P27*Q27*1.5879</f>
        <v>7089.3667669624356</v>
      </c>
      <c r="U27" s="9"/>
    </row>
    <row r="28" spans="1:21" x14ac:dyDescent="0.25">
      <c r="A28" s="6" t="s">
        <v>48</v>
      </c>
      <c r="B28" s="6" t="s">
        <v>53</v>
      </c>
      <c r="C28" s="6" t="s">
        <v>30</v>
      </c>
      <c r="D28" s="6" t="s">
        <v>50</v>
      </c>
      <c r="E28" s="7" t="s">
        <v>51</v>
      </c>
      <c r="F28" s="8">
        <v>323</v>
      </c>
      <c r="G28" s="8">
        <v>510</v>
      </c>
      <c r="H28" s="9">
        <f>(F28+G28)*(1+0.3+0.466+0.413+0.18)+311</f>
        <v>2276.047</v>
      </c>
      <c r="K28" s="12">
        <f>19.2%</f>
        <v>0.192</v>
      </c>
      <c r="L28" s="12">
        <f>0</f>
        <v>0</v>
      </c>
      <c r="M28" s="13">
        <f>60.25%+K28/2+L28/4</f>
        <v>0.69850000000000001</v>
      </c>
      <c r="N28" s="13">
        <f>60.25%*2+K28+L28/2</f>
        <v>1.397</v>
      </c>
      <c r="O28" s="12">
        <f>0.466+0.5+0.8</f>
        <v>1.766</v>
      </c>
      <c r="P28" s="8">
        <f t="shared" si="0"/>
        <v>0.5</v>
      </c>
      <c r="Q28" s="8">
        <f t="shared" si="1"/>
        <v>0.9</v>
      </c>
      <c r="R28" s="12">
        <v>0.63590000000000002</v>
      </c>
      <c r="S28" s="6" t="s">
        <v>52</v>
      </c>
      <c r="T28" s="9">
        <f>H28*R28*(1+O28)*(1+N28)*P28*Q28*1.5879</f>
        <v>6856.8701182019595</v>
      </c>
      <c r="U28" s="9"/>
    </row>
    <row r="30" spans="1:21" x14ac:dyDescent="0.25">
      <c r="A30" s="6" t="s">
        <v>8</v>
      </c>
      <c r="B30" s="6" t="s">
        <v>9</v>
      </c>
      <c r="C30" s="6" t="s">
        <v>10</v>
      </c>
      <c r="D30" s="6" t="s">
        <v>11</v>
      </c>
      <c r="E30" s="7" t="s">
        <v>12</v>
      </c>
      <c r="F30" s="8" t="s">
        <v>13</v>
      </c>
      <c r="G30" s="8" t="s">
        <v>14</v>
      </c>
      <c r="H30" s="9" t="s">
        <v>15</v>
      </c>
      <c r="I30" s="10" t="s">
        <v>17</v>
      </c>
      <c r="K30" s="12" t="s">
        <v>18</v>
      </c>
      <c r="L30" s="12" t="s">
        <v>19</v>
      </c>
      <c r="M30" s="13" t="s">
        <v>20</v>
      </c>
      <c r="N30" s="13" t="s">
        <v>21</v>
      </c>
      <c r="O30" s="12" t="s">
        <v>22</v>
      </c>
      <c r="P30" s="8" t="s">
        <v>23</v>
      </c>
      <c r="Q30" s="8" t="s">
        <v>24</v>
      </c>
      <c r="R30" s="12" t="s">
        <v>25</v>
      </c>
      <c r="S30" s="6" t="s">
        <v>26</v>
      </c>
      <c r="T30" s="9" t="s">
        <v>27</v>
      </c>
    </row>
    <row r="31" spans="1:21" x14ac:dyDescent="0.25">
      <c r="A31" s="6" t="s">
        <v>54</v>
      </c>
      <c r="B31" s="6" t="s">
        <v>55</v>
      </c>
      <c r="C31" s="6" t="s">
        <v>56</v>
      </c>
      <c r="D31" s="6" t="s">
        <v>50</v>
      </c>
      <c r="E31" s="7" t="s">
        <v>57</v>
      </c>
      <c r="F31" s="8">
        <v>240</v>
      </c>
      <c r="G31" s="8">
        <f>608</f>
        <v>608</v>
      </c>
      <c r="H31" s="9">
        <f>(F31+G31)*(1+0.3+0.466)+311</f>
        <v>1808.568</v>
      </c>
      <c r="I31" s="10">
        <f>80+80</f>
        <v>160</v>
      </c>
      <c r="K31" s="12">
        <f>33.1%</f>
        <v>0.33100000000000002</v>
      </c>
      <c r="L31" s="12">
        <f>0</f>
        <v>0</v>
      </c>
      <c r="M31" s="13">
        <f t="shared" ref="M31:M36" si="2">60.25%+K31/2+L31/4</f>
        <v>0.76800000000000002</v>
      </c>
      <c r="N31" s="13">
        <f t="shared" ref="N31:N36" si="3">60.25%*2+K31+L31/2</f>
        <v>1.536</v>
      </c>
      <c r="O31" s="12">
        <f>0.466+0.35+0.4+0.6+0.24+0.2</f>
        <v>2.2560000000000002</v>
      </c>
      <c r="P31" s="8">
        <f t="shared" ref="P31:P36" si="4">0.5</f>
        <v>0.5</v>
      </c>
      <c r="Q31" s="8">
        <f t="shared" ref="Q31:Q36" si="5">0.9</f>
        <v>0.9</v>
      </c>
      <c r="R31" s="12">
        <v>2.7292000000000001</v>
      </c>
      <c r="S31" s="6" t="s">
        <v>58</v>
      </c>
      <c r="T31" s="9">
        <f>H31*R31*(1+O31)*(1+N31)*P31*Q31*1.5*(1+(2.78*I31)/(I31+1400))</f>
        <v>35355.263513504397</v>
      </c>
    </row>
    <row r="32" spans="1:21" x14ac:dyDescent="0.25">
      <c r="A32" s="6" t="s">
        <v>54</v>
      </c>
      <c r="B32" s="6" t="s">
        <v>59</v>
      </c>
      <c r="C32" s="6" t="s">
        <v>56</v>
      </c>
      <c r="D32" s="6" t="s">
        <v>50</v>
      </c>
      <c r="E32" s="7" t="s">
        <v>57</v>
      </c>
      <c r="F32" s="8">
        <v>240</v>
      </c>
      <c r="G32" s="8">
        <v>510</v>
      </c>
      <c r="H32" s="9">
        <f>(F32+G32)*(1+0.3+0.466)+311</f>
        <v>1635.5</v>
      </c>
      <c r="I32" s="10">
        <f>80+80+480</f>
        <v>640</v>
      </c>
      <c r="K32" s="12">
        <f>0</f>
        <v>0</v>
      </c>
      <c r="L32" s="12">
        <f>55.1%</f>
        <v>0.55100000000000005</v>
      </c>
      <c r="M32" s="13">
        <f t="shared" si="2"/>
        <v>0.74025000000000007</v>
      </c>
      <c r="N32" s="13">
        <f t="shared" si="3"/>
        <v>1.4805000000000001</v>
      </c>
      <c r="O32" s="12">
        <f>0.466+0.35+0.6+0.24+0.2</f>
        <v>1.8559999999999999</v>
      </c>
      <c r="P32" s="8">
        <f t="shared" si="4"/>
        <v>0.5</v>
      </c>
      <c r="Q32" s="8">
        <f t="shared" si="5"/>
        <v>0.9</v>
      </c>
      <c r="R32" s="12">
        <v>2.7292000000000001</v>
      </c>
      <c r="S32" s="6" t="s">
        <v>58</v>
      </c>
      <c r="T32" s="9">
        <f>H32*R32*(1+O32)*(1+N32)*P32*Q32*1.5*(1+(2.78*I32)/(I32+1400))</f>
        <v>39960.356366790358</v>
      </c>
    </row>
    <row r="33" spans="1:20" x14ac:dyDescent="0.25">
      <c r="T33" s="7"/>
    </row>
    <row r="34" spans="1:20" x14ac:dyDescent="0.25">
      <c r="A34" s="6" t="s">
        <v>8</v>
      </c>
      <c r="B34" s="6" t="s">
        <v>9</v>
      </c>
      <c r="C34" s="6" t="s">
        <v>10</v>
      </c>
      <c r="D34" s="6" t="s">
        <v>11</v>
      </c>
      <c r="E34" s="7" t="s">
        <v>12</v>
      </c>
      <c r="F34" s="8" t="s">
        <v>13</v>
      </c>
      <c r="G34" s="8" t="s">
        <v>14</v>
      </c>
      <c r="H34" s="9" t="s">
        <v>15</v>
      </c>
      <c r="I34" s="10" t="s">
        <v>17</v>
      </c>
      <c r="K34" s="12" t="s">
        <v>18</v>
      </c>
      <c r="L34" s="12" t="s">
        <v>19</v>
      </c>
      <c r="M34" s="13" t="s">
        <v>20</v>
      </c>
      <c r="N34" s="13" t="s">
        <v>21</v>
      </c>
      <c r="O34" s="12" t="s">
        <v>22</v>
      </c>
      <c r="P34" s="8" t="s">
        <v>23</v>
      </c>
      <c r="Q34" s="8" t="s">
        <v>24</v>
      </c>
      <c r="R34" s="12" t="s">
        <v>25</v>
      </c>
      <c r="S34" s="6" t="s">
        <v>26</v>
      </c>
      <c r="T34" s="9" t="s">
        <v>27</v>
      </c>
    </row>
    <row r="35" spans="1:20" x14ac:dyDescent="0.25">
      <c r="A35" s="6" t="s">
        <v>60</v>
      </c>
      <c r="B35" s="6" t="s">
        <v>55</v>
      </c>
      <c r="C35" s="6" t="s">
        <v>36</v>
      </c>
      <c r="D35" s="6" t="s">
        <v>50</v>
      </c>
      <c r="E35" s="7" t="s">
        <v>32</v>
      </c>
      <c r="F35" s="8">
        <v>311</v>
      </c>
      <c r="G35" s="8">
        <f>608</f>
        <v>608</v>
      </c>
      <c r="H35" s="9">
        <f>(F35+G35)*(1+0.3+0.466)+311</f>
        <v>1933.954</v>
      </c>
      <c r="I35" s="10">
        <f>80</f>
        <v>80</v>
      </c>
      <c r="K35" s="12">
        <f>33.1%</f>
        <v>0.33100000000000002</v>
      </c>
      <c r="L35" s="12">
        <f t="shared" ref="L35:L40" si="6">0</f>
        <v>0</v>
      </c>
      <c r="M35" s="13">
        <f t="shared" si="2"/>
        <v>0.76800000000000002</v>
      </c>
      <c r="N35" s="13">
        <f t="shared" si="3"/>
        <v>1.536</v>
      </c>
      <c r="O35" s="12">
        <f>0.466+0.3+0.288+0.4+0.5</f>
        <v>1.9540000000000002</v>
      </c>
      <c r="P35" s="8">
        <f t="shared" si="4"/>
        <v>0.5</v>
      </c>
      <c r="Q35" s="8">
        <f t="shared" si="5"/>
        <v>0.9</v>
      </c>
      <c r="R35" s="12">
        <v>2.8325</v>
      </c>
      <c r="S35" s="6" t="s">
        <v>61</v>
      </c>
      <c r="T35" s="9">
        <f t="shared" ref="T35:T40" si="7">H35*R35*(1+O35)*(1+N35)*P35*Q35*1.5*(1+(2.78*I35)/(I35+1400)+0.15)</f>
        <v>36017.470103856205</v>
      </c>
    </row>
    <row r="36" spans="1:20" x14ac:dyDescent="0.25">
      <c r="A36" s="6" t="s">
        <v>60</v>
      </c>
      <c r="B36" s="6" t="s">
        <v>59</v>
      </c>
      <c r="C36" s="6" t="s">
        <v>36</v>
      </c>
      <c r="D36" s="6" t="s">
        <v>50</v>
      </c>
      <c r="E36" s="7" t="s">
        <v>32</v>
      </c>
      <c r="F36" s="8">
        <v>311</v>
      </c>
      <c r="G36" s="8">
        <v>510</v>
      </c>
      <c r="H36" s="9">
        <f>(F36+G36)*(1+0.3+0.466)+311</f>
        <v>1760.886</v>
      </c>
      <c r="I36" s="10">
        <f>80+480</f>
        <v>560</v>
      </c>
      <c r="K36" s="12">
        <f>0</f>
        <v>0</v>
      </c>
      <c r="L36" s="12">
        <f>55.1%</f>
        <v>0.55100000000000005</v>
      </c>
      <c r="M36" s="13">
        <f t="shared" si="2"/>
        <v>0.74025000000000007</v>
      </c>
      <c r="N36" s="13">
        <f t="shared" si="3"/>
        <v>1.4805000000000001</v>
      </c>
      <c r="O36" s="12">
        <f>0.466+0.3+0.5+0.288</f>
        <v>1.554</v>
      </c>
      <c r="P36" s="8">
        <f t="shared" si="4"/>
        <v>0.5</v>
      </c>
      <c r="Q36" s="8">
        <f t="shared" si="5"/>
        <v>0.9</v>
      </c>
      <c r="R36" s="12">
        <v>2.8325</v>
      </c>
      <c r="S36" s="6" t="s">
        <v>61</v>
      </c>
      <c r="T36" s="9">
        <f t="shared" si="7"/>
        <v>41469.150744674822</v>
      </c>
    </row>
    <row r="37" spans="1:20" x14ac:dyDescent="0.25">
      <c r="T37" s="7"/>
    </row>
    <row r="38" spans="1:20" x14ac:dyDescent="0.25">
      <c r="A38" s="6" t="s">
        <v>8</v>
      </c>
      <c r="B38" s="6" t="s">
        <v>9</v>
      </c>
      <c r="C38" s="6" t="s">
        <v>10</v>
      </c>
      <c r="D38" s="6" t="s">
        <v>11</v>
      </c>
      <c r="E38" s="7" t="s">
        <v>12</v>
      </c>
      <c r="F38" s="8" t="s">
        <v>13</v>
      </c>
      <c r="G38" s="8" t="s">
        <v>14</v>
      </c>
      <c r="H38" s="9" t="s">
        <v>15</v>
      </c>
      <c r="I38" s="10" t="s">
        <v>17</v>
      </c>
      <c r="K38" s="12" t="s">
        <v>18</v>
      </c>
      <c r="L38" s="12" t="s">
        <v>19</v>
      </c>
      <c r="M38" s="13" t="s">
        <v>20</v>
      </c>
      <c r="N38" s="13" t="s">
        <v>21</v>
      </c>
      <c r="O38" s="12" t="s">
        <v>22</v>
      </c>
      <c r="P38" s="8" t="s">
        <v>23</v>
      </c>
      <c r="Q38" s="8" t="s">
        <v>24</v>
      </c>
      <c r="R38" s="12" t="s">
        <v>25</v>
      </c>
      <c r="S38" s="6" t="s">
        <v>26</v>
      </c>
      <c r="T38" s="9" t="s">
        <v>27</v>
      </c>
    </row>
    <row r="39" spans="1:20" x14ac:dyDescent="0.25">
      <c r="A39" s="6" t="s">
        <v>62</v>
      </c>
      <c r="B39" s="6" t="s">
        <v>63</v>
      </c>
      <c r="C39" s="6" t="s">
        <v>36</v>
      </c>
      <c r="D39" s="6" t="s">
        <v>34</v>
      </c>
      <c r="E39" s="7" t="s">
        <v>32</v>
      </c>
      <c r="F39" s="8">
        <v>335</v>
      </c>
      <c r="G39" s="8">
        <f>608</f>
        <v>608</v>
      </c>
      <c r="H39" s="9">
        <f>(F39+G39)*(1+0.3+0.496+0.2)+311</f>
        <v>2193.2280000000001</v>
      </c>
      <c r="I39" s="10">
        <f>80+187</f>
        <v>267</v>
      </c>
      <c r="K39" s="12">
        <f>19.2%</f>
        <v>0.192</v>
      </c>
      <c r="L39" s="12">
        <f t="shared" si="6"/>
        <v>0</v>
      </c>
      <c r="M39" s="13">
        <f>60.25%+K39/2+L39/4</f>
        <v>0.69850000000000001</v>
      </c>
      <c r="N39" s="13">
        <f>60.25%*2+K39+L39/2</f>
        <v>1.397</v>
      </c>
      <c r="O39" s="12">
        <f>0.466+0.375+0.2</f>
        <v>1.0409999999999999</v>
      </c>
      <c r="P39" s="8">
        <f t="shared" ref="P39:P46" si="8">0.5</f>
        <v>0.5</v>
      </c>
      <c r="Q39" s="8">
        <f>0.9</f>
        <v>0.9</v>
      </c>
      <c r="R39" s="12">
        <v>3.2639999999999998</v>
      </c>
      <c r="S39" s="6" t="s">
        <v>64</v>
      </c>
      <c r="T39" s="9">
        <f t="shared" si="7"/>
        <v>37712.220998901008</v>
      </c>
    </row>
    <row r="40" spans="1:20" x14ac:dyDescent="0.25">
      <c r="A40" s="6" t="s">
        <v>62</v>
      </c>
      <c r="B40" s="6" t="s">
        <v>65</v>
      </c>
      <c r="C40" s="6" t="s">
        <v>36</v>
      </c>
      <c r="D40" s="6" t="s">
        <v>50</v>
      </c>
      <c r="E40" s="7" t="s">
        <v>32</v>
      </c>
      <c r="F40" s="8">
        <v>335</v>
      </c>
      <c r="G40" s="8">
        <v>510</v>
      </c>
      <c r="H40" s="9">
        <f>(F40+G40)*(1+0.3+0.466)+311</f>
        <v>1803.27</v>
      </c>
      <c r="I40" s="10">
        <f>80</f>
        <v>80</v>
      </c>
      <c r="K40" s="12">
        <f>19.2%+27.6%</f>
        <v>0.46800000000000003</v>
      </c>
      <c r="L40" s="12">
        <f t="shared" si="6"/>
        <v>0</v>
      </c>
      <c r="M40" s="13">
        <f>60.25%+K40/2+L40/4</f>
        <v>0.83650000000000002</v>
      </c>
      <c r="N40" s="13">
        <f>60.25%*2+K40+L40/2</f>
        <v>1.673</v>
      </c>
      <c r="O40" s="12">
        <f>0.466+0.375+0.2+0.4</f>
        <v>1.4409999999999998</v>
      </c>
      <c r="P40" s="8">
        <f t="shared" si="8"/>
        <v>0.5</v>
      </c>
      <c r="Q40" s="8">
        <f>0.9</f>
        <v>0.9</v>
      </c>
      <c r="R40" s="12">
        <v>3.2639999999999998</v>
      </c>
      <c r="S40" s="6" t="s">
        <v>64</v>
      </c>
      <c r="T40" s="9">
        <f t="shared" si="7"/>
        <v>33706.608095392454</v>
      </c>
    </row>
    <row r="42" spans="1:20" x14ac:dyDescent="0.25">
      <c r="A42" s="6" t="s">
        <v>8</v>
      </c>
      <c r="B42" s="6" t="s">
        <v>9</v>
      </c>
      <c r="C42" s="6" t="s">
        <v>10</v>
      </c>
      <c r="D42" s="6" t="s">
        <v>11</v>
      </c>
      <c r="E42" s="7" t="s">
        <v>12</v>
      </c>
      <c r="F42" s="8" t="s">
        <v>13</v>
      </c>
      <c r="G42" s="8" t="s">
        <v>14</v>
      </c>
      <c r="H42" s="9" t="s">
        <v>15</v>
      </c>
      <c r="I42" s="10" t="s">
        <v>66</v>
      </c>
      <c r="K42" s="12" t="s">
        <v>18</v>
      </c>
      <c r="L42" s="12" t="s">
        <v>19</v>
      </c>
      <c r="M42" s="13" t="s">
        <v>20</v>
      </c>
      <c r="N42" s="13" t="s">
        <v>21</v>
      </c>
      <c r="O42" s="12" t="s">
        <v>22</v>
      </c>
      <c r="P42" s="8" t="s">
        <v>23</v>
      </c>
      <c r="Q42" s="8" t="s">
        <v>24</v>
      </c>
      <c r="R42" s="12" t="s">
        <v>25</v>
      </c>
      <c r="S42" s="6" t="s">
        <v>26</v>
      </c>
      <c r="T42" s="9" t="s">
        <v>27</v>
      </c>
    </row>
    <row r="43" spans="1:20" x14ac:dyDescent="0.25">
      <c r="A43" s="6" t="s">
        <v>67</v>
      </c>
      <c r="B43" s="6" t="s">
        <v>68</v>
      </c>
      <c r="C43" s="6" t="s">
        <v>69</v>
      </c>
      <c r="D43" s="6" t="s">
        <v>70</v>
      </c>
      <c r="E43" s="7" t="s">
        <v>71</v>
      </c>
      <c r="F43" s="8">
        <v>249</v>
      </c>
      <c r="G43" s="8">
        <f>608</f>
        <v>608</v>
      </c>
      <c r="H43" s="9">
        <f>(F43+G43)*(1+0.3+0.496+0.4+0.24+0.466)+311</f>
        <v>2798.0140000000001</v>
      </c>
      <c r="I43" s="10">
        <f>799*(1+0.3)</f>
        <v>1038.7</v>
      </c>
      <c r="K43" s="12">
        <f>0</f>
        <v>0</v>
      </c>
      <c r="L43" s="12">
        <f>0</f>
        <v>0</v>
      </c>
      <c r="M43" s="13">
        <f>60.25%+K43/2+L43/4</f>
        <v>0.60250000000000004</v>
      </c>
      <c r="N43" s="13">
        <f>60.25%*2+K43+L43/2</f>
        <v>1.2050000000000001</v>
      </c>
      <c r="O43" s="12">
        <f>0.583+0.5</f>
        <v>1.083</v>
      </c>
      <c r="P43" s="8">
        <f t="shared" si="8"/>
        <v>0.5</v>
      </c>
      <c r="Q43" s="8">
        <v>1.0249999999999999</v>
      </c>
      <c r="R43" s="12">
        <v>7.2420000000000009</v>
      </c>
      <c r="S43" s="6" t="s">
        <v>72</v>
      </c>
      <c r="T43" s="9">
        <f>H43*R43*(1+O43)*(1+N43)*P43*Q43</f>
        <v>47697.996473314233</v>
      </c>
    </row>
    <row r="44" spans="1:20" x14ac:dyDescent="0.25">
      <c r="A44" s="6" t="s">
        <v>67</v>
      </c>
      <c r="B44" s="6" t="s">
        <v>73</v>
      </c>
      <c r="C44" s="6" t="s">
        <v>69</v>
      </c>
      <c r="D44" s="6" t="s">
        <v>70</v>
      </c>
      <c r="E44" s="7" t="s">
        <v>71</v>
      </c>
      <c r="F44" s="8">
        <v>249</v>
      </c>
      <c r="G44" s="8">
        <v>510</v>
      </c>
      <c r="H44" s="9">
        <f>(F44+G44)*(1+0.3+0.36+0.466)+311</f>
        <v>1924.6340000000002</v>
      </c>
      <c r="I44" s="10">
        <f>799*(1+0.3+0.517+0.36)</f>
        <v>1739.423</v>
      </c>
      <c r="K44" s="12">
        <f>0</f>
        <v>0</v>
      </c>
      <c r="L44" s="12">
        <f>0</f>
        <v>0</v>
      </c>
      <c r="M44" s="13">
        <f>60.25%+K44/2+L44/4</f>
        <v>0.60250000000000004</v>
      </c>
      <c r="N44" s="13">
        <f>60.25%*2+K44+L44/2</f>
        <v>1.2050000000000001</v>
      </c>
      <c r="O44" s="12">
        <f>0.583+0.5</f>
        <v>1.083</v>
      </c>
      <c r="P44" s="8">
        <f t="shared" si="8"/>
        <v>0.5</v>
      </c>
      <c r="Q44" s="8">
        <v>1.0249999999999999</v>
      </c>
      <c r="R44" s="12">
        <v>7.2420000000000009</v>
      </c>
      <c r="S44" s="6" t="s">
        <v>72</v>
      </c>
      <c r="T44" s="9">
        <f>H44*R44*(1+O44)*(1+N44)*P44*Q44</f>
        <v>32809.409010970165</v>
      </c>
    </row>
    <row r="45" spans="1:20" x14ac:dyDescent="0.25">
      <c r="A45" s="6" t="s">
        <v>67</v>
      </c>
      <c r="B45" s="6" t="s">
        <v>74</v>
      </c>
      <c r="C45" s="6" t="s">
        <v>75</v>
      </c>
      <c r="D45" s="6" t="s">
        <v>76</v>
      </c>
      <c r="E45" s="7" t="s">
        <v>77</v>
      </c>
      <c r="F45" s="8">
        <v>249</v>
      </c>
      <c r="G45" s="8">
        <v>565</v>
      </c>
      <c r="H45" s="9">
        <f>(F45+G45)*(1+0.3+0.24+0.2)+311</f>
        <v>1727.36</v>
      </c>
      <c r="I45" s="10">
        <f>799*(1+0.3+0.36+0.583*3)</f>
        <v>2723.7909999999997</v>
      </c>
      <c r="K45" s="12">
        <f>0</f>
        <v>0</v>
      </c>
      <c r="L45" s="12">
        <f>0</f>
        <v>0</v>
      </c>
      <c r="M45" s="13" t="s">
        <v>43</v>
      </c>
      <c r="N45" s="13" t="s">
        <v>43</v>
      </c>
      <c r="O45" s="12">
        <f>0.583+0.5</f>
        <v>1.083</v>
      </c>
      <c r="P45" s="8">
        <f t="shared" si="8"/>
        <v>0.5</v>
      </c>
      <c r="Q45" s="8">
        <v>1.0249999999999999</v>
      </c>
      <c r="R45" s="12">
        <v>3.2639999999999998</v>
      </c>
      <c r="S45" s="6" t="s">
        <v>78</v>
      </c>
      <c r="T45" s="9">
        <f>1773+288%*I45</f>
        <v>9617.518079999998</v>
      </c>
    </row>
    <row r="46" spans="1:20" x14ac:dyDescent="0.25">
      <c r="A46" s="6" t="s">
        <v>67</v>
      </c>
      <c r="B46" s="6" t="s">
        <v>73</v>
      </c>
      <c r="C46" s="6" t="s">
        <v>75</v>
      </c>
      <c r="D46" s="6" t="s">
        <v>76</v>
      </c>
      <c r="E46" s="7" t="s">
        <v>77</v>
      </c>
      <c r="F46" s="8">
        <v>249</v>
      </c>
      <c r="G46" s="8">
        <v>510</v>
      </c>
      <c r="H46" s="9">
        <f>(F46+G46)*(1+0.3+0.24+0.36+0.2)+311</f>
        <v>1904.9</v>
      </c>
      <c r="I46" s="10">
        <f>799*(1+0.3+0.517+0.36+0.583*3)</f>
        <v>3136.8740000000003</v>
      </c>
      <c r="K46" s="12">
        <f>0</f>
        <v>0</v>
      </c>
      <c r="L46" s="12">
        <f>0</f>
        <v>0</v>
      </c>
      <c r="M46" s="13" t="s">
        <v>43</v>
      </c>
      <c r="N46" s="13" t="s">
        <v>43</v>
      </c>
      <c r="O46" s="12">
        <f>0.583+0.5</f>
        <v>1.083</v>
      </c>
      <c r="P46" s="8">
        <f t="shared" si="8"/>
        <v>0.5</v>
      </c>
      <c r="Q46" s="8">
        <v>1.0249999999999999</v>
      </c>
      <c r="R46" s="12">
        <v>3.2639999999999998</v>
      </c>
      <c r="S46" s="6" t="s">
        <v>78</v>
      </c>
      <c r="T46" s="9">
        <f>1773+288%*I46</f>
        <v>10807.197120000001</v>
      </c>
    </row>
    <row r="48" spans="1:20" x14ac:dyDescent="0.25">
      <c r="A48" s="6" t="s">
        <v>8</v>
      </c>
      <c r="B48" s="6" t="s">
        <v>9</v>
      </c>
      <c r="C48" s="6" t="s">
        <v>10</v>
      </c>
      <c r="D48" s="6" t="s">
        <v>11</v>
      </c>
      <c r="E48" s="7" t="s">
        <v>12</v>
      </c>
      <c r="F48" s="8" t="s">
        <v>13</v>
      </c>
      <c r="G48" s="8" t="s">
        <v>14</v>
      </c>
      <c r="H48" s="9" t="s">
        <v>15</v>
      </c>
      <c r="I48" s="10" t="s">
        <v>17</v>
      </c>
      <c r="K48" s="12" t="s">
        <v>18</v>
      </c>
      <c r="L48" s="12" t="s">
        <v>19</v>
      </c>
      <c r="M48" s="13" t="s">
        <v>20</v>
      </c>
      <c r="N48" s="13" t="s">
        <v>21</v>
      </c>
      <c r="O48" s="12" t="s">
        <v>22</v>
      </c>
      <c r="P48" s="8" t="s">
        <v>23</v>
      </c>
      <c r="Q48" s="8" t="s">
        <v>24</v>
      </c>
      <c r="R48" s="12" t="s">
        <v>25</v>
      </c>
      <c r="S48" s="6" t="s">
        <v>26</v>
      </c>
      <c r="T48" s="9" t="s">
        <v>27</v>
      </c>
    </row>
    <row r="49" spans="1:20" x14ac:dyDescent="0.25">
      <c r="A49" s="6" t="s">
        <v>79</v>
      </c>
      <c r="B49" s="6" t="s">
        <v>80</v>
      </c>
      <c r="C49" s="6" t="s">
        <v>81</v>
      </c>
      <c r="D49" s="6" t="s">
        <v>50</v>
      </c>
      <c r="E49" s="7" t="s">
        <v>82</v>
      </c>
      <c r="F49" s="8">
        <v>223</v>
      </c>
      <c r="G49" s="8">
        <f>608</f>
        <v>608</v>
      </c>
      <c r="H49" s="9">
        <f>(F49+G49)*(1+0.3+0.24+0.466+0.2+0.2)+311</f>
        <v>2310.3860000000004</v>
      </c>
      <c r="I49" s="10">
        <f>80+160</f>
        <v>240</v>
      </c>
      <c r="K49" s="12">
        <f>0</f>
        <v>0</v>
      </c>
      <c r="L49" s="12">
        <f t="shared" ref="L49:L58" si="9">0</f>
        <v>0</v>
      </c>
      <c r="M49" s="13">
        <f t="shared" ref="M49:M56" si="10">60.25%+K49/2+L49/4</f>
        <v>0.60250000000000004</v>
      </c>
      <c r="N49" s="13">
        <f>60.25%*2+K49+L49/2</f>
        <v>1.2050000000000001</v>
      </c>
      <c r="O49" s="12">
        <f>0.466+0.2</f>
        <v>0.66600000000000004</v>
      </c>
      <c r="P49" s="8">
        <f t="shared" ref="P49:P58" si="11">0.5</f>
        <v>0.5</v>
      </c>
      <c r="Q49" s="8">
        <f t="shared" ref="Q49:Q58" si="12">0.9</f>
        <v>0.9</v>
      </c>
      <c r="R49" s="12">
        <v>10.1088</v>
      </c>
      <c r="S49" s="6" t="s">
        <v>83</v>
      </c>
      <c r="T49" s="9">
        <f>H49*R49*(1+O49)*(1+N49)*P49*Q49</f>
        <v>38608.262122565131</v>
      </c>
    </row>
    <row r="50" spans="1:20" x14ac:dyDescent="0.25">
      <c r="A50" s="6" t="s">
        <v>79</v>
      </c>
      <c r="B50" s="6" t="s">
        <v>84</v>
      </c>
      <c r="C50" s="6" t="s">
        <v>56</v>
      </c>
      <c r="D50" s="6" t="s">
        <v>50</v>
      </c>
      <c r="E50" s="7" t="s">
        <v>82</v>
      </c>
      <c r="F50" s="8">
        <v>223</v>
      </c>
      <c r="G50" s="8">
        <v>608</v>
      </c>
      <c r="H50" s="9">
        <f>(F50+G50)*(1+0.3+0.466+0.24+0.496)+311</f>
        <v>2390.1620000000003</v>
      </c>
      <c r="I50" s="10">
        <f>80+80</f>
        <v>160</v>
      </c>
      <c r="K50" s="12">
        <f>0</f>
        <v>0</v>
      </c>
      <c r="L50" s="12">
        <f t="shared" si="9"/>
        <v>0</v>
      </c>
      <c r="M50" s="13">
        <f t="shared" si="10"/>
        <v>0.60250000000000004</v>
      </c>
      <c r="N50" s="13">
        <f>60.25%*2+K50+L50/2</f>
        <v>1.2050000000000001</v>
      </c>
      <c r="O50" s="12">
        <f>0.466+0.35+0.12+0.4</f>
        <v>1.3360000000000001</v>
      </c>
      <c r="P50" s="8">
        <f t="shared" si="11"/>
        <v>0.5</v>
      </c>
      <c r="Q50" s="8">
        <f t="shared" si="12"/>
        <v>0.9</v>
      </c>
      <c r="R50" s="12">
        <v>2.2319999999999998</v>
      </c>
      <c r="S50" s="6" t="s">
        <v>85</v>
      </c>
      <c r="T50" s="9">
        <f>H50*R50*(1+O50)*(1+N50)*P50*Q50*1.5*(1+(2.78*I50)/(I50+1400)+0.15)</f>
        <v>26619.349153055431</v>
      </c>
    </row>
    <row r="52" spans="1:20" x14ac:dyDescent="0.25">
      <c r="A52" s="6" t="s">
        <v>8</v>
      </c>
      <c r="B52" s="6" t="s">
        <v>9</v>
      </c>
      <c r="C52" s="6" t="s">
        <v>10</v>
      </c>
      <c r="D52" s="6" t="s">
        <v>11</v>
      </c>
      <c r="E52" s="7" t="s">
        <v>12</v>
      </c>
      <c r="F52" s="8" t="s">
        <v>13</v>
      </c>
      <c r="G52" s="8" t="s">
        <v>14</v>
      </c>
      <c r="H52" s="9" t="s">
        <v>15</v>
      </c>
      <c r="I52" s="10" t="s">
        <v>17</v>
      </c>
      <c r="J52" s="14" t="s">
        <v>37</v>
      </c>
      <c r="K52" s="12" t="s">
        <v>18</v>
      </c>
      <c r="L52" s="12" t="s">
        <v>19</v>
      </c>
      <c r="M52" s="13" t="s">
        <v>20</v>
      </c>
      <c r="N52" s="13" t="s">
        <v>21</v>
      </c>
      <c r="O52" s="12" t="s">
        <v>22</v>
      </c>
      <c r="P52" s="8" t="s">
        <v>23</v>
      </c>
      <c r="Q52" s="8" t="s">
        <v>24</v>
      </c>
      <c r="R52" s="12" t="s">
        <v>25</v>
      </c>
      <c r="S52" s="6" t="s">
        <v>26</v>
      </c>
      <c r="T52" s="9" t="s">
        <v>27</v>
      </c>
    </row>
    <row r="53" spans="1:20" x14ac:dyDescent="0.25">
      <c r="A53" s="6" t="s">
        <v>86</v>
      </c>
      <c r="B53" s="11" t="s">
        <v>87</v>
      </c>
      <c r="C53" s="6" t="s">
        <v>88</v>
      </c>
      <c r="D53" s="11" t="s">
        <v>89</v>
      </c>
      <c r="E53" s="7" t="s">
        <v>90</v>
      </c>
      <c r="F53" s="8">
        <v>225</v>
      </c>
      <c r="G53" s="8">
        <v>608</v>
      </c>
      <c r="H53" s="9">
        <f>(F53+G53)*(1+0.3+0.25+0.28*(J53-1))+311</f>
        <v>1936.61616</v>
      </c>
      <c r="I53" s="10">
        <f>60+96</f>
        <v>156</v>
      </c>
      <c r="J53" s="14">
        <f>1+0.2+5.5%*3+0.551+0.518</f>
        <v>2.4340000000000002</v>
      </c>
      <c r="K53" s="12">
        <v>0</v>
      </c>
      <c r="L53" s="12">
        <f t="shared" si="9"/>
        <v>0</v>
      </c>
      <c r="M53" s="13">
        <f>60.25%+K53/2+L53/4</f>
        <v>0.60250000000000004</v>
      </c>
      <c r="N53" s="13">
        <f t="shared" ref="N53:N58" si="13">60.25%*2+K53+L53/2</f>
        <v>1.2050000000000001</v>
      </c>
      <c r="O53" s="12">
        <f>0.466+0.25*J53</f>
        <v>1.0745</v>
      </c>
      <c r="P53" s="8">
        <f t="shared" si="11"/>
        <v>0.5</v>
      </c>
      <c r="Q53" s="8">
        <f t="shared" si="12"/>
        <v>0.9</v>
      </c>
      <c r="R53" s="12">
        <v>2.38</v>
      </c>
      <c r="S53" s="6" t="s">
        <v>91</v>
      </c>
      <c r="T53" s="9">
        <f>(H53+1202)*R53*(1+O53)*(1+N53)*P53*Q53*1.5*(1+(2.78*I53)/(I53+1400))</f>
        <v>29492.705296855122</v>
      </c>
    </row>
    <row r="54" spans="1:20" x14ac:dyDescent="0.25">
      <c r="A54" s="6" t="s">
        <v>86</v>
      </c>
      <c r="B54" s="11" t="s">
        <v>87</v>
      </c>
      <c r="C54" s="6" t="s">
        <v>88</v>
      </c>
      <c r="D54" s="6" t="s">
        <v>34</v>
      </c>
      <c r="E54" s="7" t="s">
        <v>90</v>
      </c>
      <c r="F54" s="8">
        <v>225</v>
      </c>
      <c r="G54" s="8">
        <v>608</v>
      </c>
      <c r="H54" s="9">
        <f>(F54+G54)*(1+0.3+0.25+0.28*(J54-1))+311</f>
        <v>1815.7978400000002</v>
      </c>
      <c r="I54" s="10">
        <f>60+96+187</f>
        <v>343</v>
      </c>
      <c r="J54" s="14">
        <f>1+0.2+5.5%*3+0.551</f>
        <v>1.9159999999999999</v>
      </c>
      <c r="K54" s="12">
        <v>0</v>
      </c>
      <c r="L54" s="12">
        <f t="shared" si="9"/>
        <v>0</v>
      </c>
      <c r="M54" s="13">
        <f>60.25%+K54/2+L54/4</f>
        <v>0.60250000000000004</v>
      </c>
      <c r="N54" s="13">
        <f t="shared" si="13"/>
        <v>1.2050000000000001</v>
      </c>
      <c r="O54" s="12">
        <f>0.466+0.25*J54</f>
        <v>0.94500000000000006</v>
      </c>
      <c r="P54" s="8">
        <f t="shared" si="11"/>
        <v>0.5</v>
      </c>
      <c r="Q54" s="8">
        <f t="shared" si="12"/>
        <v>0.9</v>
      </c>
      <c r="R54" s="12">
        <v>2.38</v>
      </c>
      <c r="S54" s="6" t="s">
        <v>91</v>
      </c>
      <c r="T54" s="9">
        <f>(H54+1202)*R54*(1+O54)*(1+N54)*P54*Q54*1.5*(1+(2.78*I54)/(I54+1400))</f>
        <v>32166.85138111173</v>
      </c>
    </row>
    <row r="55" spans="1:20" x14ac:dyDescent="0.25">
      <c r="A55" s="6" t="s">
        <v>86</v>
      </c>
      <c r="B55" s="6" t="s">
        <v>92</v>
      </c>
      <c r="C55" s="6" t="s">
        <v>88</v>
      </c>
      <c r="D55" s="6" t="s">
        <v>89</v>
      </c>
      <c r="E55" s="7" t="s">
        <v>90</v>
      </c>
      <c r="F55" s="8">
        <v>225</v>
      </c>
      <c r="G55" s="8">
        <v>674</v>
      </c>
      <c r="H55" s="9">
        <f>(F55+G55)*(1+0.3+0.25)+311</f>
        <v>1704.45</v>
      </c>
      <c r="I55" s="10">
        <f>60+96</f>
        <v>156</v>
      </c>
      <c r="J55" s="14">
        <f>1+0.518+0.2+0.368+5.5%*3</f>
        <v>2.2509999999999999</v>
      </c>
      <c r="K55" s="12">
        <v>0.08</v>
      </c>
      <c r="L55" s="12">
        <f t="shared" si="9"/>
        <v>0</v>
      </c>
      <c r="M55" s="13">
        <f t="shared" si="10"/>
        <v>0.64250000000000007</v>
      </c>
      <c r="N55" s="13">
        <f t="shared" si="13"/>
        <v>1.2850000000000001</v>
      </c>
      <c r="O55" s="12">
        <f>0.466+0.25*J55</f>
        <v>1.0287500000000001</v>
      </c>
      <c r="P55" s="8">
        <f t="shared" si="11"/>
        <v>0.5</v>
      </c>
      <c r="Q55" s="8">
        <f t="shared" si="12"/>
        <v>0.9</v>
      </c>
      <c r="R55" s="12">
        <v>2.38</v>
      </c>
      <c r="S55" s="6" t="s">
        <v>91</v>
      </c>
      <c r="T55" s="9">
        <f>2996*R55*(1+O55)*(1+N55)*P55*Q55*1.5*(1+(2.78*I55)/(I55+1400))</f>
        <v>28530.600854572553</v>
      </c>
    </row>
    <row r="56" spans="1:20" x14ac:dyDescent="0.25">
      <c r="A56" s="6" t="s">
        <v>86</v>
      </c>
      <c r="B56" s="6" t="s">
        <v>92</v>
      </c>
      <c r="C56" s="6" t="s">
        <v>88</v>
      </c>
      <c r="D56" s="6" t="s">
        <v>34</v>
      </c>
      <c r="E56" s="7" t="s">
        <v>90</v>
      </c>
      <c r="F56" s="8">
        <v>225</v>
      </c>
      <c r="G56" s="8">
        <v>674</v>
      </c>
      <c r="H56" s="9">
        <f>(F56+G56)*(1+0.3+0.25)+311</f>
        <v>1704.45</v>
      </c>
      <c r="I56" s="10">
        <f>60+96+187</f>
        <v>343</v>
      </c>
      <c r="J56" s="14">
        <f>1+0.2+0.368+5.5%*3</f>
        <v>1.7330000000000001</v>
      </c>
      <c r="K56" s="12">
        <v>0.08</v>
      </c>
      <c r="L56" s="12">
        <f t="shared" si="9"/>
        <v>0</v>
      </c>
      <c r="M56" s="13">
        <f t="shared" si="10"/>
        <v>0.64250000000000007</v>
      </c>
      <c r="N56" s="13">
        <f t="shared" si="13"/>
        <v>1.2850000000000001</v>
      </c>
      <c r="O56" s="12">
        <f>0.466+0.25*J56</f>
        <v>0.8992500000000001</v>
      </c>
      <c r="P56" s="8">
        <f t="shared" si="11"/>
        <v>0.5</v>
      </c>
      <c r="Q56" s="8">
        <f t="shared" si="12"/>
        <v>0.9</v>
      </c>
      <c r="R56" s="12">
        <v>2.38</v>
      </c>
      <c r="S56" s="6" t="s">
        <v>91</v>
      </c>
      <c r="T56" s="9">
        <f>2996*R56*(1+O56)*(1+N56)*P56*Q56*1.5*(1+(2.78*I56)/(I56+1400))</f>
        <v>32314.717098039797</v>
      </c>
    </row>
    <row r="57" spans="1:20" x14ac:dyDescent="0.25">
      <c r="A57" s="6" t="s">
        <v>86</v>
      </c>
      <c r="B57" s="6" t="s">
        <v>93</v>
      </c>
      <c r="C57" s="6" t="s">
        <v>88</v>
      </c>
      <c r="D57" s="6" t="s">
        <v>89</v>
      </c>
      <c r="E57" s="7" t="s">
        <v>90</v>
      </c>
      <c r="F57" s="8">
        <v>225</v>
      </c>
      <c r="G57" s="8">
        <v>510</v>
      </c>
      <c r="H57" s="9">
        <f>(F57+G57)*(1+0.3+0.25)+311</f>
        <v>1450.25</v>
      </c>
      <c r="I57" s="10">
        <f>60+96</f>
        <v>156</v>
      </c>
      <c r="J57" s="14">
        <f>1+0.518+0.2+0.459+5.5%*3</f>
        <v>2.3420000000000001</v>
      </c>
      <c r="K57" s="12">
        <f>12%</f>
        <v>0.12</v>
      </c>
      <c r="L57" s="12">
        <f t="shared" si="9"/>
        <v>0</v>
      </c>
      <c r="M57" s="13">
        <f>60.25%+K57/2+L57/4-12%</f>
        <v>0.54250000000000009</v>
      </c>
      <c r="N57" s="13">
        <f t="shared" si="13"/>
        <v>1.3250000000000002</v>
      </c>
      <c r="O57" s="12">
        <f>0.466+0.25*J57+0.32</f>
        <v>1.3715000000000002</v>
      </c>
      <c r="P57" s="8">
        <f t="shared" si="11"/>
        <v>0.5</v>
      </c>
      <c r="Q57" s="8">
        <f t="shared" si="12"/>
        <v>0.9</v>
      </c>
      <c r="R57" s="12">
        <v>2.38</v>
      </c>
      <c r="S57" s="6" t="s">
        <v>91</v>
      </c>
      <c r="T57" s="9">
        <f>2726*R57*(1+O57)*(1+N57)*P57*Q57*1.5*(1+(2.78*I57)/(I57+1400))</f>
        <v>30876.375181652355</v>
      </c>
    </row>
    <row r="58" spans="1:20" x14ac:dyDescent="0.25">
      <c r="A58" s="6" t="s">
        <v>86</v>
      </c>
      <c r="B58" s="6" t="s">
        <v>93</v>
      </c>
      <c r="C58" s="6" t="s">
        <v>88</v>
      </c>
      <c r="D58" s="6" t="s">
        <v>34</v>
      </c>
      <c r="E58" s="7" t="s">
        <v>90</v>
      </c>
      <c r="F58" s="8">
        <v>225</v>
      </c>
      <c r="G58" s="8">
        <v>510</v>
      </c>
      <c r="H58" s="9">
        <f>(F58+G58)*(1+0.3+0.25)+311</f>
        <v>1450.25</v>
      </c>
      <c r="I58" s="10">
        <f>60+96+187</f>
        <v>343</v>
      </c>
      <c r="J58" s="14">
        <f>1+0.2+0.459+5.5%*3</f>
        <v>1.8240000000000001</v>
      </c>
      <c r="K58" s="12">
        <f>12%</f>
        <v>0.12</v>
      </c>
      <c r="L58" s="12">
        <f t="shared" si="9"/>
        <v>0</v>
      </c>
      <c r="M58" s="13">
        <f>60.25%+K58/2+L58/4-12%</f>
        <v>0.54250000000000009</v>
      </c>
      <c r="N58" s="13">
        <f t="shared" si="13"/>
        <v>1.3250000000000002</v>
      </c>
      <c r="O58" s="12">
        <f>0.466+0.25*J58+0.32</f>
        <v>1.242</v>
      </c>
      <c r="P58" s="8">
        <f t="shared" si="11"/>
        <v>0.5</v>
      </c>
      <c r="Q58" s="8">
        <f t="shared" si="12"/>
        <v>0.9</v>
      </c>
      <c r="R58" s="12">
        <v>2.38</v>
      </c>
      <c r="S58" s="6" t="s">
        <v>91</v>
      </c>
      <c r="T58" s="9">
        <f>2726*R58*(1+O58)*(1+N58)*P58*Q58*1.5*(1+(2.78*I58)/(I58+1400))</f>
        <v>35316.253594138667</v>
      </c>
    </row>
    <row r="59" spans="1:20" x14ac:dyDescent="0.25">
      <c r="J59" s="14"/>
    </row>
    <row r="60" spans="1:20" x14ac:dyDescent="0.25">
      <c r="A60" s="6" t="s">
        <v>8</v>
      </c>
      <c r="B60" s="6" t="s">
        <v>9</v>
      </c>
      <c r="C60" s="6" t="s">
        <v>10</v>
      </c>
      <c r="D60" s="6" t="s">
        <v>11</v>
      </c>
      <c r="E60" s="7" t="s">
        <v>12</v>
      </c>
      <c r="F60" s="8" t="s">
        <v>13</v>
      </c>
      <c r="G60" s="8" t="s">
        <v>14</v>
      </c>
      <c r="H60" s="9" t="s">
        <v>15</v>
      </c>
      <c r="I60" s="10" t="s">
        <v>17</v>
      </c>
      <c r="J60" s="11" t="s">
        <v>37</v>
      </c>
      <c r="K60" s="12" t="s">
        <v>18</v>
      </c>
      <c r="L60" s="12" t="s">
        <v>19</v>
      </c>
      <c r="M60" s="13" t="s">
        <v>20</v>
      </c>
      <c r="N60" s="13" t="s">
        <v>21</v>
      </c>
      <c r="O60" s="12" t="s">
        <v>22</v>
      </c>
      <c r="P60" s="8" t="s">
        <v>23</v>
      </c>
      <c r="Q60" s="8" t="s">
        <v>24</v>
      </c>
      <c r="R60" s="12" t="s">
        <v>25</v>
      </c>
      <c r="S60" s="6" t="s">
        <v>26</v>
      </c>
      <c r="T60" s="9" t="s">
        <v>27</v>
      </c>
    </row>
    <row r="61" spans="1:20" x14ac:dyDescent="0.25">
      <c r="A61" s="6" t="s">
        <v>94</v>
      </c>
      <c r="B61" s="6" t="s">
        <v>95</v>
      </c>
      <c r="C61" s="6" t="s">
        <v>81</v>
      </c>
      <c r="D61" s="6" t="s">
        <v>89</v>
      </c>
      <c r="E61" s="7" t="s">
        <v>90</v>
      </c>
      <c r="F61" s="8">
        <v>191</v>
      </c>
      <c r="G61" s="8">
        <v>674</v>
      </c>
      <c r="H61" s="9">
        <f>(F61+G61)*(1+0.3+0.2)+311</f>
        <v>1608.5</v>
      </c>
      <c r="I61" s="10">
        <f>80</f>
        <v>80</v>
      </c>
      <c r="J61" s="14">
        <f>1+0.518+0.267+0.2</f>
        <v>1.9850000000000001</v>
      </c>
      <c r="K61" s="12">
        <v>0</v>
      </c>
      <c r="L61" s="12">
        <f>0</f>
        <v>0</v>
      </c>
      <c r="M61" s="13">
        <f>60.25%+K61/2+L61/4</f>
        <v>0.60250000000000004</v>
      </c>
      <c r="N61" s="13">
        <f>60.25%*2+K61+L61/2</f>
        <v>1.2050000000000001</v>
      </c>
      <c r="O61" s="12">
        <f>0.466+0.2</f>
        <v>0.66600000000000004</v>
      </c>
      <c r="P61" s="8">
        <f>0.5</f>
        <v>0.5</v>
      </c>
      <c r="Q61" s="8">
        <f>0.9</f>
        <v>0.9</v>
      </c>
      <c r="R61" s="12">
        <v>4.9470000000000001</v>
      </c>
      <c r="S61" s="6" t="s">
        <v>64</v>
      </c>
      <c r="T61" s="9">
        <f>(H61+1.39*(F61+G61))*R61*(1+O61)*(1+N61)*P61*Q61*1.5*(1+(2.78*I61)/(I61+1400))</f>
        <v>39661.290350547235</v>
      </c>
    </row>
    <row r="62" spans="1:20" x14ac:dyDescent="0.25">
      <c r="A62" s="6" t="s">
        <v>94</v>
      </c>
      <c r="B62" s="6" t="s">
        <v>96</v>
      </c>
      <c r="C62" s="6" t="s">
        <v>81</v>
      </c>
      <c r="D62" s="6" t="s">
        <v>89</v>
      </c>
      <c r="E62" s="7" t="s">
        <v>90</v>
      </c>
      <c r="F62" s="8">
        <v>191</v>
      </c>
      <c r="G62" s="8">
        <v>608</v>
      </c>
      <c r="H62" s="9">
        <f>(F62+G62)*(1+0.3)+311</f>
        <v>1349.7</v>
      </c>
      <c r="I62" s="10">
        <f>80</f>
        <v>80</v>
      </c>
      <c r="J62" s="14">
        <f>1+0.518+0.267+0.2+0.551</f>
        <v>2.536</v>
      </c>
      <c r="K62" s="12">
        <v>0.04</v>
      </c>
      <c r="L62" s="12">
        <f>0</f>
        <v>0</v>
      </c>
      <c r="M62" s="13">
        <f>60.25%+K62/2+L62/4</f>
        <v>0.62250000000000005</v>
      </c>
      <c r="N62" s="13">
        <f>60.25%*2+K62+L62/2</f>
        <v>1.2450000000000001</v>
      </c>
      <c r="O62" s="12">
        <f>0.466+0.2</f>
        <v>0.66600000000000004</v>
      </c>
      <c r="P62" s="8">
        <f>0.5</f>
        <v>0.5</v>
      </c>
      <c r="Q62" s="8">
        <f>0.9</f>
        <v>0.9</v>
      </c>
      <c r="R62" s="12">
        <v>4.9470000000000001</v>
      </c>
      <c r="S62" s="6" t="s">
        <v>64</v>
      </c>
      <c r="T62" s="9">
        <f>(H62+1.39*(F62+G62))*R62*(1+O62)*(1+N62)*P62*Q62*1.5*(1+(2.78*I62)/(I62+1400))</f>
        <v>35344.899624093778</v>
      </c>
    </row>
    <row r="64" spans="1:20" x14ac:dyDescent="0.25">
      <c r="A64" s="6" t="s">
        <v>8</v>
      </c>
      <c r="B64" s="6" t="s">
        <v>9</v>
      </c>
      <c r="C64" s="6" t="s">
        <v>10</v>
      </c>
      <c r="D64" s="6" t="s">
        <v>11</v>
      </c>
      <c r="E64" s="7" t="s">
        <v>12</v>
      </c>
      <c r="F64" s="8" t="s">
        <v>13</v>
      </c>
      <c r="G64" s="8" t="s">
        <v>14</v>
      </c>
      <c r="H64" s="9" t="s">
        <v>15</v>
      </c>
      <c r="I64" s="10" t="s">
        <v>97</v>
      </c>
      <c r="J64" s="11" t="s">
        <v>37</v>
      </c>
      <c r="K64" s="12" t="s">
        <v>18</v>
      </c>
      <c r="L64" s="12" t="s">
        <v>19</v>
      </c>
      <c r="M64" s="13" t="s">
        <v>20</v>
      </c>
      <c r="N64" s="13" t="s">
        <v>21</v>
      </c>
      <c r="O64" s="12" t="s">
        <v>22</v>
      </c>
      <c r="P64" s="8" t="s">
        <v>23</v>
      </c>
      <c r="Q64" s="8" t="s">
        <v>24</v>
      </c>
      <c r="R64" s="12" t="s">
        <v>25</v>
      </c>
      <c r="S64" s="6" t="s">
        <v>26</v>
      </c>
      <c r="T64" s="9" t="s">
        <v>27</v>
      </c>
    </row>
    <row r="65" spans="1:22" x14ac:dyDescent="0.25">
      <c r="A65" s="6" t="s">
        <v>94</v>
      </c>
      <c r="B65" s="6" t="s">
        <v>95</v>
      </c>
      <c r="C65" s="6" t="s">
        <v>98</v>
      </c>
      <c r="D65" s="6" t="s">
        <v>99</v>
      </c>
      <c r="E65" s="7" t="s">
        <v>90</v>
      </c>
      <c r="F65" s="8">
        <v>191</v>
      </c>
      <c r="G65" s="8">
        <v>674</v>
      </c>
      <c r="H65" s="9">
        <f>(F65+G65)*(1+0.2+0.2)+311</f>
        <v>1522</v>
      </c>
      <c r="I65" s="10">
        <f>12397*(1+0.466+0.3)+4780</f>
        <v>26673.101999999999</v>
      </c>
      <c r="J65" s="14">
        <f>1+0.518+0.267+0.2</f>
        <v>1.9850000000000001</v>
      </c>
      <c r="K65" s="12">
        <v>0</v>
      </c>
      <c r="L65" s="12">
        <f>0</f>
        <v>0</v>
      </c>
      <c r="M65" s="13" t="s">
        <v>43</v>
      </c>
      <c r="N65" s="13" t="s">
        <v>43</v>
      </c>
      <c r="O65" s="12" t="s">
        <v>44</v>
      </c>
      <c r="P65" s="8">
        <f t="shared" ref="P65:P78" si="14">0.5</f>
        <v>0.5</v>
      </c>
      <c r="Q65" s="8">
        <f>0.9</f>
        <v>0.9</v>
      </c>
      <c r="R65" s="12" t="s">
        <v>44</v>
      </c>
      <c r="S65" s="6" t="s">
        <v>100</v>
      </c>
      <c r="T65" s="9">
        <f>(1588+12.75%*I65)*(1+0.15+0.358+0.2)</f>
        <v>8520.9054225399996</v>
      </c>
    </row>
    <row r="66" spans="1:22" x14ac:dyDescent="0.25">
      <c r="A66" s="6" t="s">
        <v>94</v>
      </c>
      <c r="B66" s="6" t="s">
        <v>96</v>
      </c>
      <c r="C66" s="6" t="s">
        <v>98</v>
      </c>
      <c r="D66" s="6" t="s">
        <v>99</v>
      </c>
      <c r="E66" s="7" t="s">
        <v>90</v>
      </c>
      <c r="F66" s="8">
        <v>191</v>
      </c>
      <c r="G66" s="8">
        <v>608</v>
      </c>
      <c r="H66" s="9">
        <f>(F66+G66)*(1+0.2)+311</f>
        <v>1269.8</v>
      </c>
      <c r="I66" s="10">
        <f>12397*(1+0.466+0.3)+4780</f>
        <v>26673.101999999999</v>
      </c>
      <c r="J66" s="14">
        <f>1+0.518+0.267+0.2+0.551</f>
        <v>2.536</v>
      </c>
      <c r="K66" s="12">
        <v>0.04</v>
      </c>
      <c r="L66" s="12">
        <f>0</f>
        <v>0</v>
      </c>
      <c r="M66" s="13" t="s">
        <v>43</v>
      </c>
      <c r="N66" s="13" t="s">
        <v>43</v>
      </c>
      <c r="O66" s="12" t="s">
        <v>44</v>
      </c>
      <c r="P66" s="8">
        <f t="shared" si="14"/>
        <v>0.5</v>
      </c>
      <c r="Q66" s="8">
        <f>0.9</f>
        <v>0.9</v>
      </c>
      <c r="R66" s="12" t="s">
        <v>44</v>
      </c>
      <c r="S66" s="6" t="s">
        <v>100</v>
      </c>
      <c r="T66" s="9">
        <f>(1588+12.75%*I66)*(1+0.15+0.358+0.2)</f>
        <v>8520.9054225399996</v>
      </c>
    </row>
    <row r="68" spans="1:22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</row>
    <row r="69" spans="1:22" x14ac:dyDescent="0.25">
      <c r="A69" s="6" t="s">
        <v>8</v>
      </c>
      <c r="B69" s="6" t="s">
        <v>9</v>
      </c>
      <c r="C69" s="6" t="s">
        <v>10</v>
      </c>
      <c r="D69" s="6" t="s">
        <v>11</v>
      </c>
      <c r="E69" s="7" t="s">
        <v>12</v>
      </c>
      <c r="F69" s="8" t="s">
        <v>13</v>
      </c>
      <c r="G69" s="8" t="s">
        <v>14</v>
      </c>
      <c r="H69" s="10" t="s">
        <v>97</v>
      </c>
      <c r="I69" s="59" t="s">
        <v>392</v>
      </c>
      <c r="J69" s="14" t="s">
        <v>37</v>
      </c>
      <c r="K69" s="12" t="s">
        <v>18</v>
      </c>
      <c r="L69" s="12" t="s">
        <v>19</v>
      </c>
      <c r="M69" s="13" t="s">
        <v>20</v>
      </c>
      <c r="N69" s="13" t="s">
        <v>21</v>
      </c>
      <c r="O69" s="12" t="s">
        <v>22</v>
      </c>
      <c r="P69" s="8" t="s">
        <v>23</v>
      </c>
      <c r="Q69" s="8" t="s">
        <v>24</v>
      </c>
      <c r="R69" s="12" t="s">
        <v>25</v>
      </c>
      <c r="S69" s="6" t="s">
        <v>26</v>
      </c>
      <c r="T69" s="9" t="s">
        <v>27</v>
      </c>
      <c r="U69" s="62" t="s">
        <v>394</v>
      </c>
      <c r="V69" s="62" t="s">
        <v>396</v>
      </c>
    </row>
    <row r="70" spans="1:22" x14ac:dyDescent="0.25">
      <c r="A70" s="57" t="s">
        <v>388</v>
      </c>
      <c r="B70" s="57" t="s">
        <v>389</v>
      </c>
      <c r="C70" s="57" t="s">
        <v>395</v>
      </c>
      <c r="D70" s="16" t="s">
        <v>106</v>
      </c>
      <c r="E70" s="58" t="s">
        <v>391</v>
      </c>
      <c r="F70" s="8">
        <f>230</f>
        <v>230</v>
      </c>
      <c r="G70" s="8">
        <v>542</v>
      </c>
      <c r="H70" s="10">
        <f>15185*(1+0.288+0.466*3+0.25+0.2+0.662+0.2)+4780+250*5</f>
        <v>66739.63</v>
      </c>
      <c r="I70" s="10">
        <f>40+80</f>
        <v>120</v>
      </c>
      <c r="J70" s="14">
        <f>1+0.7</f>
        <v>1.7</v>
      </c>
      <c r="K70" s="12">
        <v>0</v>
      </c>
      <c r="L70" s="12">
        <v>0</v>
      </c>
      <c r="M70" s="13" t="s">
        <v>43</v>
      </c>
      <c r="N70" s="13" t="s">
        <v>43</v>
      </c>
      <c r="O70" s="12">
        <f>9%*(V70-30000)/1000</f>
        <v>3.6482292000000003</v>
      </c>
      <c r="P70" s="8">
        <f t="shared" si="14"/>
        <v>0.5</v>
      </c>
      <c r="Q70" s="8">
        <v>0.9</v>
      </c>
      <c r="R70" s="63">
        <f>1447*2</f>
        <v>2894</v>
      </c>
      <c r="S70" s="60" t="s">
        <v>393</v>
      </c>
      <c r="T70" s="9">
        <f>R70*Q70*(1+16*U70/(2000+U70)+9%*(V70-30000)/1000)</f>
        <v>22607.885348192329</v>
      </c>
      <c r="U70" s="64">
        <f>I70+100+80+0.56%*H70</f>
        <v>673.74192800000014</v>
      </c>
      <c r="V70" s="64">
        <f>15185*(1+0.288+0.466*3+0.25+0.2+0.662+0.2+0.25)+4780+250*5</f>
        <v>70535.88</v>
      </c>
    </row>
    <row r="71" spans="1:22" x14ac:dyDescent="0.25">
      <c r="A71" s="57" t="s">
        <v>388</v>
      </c>
      <c r="B71" s="57" t="s">
        <v>389</v>
      </c>
      <c r="C71" s="57" t="s">
        <v>395</v>
      </c>
      <c r="D71" s="16" t="s">
        <v>106</v>
      </c>
      <c r="E71" s="58" t="s">
        <v>391</v>
      </c>
      <c r="F71" s="8">
        <f>230</f>
        <v>230</v>
      </c>
      <c r="G71" s="8">
        <v>542</v>
      </c>
      <c r="H71" s="10">
        <f>15185*(1+0.288+0.466*3+0.25+0.2+0.662+0.2)+4780+250*5</f>
        <v>66739.63</v>
      </c>
      <c r="I71" s="10">
        <f>80+280</f>
        <v>360</v>
      </c>
      <c r="J71" s="14">
        <f>1+0.2</f>
        <v>1.2</v>
      </c>
      <c r="K71" s="12">
        <v>0</v>
      </c>
      <c r="L71" s="12">
        <v>0</v>
      </c>
      <c r="M71" s="13" t="s">
        <v>43</v>
      </c>
      <c r="N71" s="13" t="s">
        <v>43</v>
      </c>
      <c r="O71" s="12">
        <f>9%*(V71-30000)/1000</f>
        <v>3.6482292000000003</v>
      </c>
      <c r="P71" s="8">
        <f t="shared" si="14"/>
        <v>0.5</v>
      </c>
      <c r="Q71" s="8">
        <v>0.9</v>
      </c>
      <c r="R71" s="63">
        <f>1447*2</f>
        <v>2894</v>
      </c>
      <c r="S71" s="60" t="s">
        <v>393</v>
      </c>
      <c r="T71" s="9">
        <f>R71*Q71*(1+16*U71/(2000+U71)+9%*(V71-30000)/1000)</f>
        <v>25175.510885092877</v>
      </c>
      <c r="U71" s="64">
        <f>I71+100+80+0.56%*H71</f>
        <v>913.74192800000014</v>
      </c>
      <c r="V71" s="64">
        <f>15185*(1+0.288+0.466*3+0.25+0.2+0.662+0.2+0.25)+4780+250*5</f>
        <v>70535.88</v>
      </c>
    </row>
    <row r="72" spans="1:22" x14ac:dyDescent="0.25">
      <c r="A72" s="57" t="s">
        <v>388</v>
      </c>
      <c r="B72" s="57" t="s">
        <v>390</v>
      </c>
      <c r="C72" s="57" t="s">
        <v>395</v>
      </c>
      <c r="D72" s="16" t="s">
        <v>106</v>
      </c>
      <c r="E72" s="58" t="s">
        <v>391</v>
      </c>
      <c r="F72" s="8">
        <f>230</f>
        <v>230</v>
      </c>
      <c r="G72" s="8">
        <v>542</v>
      </c>
      <c r="H72" s="10">
        <f>15185*(1+0.288+0.466*3+0.25+0.2+0.2)+4780+250*5</f>
        <v>56687.16</v>
      </c>
      <c r="I72" s="10">
        <f>80+280</f>
        <v>360</v>
      </c>
      <c r="J72" s="14">
        <f>1+0.2</f>
        <v>1.2</v>
      </c>
      <c r="K72" s="12">
        <v>0</v>
      </c>
      <c r="L72" s="12">
        <v>0</v>
      </c>
      <c r="M72" s="13" t="s">
        <v>43</v>
      </c>
      <c r="N72" s="13" t="s">
        <v>43</v>
      </c>
      <c r="O72" s="12">
        <f>9%*(V72-30000)/1000</f>
        <v>2.7435069000000003</v>
      </c>
      <c r="P72" s="8">
        <f t="shared" si="14"/>
        <v>0.5</v>
      </c>
      <c r="Q72" s="8">
        <v>0.9</v>
      </c>
      <c r="R72" s="63">
        <f>1447*2</f>
        <v>2894</v>
      </c>
      <c r="S72" s="60" t="s">
        <v>393</v>
      </c>
      <c r="T72" s="9">
        <f>R72*Q72*(1+16*U72/(2000+U72)+9%*(V72-30000)/1000)</f>
        <v>18610.079804023466</v>
      </c>
      <c r="U72" s="64">
        <f>I72+100+80</f>
        <v>540</v>
      </c>
      <c r="V72" s="64">
        <f>15185*(1+0.288+0.466*3+0.25+0.2+0.25+0.2)+4780+250*5</f>
        <v>60483.41</v>
      </c>
    </row>
    <row r="73" spans="1:22" x14ac:dyDescent="0.25">
      <c r="A73" s="57" t="s">
        <v>388</v>
      </c>
      <c r="B73" s="57" t="s">
        <v>397</v>
      </c>
      <c r="C73" s="57" t="s">
        <v>395</v>
      </c>
      <c r="D73" s="16" t="s">
        <v>106</v>
      </c>
      <c r="E73" s="58" t="s">
        <v>391</v>
      </c>
      <c r="F73" s="8">
        <f>230</f>
        <v>230</v>
      </c>
      <c r="G73" s="8">
        <v>510</v>
      </c>
      <c r="H73" s="10">
        <f>15185*(1+0.288+0.466*3+0.25+0.2)+4780+250*5</f>
        <v>53650.16</v>
      </c>
      <c r="I73" s="10">
        <f>80+280+165</f>
        <v>525</v>
      </c>
      <c r="J73" s="14">
        <f>1+0.2+0.072%*I73</f>
        <v>1.5779999999999998</v>
      </c>
      <c r="K73" s="12">
        <v>0</v>
      </c>
      <c r="L73" s="12">
        <v>0</v>
      </c>
      <c r="M73" s="13" t="s">
        <v>43</v>
      </c>
      <c r="N73" s="13" t="s">
        <v>43</v>
      </c>
      <c r="O73" s="12">
        <f>9%*(V73-30000)/1000</f>
        <v>2.4701769000000002</v>
      </c>
      <c r="P73" s="8">
        <f t="shared" si="14"/>
        <v>0.5</v>
      </c>
      <c r="Q73" s="8">
        <v>0.9</v>
      </c>
      <c r="R73" s="63">
        <f>1447*2</f>
        <v>2894</v>
      </c>
      <c r="S73" s="60" t="s">
        <v>393</v>
      </c>
      <c r="T73" s="9">
        <f>R73*Q73*(1+16*U73/(2000+U73)+9%*(V73-30000)/1000)</f>
        <v>19899.749186272347</v>
      </c>
      <c r="U73" s="64">
        <f>I73+100+80</f>
        <v>705</v>
      </c>
      <c r="V73" s="64">
        <f>15185*(1+0.288+0.466*3+0.25+0.2+0.25)+4780+250*5</f>
        <v>57446.41</v>
      </c>
    </row>
    <row r="74" spans="1:22" x14ac:dyDescent="0.25">
      <c r="A74" s="16"/>
      <c r="B74" s="16"/>
      <c r="C74" s="16"/>
      <c r="D74" s="16"/>
      <c r="E74" s="17"/>
      <c r="J74" s="14"/>
      <c r="S74" s="11"/>
    </row>
    <row r="75" spans="1:22" x14ac:dyDescent="0.25">
      <c r="A75" s="6" t="s">
        <v>8</v>
      </c>
      <c r="B75" s="6" t="s">
        <v>9</v>
      </c>
      <c r="C75" s="6" t="s">
        <v>10</v>
      </c>
      <c r="D75" s="6" t="s">
        <v>11</v>
      </c>
      <c r="E75" s="7" t="s">
        <v>12</v>
      </c>
      <c r="F75" s="8" t="s">
        <v>13</v>
      </c>
      <c r="G75" s="8" t="s">
        <v>14</v>
      </c>
      <c r="H75" s="9" t="s">
        <v>15</v>
      </c>
      <c r="I75" s="10" t="s">
        <v>97</v>
      </c>
      <c r="J75" s="14" t="s">
        <v>37</v>
      </c>
      <c r="K75" s="12" t="s">
        <v>18</v>
      </c>
      <c r="L75" s="12" t="s">
        <v>19</v>
      </c>
      <c r="M75" s="13" t="s">
        <v>20</v>
      </c>
      <c r="N75" s="13" t="s">
        <v>21</v>
      </c>
      <c r="O75" s="12" t="s">
        <v>22</v>
      </c>
      <c r="P75" s="8" t="s">
        <v>23</v>
      </c>
      <c r="Q75" s="8" t="s">
        <v>24</v>
      </c>
      <c r="R75" s="12" t="s">
        <v>25</v>
      </c>
      <c r="S75" s="6" t="s">
        <v>26</v>
      </c>
      <c r="T75" s="9" t="s">
        <v>27</v>
      </c>
    </row>
    <row r="76" spans="1:22" x14ac:dyDescent="0.25">
      <c r="A76" s="16" t="s">
        <v>101</v>
      </c>
      <c r="B76" s="16" t="s">
        <v>39</v>
      </c>
      <c r="C76" s="16" t="s">
        <v>81</v>
      </c>
      <c r="D76" s="16" t="s">
        <v>102</v>
      </c>
      <c r="E76" s="17" t="s">
        <v>103</v>
      </c>
      <c r="F76" s="8">
        <v>212</v>
      </c>
      <c r="G76" s="8">
        <v>565</v>
      </c>
      <c r="H76" s="9">
        <f>(F76+G76)*(1)+311</f>
        <v>1088</v>
      </c>
      <c r="I76" s="10">
        <f>10875*(1+0.3+0.466*2+0.24)+4780</f>
        <v>31663.000000000004</v>
      </c>
      <c r="J76" s="14">
        <f>1+0.6+0.306</f>
        <v>1.9060000000000001</v>
      </c>
      <c r="K76" s="12">
        <v>0</v>
      </c>
      <c r="L76" s="12">
        <v>0</v>
      </c>
      <c r="M76" s="13">
        <v>0.5</v>
      </c>
      <c r="N76" s="13">
        <v>0.6</v>
      </c>
      <c r="O76" s="12">
        <v>0.2</v>
      </c>
      <c r="P76" s="8">
        <f t="shared" si="14"/>
        <v>0.5</v>
      </c>
      <c r="Q76" s="8">
        <v>0.9</v>
      </c>
      <c r="R76" s="12">
        <v>0.12560000000000002</v>
      </c>
      <c r="S76" s="11" t="s">
        <v>104</v>
      </c>
      <c r="T76" s="9">
        <f>(I76*R76)*(1+O76)*(1+N76)*P76*Q76</f>
        <v>3436.018099200001</v>
      </c>
    </row>
    <row r="77" spans="1:22" x14ac:dyDescent="0.25">
      <c r="A77" s="16" t="s">
        <v>101</v>
      </c>
      <c r="B77" s="16" t="s">
        <v>105</v>
      </c>
      <c r="C77" s="16" t="s">
        <v>81</v>
      </c>
      <c r="D77" s="16" t="s">
        <v>106</v>
      </c>
      <c r="E77" s="17" t="s">
        <v>103</v>
      </c>
      <c r="F77" s="8">
        <v>212</v>
      </c>
      <c r="G77" s="8">
        <v>565</v>
      </c>
      <c r="H77" s="9">
        <f>(F77+G77)*(1)+311</f>
        <v>1088</v>
      </c>
      <c r="I77" s="10">
        <f>10875*(1+0.25+0.466*3+0.24)+4780</f>
        <v>36187</v>
      </c>
      <c r="J77" s="14">
        <f>1+0.7</f>
        <v>1.7</v>
      </c>
      <c r="K77" s="12">
        <v>0</v>
      </c>
      <c r="L77" s="12">
        <v>0</v>
      </c>
      <c r="M77" s="13" t="s">
        <v>43</v>
      </c>
      <c r="N77" s="13" t="s">
        <v>43</v>
      </c>
      <c r="O77" s="12">
        <v>0.2</v>
      </c>
      <c r="P77" s="8">
        <f t="shared" si="14"/>
        <v>0.5</v>
      </c>
      <c r="Q77" s="8">
        <v>0.9</v>
      </c>
      <c r="R77" s="12">
        <v>0.12560000000000002</v>
      </c>
      <c r="S77" s="11" t="s">
        <v>104</v>
      </c>
      <c r="T77" s="9">
        <f>(I77*R77)*(1+O77)*(1+0.5)*P77*Q77</f>
        <v>3681.5206320000002</v>
      </c>
    </row>
    <row r="78" spans="1:22" x14ac:dyDescent="0.25">
      <c r="A78" s="16" t="s">
        <v>101</v>
      </c>
      <c r="B78" s="16" t="s">
        <v>46</v>
      </c>
      <c r="C78" s="16" t="s">
        <v>81</v>
      </c>
      <c r="D78" s="16" t="s">
        <v>47</v>
      </c>
      <c r="E78" s="17" t="s">
        <v>103</v>
      </c>
      <c r="F78" s="8">
        <v>212</v>
      </c>
      <c r="G78" s="8">
        <v>354</v>
      </c>
      <c r="H78" s="9">
        <f>(F78+G78)*(1)+311</f>
        <v>877</v>
      </c>
      <c r="I78" s="10">
        <f>10875*(1+0.3+0.466*2+0.469+0.24)+4780</f>
        <v>36763.375</v>
      </c>
      <c r="J78" s="14">
        <f>1+0.55+0.518</f>
        <v>2.0680000000000001</v>
      </c>
      <c r="K78" s="12">
        <v>0</v>
      </c>
      <c r="L78" s="12">
        <v>0</v>
      </c>
      <c r="M78" s="13" t="s">
        <v>43</v>
      </c>
      <c r="N78" s="13" t="s">
        <v>43</v>
      </c>
      <c r="O78" s="12">
        <v>0.2</v>
      </c>
      <c r="P78" s="8">
        <f t="shared" si="14"/>
        <v>0.5</v>
      </c>
      <c r="Q78" s="8">
        <v>0.9</v>
      </c>
      <c r="R78" s="12">
        <v>0.12560000000000002</v>
      </c>
      <c r="S78" s="11" t="s">
        <v>104</v>
      </c>
      <c r="T78" s="9">
        <f>(I78*R78)*(1+O78)*(1+0.5)*P78*Q78</f>
        <v>3740.1587190000005</v>
      </c>
    </row>
    <row r="79" spans="1:2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2" x14ac:dyDescent="0.25">
      <c r="A80" s="6" t="s">
        <v>8</v>
      </c>
      <c r="B80" s="6" t="s">
        <v>9</v>
      </c>
      <c r="C80" s="6" t="s">
        <v>10</v>
      </c>
      <c r="D80" s="6" t="s">
        <v>11</v>
      </c>
      <c r="E80" s="7" t="s">
        <v>12</v>
      </c>
      <c r="F80" s="8" t="s">
        <v>13</v>
      </c>
      <c r="G80" s="8" t="s">
        <v>14</v>
      </c>
      <c r="H80" s="9" t="s">
        <v>15</v>
      </c>
      <c r="I80" s="10" t="s">
        <v>107</v>
      </c>
      <c r="J80" s="14" t="s">
        <v>37</v>
      </c>
      <c r="K80" s="12" t="s">
        <v>18</v>
      </c>
      <c r="L80" s="12" t="s">
        <v>19</v>
      </c>
      <c r="M80" s="13" t="s">
        <v>20</v>
      </c>
      <c r="N80" s="13" t="s">
        <v>21</v>
      </c>
      <c r="O80" s="12" t="s">
        <v>22</v>
      </c>
      <c r="P80" s="8" t="s">
        <v>23</v>
      </c>
      <c r="Q80" s="8" t="s">
        <v>24</v>
      </c>
      <c r="R80" s="12" t="s">
        <v>25</v>
      </c>
      <c r="S80" s="6" t="s">
        <v>26</v>
      </c>
      <c r="T80" s="9" t="s">
        <v>27</v>
      </c>
      <c r="U80" s="22"/>
    </row>
    <row r="81" spans="1:22" x14ac:dyDescent="0.25">
      <c r="A81" s="16" t="s">
        <v>108</v>
      </c>
      <c r="B81" s="16" t="s">
        <v>109</v>
      </c>
      <c r="C81" s="16" t="s">
        <v>110</v>
      </c>
      <c r="D81" s="16" t="s">
        <v>111</v>
      </c>
      <c r="E81" s="17" t="s">
        <v>112</v>
      </c>
      <c r="F81" s="8">
        <v>244</v>
      </c>
      <c r="G81" s="8">
        <v>542</v>
      </c>
      <c r="H81" s="9">
        <f>(F81+G81)*(1+0.2)+311</f>
        <v>1254.1999999999998</v>
      </c>
      <c r="I81" s="10">
        <f>14450*(1+0.3+0.16+0.18)+4780</f>
        <v>28478</v>
      </c>
      <c r="J81" s="14">
        <f>1+0.2+0.2+0.518</f>
        <v>1.9179999999999999</v>
      </c>
      <c r="K81" s="12">
        <v>0.192</v>
      </c>
      <c r="L81" s="12">
        <v>0.88200000000000001</v>
      </c>
      <c r="M81" s="13">
        <f>60.25%+K81/2+L81/4-11.9%</f>
        <v>0.8</v>
      </c>
      <c r="N81" s="13">
        <f>60.25%*2+K81+L81/2+11.9%*2</f>
        <v>2.0760000000000001</v>
      </c>
      <c r="O81" s="12">
        <f>0.466+0.25*J81+0.2</f>
        <v>1.1455</v>
      </c>
      <c r="P81" s="8">
        <f>0.5</f>
        <v>0.5</v>
      </c>
      <c r="Q81" s="8">
        <v>0.9</v>
      </c>
      <c r="R81" s="12">
        <v>8.77E-2</v>
      </c>
      <c r="S81" s="11" t="s">
        <v>113</v>
      </c>
      <c r="T81" s="9">
        <f>(I81*R81)*(1+O81)*(1+N81)*P81*Q81</f>
        <v>7417.1394251526608</v>
      </c>
      <c r="U81" s="23"/>
    </row>
    <row r="82" spans="1:22" x14ac:dyDescent="0.25">
      <c r="A82" s="16" t="s">
        <v>108</v>
      </c>
      <c r="B82" s="16" t="s">
        <v>109</v>
      </c>
      <c r="C82" s="16" t="s">
        <v>110</v>
      </c>
      <c r="D82" s="16" t="s">
        <v>114</v>
      </c>
      <c r="E82" s="17" t="s">
        <v>112</v>
      </c>
      <c r="F82" s="8">
        <v>244</v>
      </c>
      <c r="G82" s="8">
        <v>542</v>
      </c>
      <c r="H82" s="9">
        <f>(F82+G82)*(1+0.2)+311</f>
        <v>1254.1999999999998</v>
      </c>
      <c r="I82" s="10">
        <f>14450*(1+0.3+0.16+0.18+0.466)+4780</f>
        <v>35211.699999999997</v>
      </c>
      <c r="J82" s="14">
        <f>1+0.2+0.2</f>
        <v>1.4</v>
      </c>
      <c r="K82" s="12">
        <v>0.192</v>
      </c>
      <c r="L82" s="12">
        <v>0.88200000000000001</v>
      </c>
      <c r="M82" s="13">
        <f>60.25%+K82/2+L82/4-11.9%</f>
        <v>0.8</v>
      </c>
      <c r="N82" s="13">
        <f>60.25%*2+K82+L82/2+11.9%*2</f>
        <v>2.0760000000000001</v>
      </c>
      <c r="O82" s="12">
        <f>0.466+0.25*J82+0.2</f>
        <v>1.016</v>
      </c>
      <c r="P82" s="8">
        <f>0.5</f>
        <v>0.5</v>
      </c>
      <c r="Q82" s="8">
        <v>0.9</v>
      </c>
      <c r="R82" s="12">
        <v>8.77E-2</v>
      </c>
      <c r="S82" s="11" t="s">
        <v>113</v>
      </c>
      <c r="T82" s="9">
        <f>(I82*R82)*(1+O82)*(1+N82)*P82*Q82</f>
        <v>8617.3941808644468</v>
      </c>
      <c r="U82" s="23"/>
    </row>
    <row r="83" spans="1:22" x14ac:dyDescent="0.25">
      <c r="A83" s="16" t="s">
        <v>108</v>
      </c>
      <c r="B83" s="16" t="s">
        <v>80</v>
      </c>
      <c r="C83" s="16" t="s">
        <v>110</v>
      </c>
      <c r="D83" s="16" t="s">
        <v>114</v>
      </c>
      <c r="E83" s="17" t="s">
        <v>112</v>
      </c>
      <c r="F83" s="8">
        <v>244</v>
      </c>
      <c r="G83" s="8">
        <v>608</v>
      </c>
      <c r="H83" s="9">
        <f>(F83+G83)*(1+0.2)+311</f>
        <v>1333.4</v>
      </c>
      <c r="I83" s="10">
        <f>14450*(1+0.3+0.466+0.18)+4780</f>
        <v>32899.699999999997</v>
      </c>
      <c r="J83" s="14">
        <f>1+0.2+0.2+0.551</f>
        <v>1.9510000000000001</v>
      </c>
      <c r="K83" s="12">
        <v>0.192</v>
      </c>
      <c r="L83" s="12">
        <v>0</v>
      </c>
      <c r="M83" s="13">
        <f>60.25%+K83/2+L83/4</f>
        <v>0.69850000000000001</v>
      </c>
      <c r="N83" s="13">
        <f>60.25%*2+K83+L83/2</f>
        <v>1.397</v>
      </c>
      <c r="O83" s="12">
        <f>0.466+0.25*J83</f>
        <v>0.9537500000000001</v>
      </c>
      <c r="P83" s="8">
        <f>0.5</f>
        <v>0.5</v>
      </c>
      <c r="Q83" s="8">
        <v>0.9</v>
      </c>
      <c r="R83" s="12">
        <v>8.77E-2</v>
      </c>
      <c r="S83" s="11" t="s">
        <v>113</v>
      </c>
      <c r="T83" s="9">
        <f>(I83*R83)*(1+O83)*(1+N83)*P83*Q83</f>
        <v>6080.5248822706444</v>
      </c>
      <c r="U83" s="23"/>
    </row>
    <row r="84" spans="1:22" x14ac:dyDescent="0.25">
      <c r="A84" s="16" t="s">
        <v>108</v>
      </c>
      <c r="B84" s="16" t="s">
        <v>115</v>
      </c>
      <c r="C84" s="16" t="s">
        <v>110</v>
      </c>
      <c r="D84" s="16" t="s">
        <v>114</v>
      </c>
      <c r="E84" s="17" t="s">
        <v>112</v>
      </c>
      <c r="F84" s="8">
        <v>244</v>
      </c>
      <c r="G84" s="8">
        <v>454</v>
      </c>
      <c r="H84" s="9">
        <f>(F84+G84)*(1+0.2)+311</f>
        <v>1148.5999999999999</v>
      </c>
      <c r="I84" s="10">
        <f>14450*(1+0.3+0.466+0.18)+4780</f>
        <v>32899.699999999997</v>
      </c>
      <c r="J84" s="14">
        <f>1+0.2+0.2+0.613</f>
        <v>2.0129999999999999</v>
      </c>
      <c r="K84" s="12">
        <v>0.192</v>
      </c>
      <c r="L84" s="12">
        <v>0</v>
      </c>
      <c r="M84" s="13">
        <f>60.25%+K84/2+L84/4</f>
        <v>0.69850000000000001</v>
      </c>
      <c r="N84" s="13">
        <f>60.25%*2+K84+L84/2</f>
        <v>1.397</v>
      </c>
      <c r="O84" s="12">
        <f>0.466+0.25*J84</f>
        <v>0.96924999999999994</v>
      </c>
      <c r="P84" s="8">
        <f>0.5</f>
        <v>0.5</v>
      </c>
      <c r="Q84" s="8">
        <v>0.9</v>
      </c>
      <c r="R84" s="12">
        <v>8.77E-2</v>
      </c>
      <c r="S84" s="11" t="s">
        <v>113</v>
      </c>
      <c r="T84" s="9">
        <f>(I84*R84)*(1+O84)*(1+N84)*P84*Q84</f>
        <v>6128.7644910615318</v>
      </c>
      <c r="U84" s="23"/>
    </row>
    <row r="85" spans="1:2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2" s="4" customFormat="1" x14ac:dyDescent="0.25">
      <c r="A86" s="6" t="s">
        <v>8</v>
      </c>
      <c r="B86" s="6" t="s">
        <v>9</v>
      </c>
      <c r="C86" s="6" t="s">
        <v>10</v>
      </c>
      <c r="D86" s="6" t="s">
        <v>11</v>
      </c>
      <c r="E86" s="7" t="s">
        <v>12</v>
      </c>
      <c r="F86" s="8" t="s">
        <v>13</v>
      </c>
      <c r="G86" s="8" t="s">
        <v>14</v>
      </c>
      <c r="H86" s="9" t="s">
        <v>15</v>
      </c>
      <c r="I86" s="10" t="s">
        <v>97</v>
      </c>
      <c r="J86" s="14"/>
      <c r="K86" s="12" t="s">
        <v>18</v>
      </c>
      <c r="L86" s="12" t="s">
        <v>19</v>
      </c>
      <c r="M86" s="13" t="s">
        <v>20</v>
      </c>
      <c r="N86" s="13" t="s">
        <v>21</v>
      </c>
      <c r="O86" s="12" t="s">
        <v>22</v>
      </c>
      <c r="P86" s="8" t="s">
        <v>23</v>
      </c>
      <c r="Q86" s="8" t="s">
        <v>24</v>
      </c>
      <c r="R86" s="12" t="s">
        <v>25</v>
      </c>
      <c r="S86" s="6" t="s">
        <v>26</v>
      </c>
      <c r="T86" s="9" t="s">
        <v>27</v>
      </c>
      <c r="U86" s="22" t="s">
        <v>116</v>
      </c>
    </row>
    <row r="87" spans="1:22" s="4" customFormat="1" x14ac:dyDescent="0.25">
      <c r="A87" s="16" t="s">
        <v>117</v>
      </c>
      <c r="B87" s="16" t="s">
        <v>118</v>
      </c>
      <c r="C87" s="16" t="s">
        <v>119</v>
      </c>
      <c r="D87" s="16" t="s">
        <v>120</v>
      </c>
      <c r="E87" s="17" t="s">
        <v>121</v>
      </c>
      <c r="F87" s="8">
        <v>299</v>
      </c>
      <c r="G87" s="8">
        <v>608</v>
      </c>
      <c r="H87" s="9">
        <f>(F87+G87)*(1+0.3+0.466+0.18)+311</f>
        <v>2076.0219999999999</v>
      </c>
      <c r="I87" s="10">
        <f>13715*(1+0.2)+4780</f>
        <v>21238</v>
      </c>
      <c r="J87" s="14"/>
      <c r="K87" s="12">
        <v>0.33100000000000002</v>
      </c>
      <c r="L87" s="12">
        <v>0.38400000000000001</v>
      </c>
      <c r="M87" s="13">
        <f>60.25%+K87/2+L87/4-6.4%</f>
        <v>0.8</v>
      </c>
      <c r="N87" s="13">
        <f>60.25%*2+K87+L87/2+6.4%*2</f>
        <v>1.8559999999999999</v>
      </c>
      <c r="O87" s="12">
        <f>0.466+0.52</f>
        <v>0.98599999999999999</v>
      </c>
      <c r="P87" s="8">
        <f>0.5</f>
        <v>0.5</v>
      </c>
      <c r="Q87" s="8">
        <v>0.9</v>
      </c>
      <c r="R87" s="12">
        <v>1.0455000000000001</v>
      </c>
      <c r="S87" s="11" t="s">
        <v>122</v>
      </c>
      <c r="T87" s="9">
        <f>(H87*(R87+0.7)+2*1.11%*I87)*(1+O87)*(1+N87)*P87*Q87</f>
        <v>10452.566919848408</v>
      </c>
      <c r="U87" s="23">
        <f>(H87*(R87)+2*1.11%*I87)*(1+O87)*(1+N87)*P87*Q87</f>
        <v>6743.3694697375277</v>
      </c>
      <c r="V87" s="22"/>
    </row>
    <row r="88" spans="1:22" s="4" customFormat="1" x14ac:dyDescent="0.25">
      <c r="A88" s="16" t="s">
        <v>117</v>
      </c>
      <c r="B88" s="16" t="s">
        <v>123</v>
      </c>
      <c r="C88" s="16" t="s">
        <v>124</v>
      </c>
      <c r="D88" s="16" t="s">
        <v>120</v>
      </c>
      <c r="E88" s="17" t="s">
        <v>121</v>
      </c>
      <c r="F88" s="8">
        <v>299</v>
      </c>
      <c r="G88" s="8">
        <v>542</v>
      </c>
      <c r="H88" s="9">
        <f>(F88+G88)*(1+0.3+0.466)+311+1.2%*I88</f>
        <v>2083.9780000000001</v>
      </c>
      <c r="I88" s="10">
        <f>13715*(1+0.2+0.2)+4780</f>
        <v>23981</v>
      </c>
      <c r="J88" s="14"/>
      <c r="K88" s="12">
        <v>0.441</v>
      </c>
      <c r="L88" s="12">
        <v>0.38400000000000001</v>
      </c>
      <c r="M88" s="13">
        <f>60.25%+K88/2+L88/4-11.9%</f>
        <v>0.8</v>
      </c>
      <c r="N88" s="13">
        <f>60.25%*2+K88+L88/2+11.9%*2</f>
        <v>2.0760000000000001</v>
      </c>
      <c r="O88" s="12">
        <f>0.466+0.15+0.3</f>
        <v>0.91599999999999993</v>
      </c>
      <c r="P88" s="8">
        <f>0.5</f>
        <v>0.5</v>
      </c>
      <c r="Q88" s="8">
        <v>0.9</v>
      </c>
      <c r="R88" s="12">
        <v>1.0455000000000001</v>
      </c>
      <c r="S88" s="11" t="s">
        <v>125</v>
      </c>
      <c r="T88" s="9">
        <f>(H88*(R88)+2*1.11%*I88)*(1+O88)*(1+N88)*P88*Q88</f>
        <v>7190.3867934877135</v>
      </c>
      <c r="U88" s="23">
        <f>(H88*(R88)+2*1.11%*I88)*(1+O88)*(1+N88)*P88*Q88</f>
        <v>7190.3867934877135</v>
      </c>
    </row>
    <row r="89" spans="1:22" s="4" customFormat="1" x14ac:dyDescent="0.25">
      <c r="A89" s="16" t="s">
        <v>117</v>
      </c>
      <c r="B89" s="16" t="s">
        <v>126</v>
      </c>
      <c r="C89" s="16" t="s">
        <v>119</v>
      </c>
      <c r="D89" s="16" t="s">
        <v>120</v>
      </c>
      <c r="E89" s="17" t="s">
        <v>121</v>
      </c>
      <c r="F89" s="8">
        <v>299</v>
      </c>
      <c r="G89" s="8">
        <v>510</v>
      </c>
      <c r="H89" s="9">
        <f>(F89+G89)*(1+0.3+0.466+0.18)+311</f>
        <v>1885.3139999999999</v>
      </c>
      <c r="I89" s="10">
        <f>13715*(1+0.2)+4780</f>
        <v>21238</v>
      </c>
      <c r="J89" s="14"/>
      <c r="K89" s="12">
        <v>0.27600000000000002</v>
      </c>
      <c r="L89" s="12">
        <v>0.38400000000000001</v>
      </c>
      <c r="M89" s="13">
        <f>60.25%+K89/2+L89/4-3.65%</f>
        <v>0.8</v>
      </c>
      <c r="N89" s="13">
        <f>60.25%*2+K89+L89/2+3.65%*2</f>
        <v>1.746</v>
      </c>
      <c r="O89" s="12">
        <f>0.466+0.4</f>
        <v>0.8660000000000001</v>
      </c>
      <c r="P89" s="8">
        <f>0.5</f>
        <v>0.5</v>
      </c>
      <c r="Q89" s="8">
        <v>0.9</v>
      </c>
      <c r="R89" s="12">
        <v>1.0455000000000001</v>
      </c>
      <c r="S89" s="11" t="s">
        <v>122</v>
      </c>
      <c r="T89" s="9">
        <f>(H89*(R89+0.7)+2*1.11%*I89)*(1+O89)*(1+N89)*P89*Q89</f>
        <v>8675.1704146314314</v>
      </c>
      <c r="U89" s="23">
        <f>(H89*(R89)+2*1.11%*I89)*(1+O89)*(1+N89)*P89*Q89</f>
        <v>5632.1391203306694</v>
      </c>
      <c r="V89" s="22"/>
    </row>
    <row r="90" spans="1:22" s="4" customForma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2" x14ac:dyDescent="0.25">
      <c r="A91" s="6" t="s">
        <v>8</v>
      </c>
      <c r="B91" s="6" t="s">
        <v>9</v>
      </c>
      <c r="C91" s="6" t="s">
        <v>10</v>
      </c>
      <c r="D91" s="6" t="s">
        <v>11</v>
      </c>
      <c r="E91" s="7" t="s">
        <v>12</v>
      </c>
      <c r="F91" s="8" t="s">
        <v>13</v>
      </c>
      <c r="G91" s="8" t="s">
        <v>14</v>
      </c>
      <c r="H91" s="9" t="s">
        <v>15</v>
      </c>
      <c r="I91" s="10" t="s">
        <v>97</v>
      </c>
      <c r="J91" s="14" t="s">
        <v>127</v>
      </c>
      <c r="K91" s="12" t="s">
        <v>18</v>
      </c>
      <c r="L91" s="12" t="s">
        <v>19</v>
      </c>
      <c r="M91" s="13" t="s">
        <v>20</v>
      </c>
      <c r="N91" s="13" t="s">
        <v>21</v>
      </c>
      <c r="O91" s="12" t="s">
        <v>22</v>
      </c>
      <c r="P91" s="8" t="s">
        <v>23</v>
      </c>
      <c r="Q91" s="8" t="s">
        <v>24</v>
      </c>
      <c r="R91" s="12" t="s">
        <v>25</v>
      </c>
      <c r="S91" s="6" t="s">
        <v>26</v>
      </c>
      <c r="T91" s="9" t="s">
        <v>27</v>
      </c>
    </row>
    <row r="92" spans="1:22" x14ac:dyDescent="0.25">
      <c r="A92" s="6" t="s">
        <v>128</v>
      </c>
      <c r="B92" s="6" t="s">
        <v>129</v>
      </c>
      <c r="C92" s="6" t="s">
        <v>130</v>
      </c>
      <c r="D92" s="6" t="s">
        <v>131</v>
      </c>
      <c r="E92" s="7" t="s">
        <v>132</v>
      </c>
      <c r="F92" s="8">
        <v>234</v>
      </c>
      <c r="G92" s="8">
        <v>608</v>
      </c>
      <c r="H92" s="9">
        <f>(F92+G92)*(1+0.2)+311</f>
        <v>1321.4</v>
      </c>
      <c r="I92" s="10">
        <f>13471*(1+14*5%+0.466+0.496)+4780</f>
        <v>40639.802000000003</v>
      </c>
      <c r="J92" s="14">
        <f>0.25+0.15+0.1+0.358</f>
        <v>0.85799999999999998</v>
      </c>
      <c r="K92" s="12">
        <v>0</v>
      </c>
      <c r="L92" s="12">
        <f>0</f>
        <v>0</v>
      </c>
      <c r="M92" s="13">
        <v>0</v>
      </c>
      <c r="N92" s="13">
        <v>0</v>
      </c>
      <c r="O92" s="12">
        <f>0.466+0.288</f>
        <v>0.754</v>
      </c>
      <c r="P92" s="8">
        <f>0.5</f>
        <v>0.5</v>
      </c>
      <c r="Q92" s="8">
        <f>0.9</f>
        <v>0.9</v>
      </c>
      <c r="R92" s="12">
        <v>0.95730000000000004</v>
      </c>
      <c r="S92" s="6" t="s">
        <v>133</v>
      </c>
      <c r="T92" s="9">
        <f>(H92*R92+I92*(8.71%+1%+15%*J92))*(1+O92)*(1+N92)*P92*Q92</f>
        <v>8241.4313637058804</v>
      </c>
    </row>
    <row r="93" spans="1:22" x14ac:dyDescent="0.25">
      <c r="A93" s="6" t="s">
        <v>128</v>
      </c>
      <c r="B93" s="6" t="s">
        <v>134</v>
      </c>
      <c r="C93" s="6" t="s">
        <v>130</v>
      </c>
      <c r="D93" s="6" t="s">
        <v>131</v>
      </c>
      <c r="E93" s="7" t="s">
        <v>132</v>
      </c>
      <c r="F93" s="8">
        <v>234</v>
      </c>
      <c r="G93" s="8">
        <v>510</v>
      </c>
      <c r="H93" s="9">
        <f>(F93+G93)*(1+0.2)+311</f>
        <v>1203.8</v>
      </c>
      <c r="I93" s="10">
        <f>13471*(1+14*5%+0.466+0.413)+4780</f>
        <v>39521.709000000003</v>
      </c>
      <c r="J93" s="14">
        <f>0.25+0.15+0.358</f>
        <v>0.75800000000000001</v>
      </c>
      <c r="K93" s="12">
        <v>0</v>
      </c>
      <c r="L93" s="12">
        <f>0</f>
        <v>0</v>
      </c>
      <c r="M93" s="13">
        <v>0</v>
      </c>
      <c r="N93" s="13">
        <v>0</v>
      </c>
      <c r="O93" s="12">
        <f>0.466+0.288</f>
        <v>0.754</v>
      </c>
      <c r="P93" s="8">
        <f>0.5</f>
        <v>0.5</v>
      </c>
      <c r="Q93" s="8">
        <f>0.9</f>
        <v>0.9</v>
      </c>
      <c r="R93" s="12">
        <v>0.95730000000000004</v>
      </c>
      <c r="S93" s="6" t="s">
        <v>133</v>
      </c>
      <c r="T93" s="9">
        <f>(H93*R93+I93*(8.71%+15%*J93))*(1+O93)*(1+N93)*P93*Q93</f>
        <v>7173.4401068529614</v>
      </c>
    </row>
    <row r="94" spans="1:22" x14ac:dyDescent="0.25">
      <c r="A94" s="6" t="s">
        <v>128</v>
      </c>
      <c r="B94" s="6" t="s">
        <v>135</v>
      </c>
      <c r="C94" s="6" t="s">
        <v>75</v>
      </c>
      <c r="D94" s="6" t="s">
        <v>136</v>
      </c>
      <c r="E94" s="7" t="s">
        <v>137</v>
      </c>
      <c r="F94" s="8">
        <v>234</v>
      </c>
      <c r="G94" s="8">
        <v>401</v>
      </c>
      <c r="H94" s="9">
        <f>(F94+G94)*(1+0.2)+311</f>
        <v>1073</v>
      </c>
      <c r="I94" s="10">
        <f>13471*(1+14*5%+0.466*2+0.352+0.2)+4780</f>
        <v>47671.664000000004</v>
      </c>
      <c r="J94" s="14">
        <f>0.25+0.358</f>
        <v>0.60799999999999998</v>
      </c>
      <c r="K94" s="12">
        <v>0</v>
      </c>
      <c r="L94" s="12">
        <f>0</f>
        <v>0</v>
      </c>
      <c r="M94" s="13">
        <v>0</v>
      </c>
      <c r="N94" s="13">
        <v>0</v>
      </c>
      <c r="O94" s="12">
        <f>0.288</f>
        <v>0.28799999999999998</v>
      </c>
      <c r="P94" s="8">
        <f>0.5</f>
        <v>0.5</v>
      </c>
      <c r="Q94" s="8">
        <f>0.9</f>
        <v>0.9</v>
      </c>
      <c r="R94" s="12">
        <v>0.95730000000000004</v>
      </c>
      <c r="S94" s="6" t="s">
        <v>138</v>
      </c>
      <c r="T94" s="9">
        <f>(862+7.48%*I94)*(1+J94)</f>
        <v>7119.9674712576016</v>
      </c>
    </row>
    <row r="95" spans="1:22" x14ac:dyDescent="0.25">
      <c r="A95" s="6" t="s">
        <v>128</v>
      </c>
      <c r="B95" s="6" t="s">
        <v>134</v>
      </c>
      <c r="C95" s="6" t="s">
        <v>75</v>
      </c>
      <c r="D95" s="6" t="s">
        <v>136</v>
      </c>
      <c r="E95" s="7" t="s">
        <v>137</v>
      </c>
      <c r="F95" s="8">
        <v>234</v>
      </c>
      <c r="G95" s="8">
        <v>510</v>
      </c>
      <c r="H95" s="9">
        <f>(F95+G95)*(1+0.2)+311</f>
        <v>1203.8</v>
      </c>
      <c r="I95" s="10">
        <f>13471*(1+14*5%+0.466*2+0.413+0.2)+4780</f>
        <v>48493.395000000004</v>
      </c>
      <c r="J95" s="14">
        <f>0.25+0.358</f>
        <v>0.60799999999999998</v>
      </c>
      <c r="K95" s="12">
        <v>0</v>
      </c>
      <c r="L95" s="12">
        <f>0</f>
        <v>0</v>
      </c>
      <c r="M95" s="13">
        <v>0</v>
      </c>
      <c r="N95" s="13">
        <v>0</v>
      </c>
      <c r="O95" s="12">
        <f>0.288</f>
        <v>0.28799999999999998</v>
      </c>
      <c r="P95" s="8">
        <f>0.5</f>
        <v>0.5</v>
      </c>
      <c r="Q95" s="8">
        <f>0.9</f>
        <v>0.9</v>
      </c>
      <c r="R95" s="12">
        <v>0.95730000000000004</v>
      </c>
      <c r="S95" s="6" t="s">
        <v>138</v>
      </c>
      <c r="T95" s="9">
        <f>(862+7.48%*I95)*(1+J95)</f>
        <v>7218.8039611680015</v>
      </c>
    </row>
    <row r="97" spans="1:20" x14ac:dyDescent="0.25">
      <c r="A97" s="6" t="s">
        <v>8</v>
      </c>
      <c r="B97" s="6" t="s">
        <v>9</v>
      </c>
      <c r="C97" s="6" t="s">
        <v>10</v>
      </c>
      <c r="D97" s="6" t="s">
        <v>11</v>
      </c>
      <c r="E97" s="7" t="s">
        <v>12</v>
      </c>
      <c r="F97" s="8" t="s">
        <v>13</v>
      </c>
      <c r="G97" s="8" t="s">
        <v>14</v>
      </c>
      <c r="H97" s="9" t="s">
        <v>15</v>
      </c>
      <c r="I97" s="10" t="s">
        <v>17</v>
      </c>
      <c r="J97" s="14"/>
      <c r="K97" s="12" t="s">
        <v>18</v>
      </c>
      <c r="L97" s="12" t="s">
        <v>19</v>
      </c>
      <c r="M97" s="13" t="s">
        <v>20</v>
      </c>
      <c r="N97" s="13" t="s">
        <v>21</v>
      </c>
      <c r="O97" s="12" t="s">
        <v>22</v>
      </c>
      <c r="P97" s="8" t="s">
        <v>23</v>
      </c>
      <c r="Q97" s="8" t="s">
        <v>24</v>
      </c>
      <c r="R97" s="12" t="s">
        <v>25</v>
      </c>
      <c r="S97" s="6" t="s">
        <v>26</v>
      </c>
      <c r="T97" s="9" t="s">
        <v>27</v>
      </c>
    </row>
    <row r="98" spans="1:20" x14ac:dyDescent="0.25">
      <c r="A98" s="6" t="s">
        <v>139</v>
      </c>
      <c r="B98" s="6" t="s">
        <v>140</v>
      </c>
      <c r="C98" s="11" t="s">
        <v>141</v>
      </c>
      <c r="D98" s="6" t="s">
        <v>120</v>
      </c>
      <c r="E98" s="58" t="s">
        <v>398</v>
      </c>
      <c r="F98" s="8">
        <v>301</v>
      </c>
      <c r="G98" s="8">
        <v>608</v>
      </c>
      <c r="H98" s="9">
        <f>(F98+G98)*(1+0.3+0.466)+311</f>
        <v>1916.2940000000001</v>
      </c>
      <c r="I98" s="10">
        <f>80+80</f>
        <v>160</v>
      </c>
      <c r="J98" s="14"/>
      <c r="K98" s="12">
        <v>0.33100000000000002</v>
      </c>
      <c r="L98" s="12">
        <f t="shared" ref="L98:L104" si="15">0</f>
        <v>0</v>
      </c>
      <c r="M98" s="13">
        <f>60.25%+K98/2+L98/4</f>
        <v>0.76800000000000002</v>
      </c>
      <c r="N98" s="13">
        <f>60.25%*2+K98+L98/2</f>
        <v>1.536</v>
      </c>
      <c r="O98" s="12">
        <f>0.466+0.288+0.15+0.12</f>
        <v>1.024</v>
      </c>
      <c r="P98" s="8">
        <f>0.5</f>
        <v>0.5</v>
      </c>
      <c r="Q98" s="8">
        <f>0.9</f>
        <v>0.9</v>
      </c>
      <c r="R98" s="12">
        <v>8.3520000000000003</v>
      </c>
      <c r="S98" s="6" t="s">
        <v>143</v>
      </c>
      <c r="T98" s="9">
        <f>((F98+G98)*(1+0.2+0.466+0.18+0.48)+311)*R98*(1+O98)*(1+N98)*P98*Q98*2*(1+(2.78*I98)/(I98+1400))</f>
        <v>120257.11002258841</v>
      </c>
    </row>
    <row r="99" spans="1:20" x14ac:dyDescent="0.25">
      <c r="A99" s="6" t="s">
        <v>139</v>
      </c>
      <c r="B99" s="6" t="s">
        <v>140</v>
      </c>
      <c r="C99" s="6" t="s">
        <v>144</v>
      </c>
      <c r="D99" s="6" t="s">
        <v>120</v>
      </c>
      <c r="E99" s="58" t="s">
        <v>398</v>
      </c>
      <c r="F99" s="8">
        <v>301</v>
      </c>
      <c r="G99" s="8">
        <v>608</v>
      </c>
      <c r="H99" s="9">
        <f>(F99+G99)*(1+0.3+0.466+0.18)+311</f>
        <v>2079.9139999999998</v>
      </c>
      <c r="I99" s="10">
        <f>80</f>
        <v>80</v>
      </c>
      <c r="J99" s="14"/>
      <c r="K99" s="12">
        <v>0.33100000000000002</v>
      </c>
      <c r="L99" s="12">
        <f t="shared" si="15"/>
        <v>0</v>
      </c>
      <c r="M99" s="13">
        <f>60.25%+K99/2+L99/4</f>
        <v>0.76800000000000002</v>
      </c>
      <c r="N99" s="13">
        <f>60.25%*2+K99+L99/2</f>
        <v>1.536</v>
      </c>
      <c r="O99" s="12">
        <f>0.466+0.288+0.15+0.12</f>
        <v>1.024</v>
      </c>
      <c r="P99" s="8">
        <f>0.5</f>
        <v>0.5</v>
      </c>
      <c r="Q99" s="8">
        <f>0.9</f>
        <v>0.9</v>
      </c>
      <c r="R99" s="12">
        <v>8.3520000000000003</v>
      </c>
      <c r="S99" s="6" t="s">
        <v>143</v>
      </c>
      <c r="T99" s="9">
        <f>((F99+G99)*(1+0.2+0.466+0.18+0.48)+311)*R99*(1+O99)*(1+N99)*P99*Q99*2*(1+(2.78*I99)/(I99+1400))</f>
        <v>107637.6488319348</v>
      </c>
    </row>
    <row r="100" spans="1:20" x14ac:dyDescent="0.25">
      <c r="A100" s="6" t="s">
        <v>139</v>
      </c>
      <c r="B100" s="6" t="s">
        <v>145</v>
      </c>
      <c r="C100" s="6" t="s">
        <v>144</v>
      </c>
      <c r="D100" s="6" t="s">
        <v>120</v>
      </c>
      <c r="E100" s="58" t="s">
        <v>398</v>
      </c>
      <c r="F100" s="8">
        <v>301</v>
      </c>
      <c r="G100" s="8">
        <v>674</v>
      </c>
      <c r="H100" s="9">
        <f>(F100+G100)*(1+0.3+0.466+0.18)+311</f>
        <v>2208.35</v>
      </c>
      <c r="I100" s="10">
        <f>80</f>
        <v>80</v>
      </c>
      <c r="J100" s="14"/>
      <c r="K100" s="12">
        <v>0.221</v>
      </c>
      <c r="L100" s="12">
        <v>0.2</v>
      </c>
      <c r="M100" s="13">
        <f>60.25%+K100/2+L100/4</f>
        <v>0.76300000000000012</v>
      </c>
      <c r="N100" s="13">
        <f>60.25%*2+K100+L100/2</f>
        <v>1.5260000000000002</v>
      </c>
      <c r="O100" s="12">
        <f>0.466+0.288+0.15</f>
        <v>0.90400000000000003</v>
      </c>
      <c r="P100" s="8">
        <f>0.5</f>
        <v>0.5</v>
      </c>
      <c r="Q100" s="8">
        <f>0.9</f>
        <v>0.9</v>
      </c>
      <c r="R100" s="12">
        <v>8.3520000000000003</v>
      </c>
      <c r="S100" s="6" t="s">
        <v>143</v>
      </c>
      <c r="T100" s="9">
        <f>H100*R100*(1+O100)*(1+N100)*P100*Q100*2*(1+(2.78*I100)/(I100+1400))</f>
        <v>91833.489320623834</v>
      </c>
    </row>
    <row r="101" spans="1:20" x14ac:dyDescent="0.25">
      <c r="A101" s="6" t="s">
        <v>139</v>
      </c>
      <c r="B101" s="11" t="s">
        <v>146</v>
      </c>
      <c r="C101" s="6" t="s">
        <v>144</v>
      </c>
      <c r="D101" s="6" t="s">
        <v>120</v>
      </c>
      <c r="E101" s="58" t="s">
        <v>398</v>
      </c>
      <c r="F101" s="8">
        <v>301</v>
      </c>
      <c r="G101" s="8">
        <v>510</v>
      </c>
      <c r="H101" s="9">
        <f>(F101+G101)*(1+0.3+0.466+0.18)+311</f>
        <v>1889.2059999999999</v>
      </c>
      <c r="I101" s="10">
        <f>80</f>
        <v>80</v>
      </c>
      <c r="J101" s="14"/>
      <c r="K101" s="12">
        <v>0.27600000000000002</v>
      </c>
      <c r="L101" s="12">
        <f t="shared" si="15"/>
        <v>0</v>
      </c>
      <c r="M101" s="13">
        <f>60.25%+K101/2+L101/4</f>
        <v>0.74050000000000005</v>
      </c>
      <c r="N101" s="13">
        <f>60.25%*2+K101+L101/2</f>
        <v>1.4810000000000001</v>
      </c>
      <c r="O101" s="12">
        <f>0.466+0.288+0.15</f>
        <v>0.90400000000000003</v>
      </c>
      <c r="P101" s="8">
        <f>0.5</f>
        <v>0.5</v>
      </c>
      <c r="Q101" s="8">
        <f>0.9</f>
        <v>0.9</v>
      </c>
      <c r="R101" s="12">
        <v>8.3520000000000003</v>
      </c>
      <c r="S101" s="6" t="s">
        <v>143</v>
      </c>
      <c r="T101" s="9">
        <f>H101*R101*(1+O101)*(1+N101)*P101*Q101*2*(1+(2.78*I101)/(I101+1400))</f>
        <v>77162.433348042556</v>
      </c>
    </row>
    <row r="103" spans="1:20" x14ac:dyDescent="0.25">
      <c r="A103" s="6" t="s">
        <v>8</v>
      </c>
      <c r="B103" s="6" t="s">
        <v>9</v>
      </c>
      <c r="C103" s="6" t="s">
        <v>10</v>
      </c>
      <c r="D103" s="6" t="s">
        <v>11</v>
      </c>
      <c r="E103" s="7" t="s">
        <v>12</v>
      </c>
      <c r="F103" s="8" t="s">
        <v>13</v>
      </c>
      <c r="G103" s="8" t="s">
        <v>14</v>
      </c>
      <c r="H103" s="9" t="s">
        <v>15</v>
      </c>
      <c r="I103" s="10" t="s">
        <v>97</v>
      </c>
      <c r="J103" s="14" t="s">
        <v>37</v>
      </c>
      <c r="K103" s="12" t="s">
        <v>18</v>
      </c>
      <c r="L103" s="12" t="s">
        <v>19</v>
      </c>
      <c r="M103" s="13" t="s">
        <v>20</v>
      </c>
      <c r="N103" s="13" t="s">
        <v>21</v>
      </c>
      <c r="O103" s="12" t="s">
        <v>22</v>
      </c>
      <c r="P103" s="8" t="s">
        <v>23</v>
      </c>
      <c r="Q103" s="8" t="s">
        <v>24</v>
      </c>
      <c r="R103" s="12" t="s">
        <v>25</v>
      </c>
      <c r="S103" s="6" t="s">
        <v>26</v>
      </c>
      <c r="T103" s="9" t="s">
        <v>27</v>
      </c>
    </row>
    <row r="104" spans="1:20" x14ac:dyDescent="0.25">
      <c r="A104" s="6" t="s">
        <v>147</v>
      </c>
      <c r="B104" s="6" t="s">
        <v>148</v>
      </c>
      <c r="C104" s="6" t="s">
        <v>149</v>
      </c>
      <c r="D104" s="6" t="s">
        <v>120</v>
      </c>
      <c r="E104" s="7" t="s">
        <v>150</v>
      </c>
      <c r="F104" s="8">
        <v>202</v>
      </c>
      <c r="G104" s="8">
        <v>454</v>
      </c>
      <c r="H104" s="9">
        <f>(F104+G104)*(1+0.3+0.466+0.24)+311</f>
        <v>1626.9360000000001</v>
      </c>
      <c r="I104" s="10">
        <f>10222*(1+0.2)+4780</f>
        <v>17046.400000000001</v>
      </c>
      <c r="J104" s="14">
        <f>1+0.2+0.613</f>
        <v>1.8129999999999999</v>
      </c>
      <c r="K104" s="12">
        <v>0</v>
      </c>
      <c r="L104" s="12">
        <f t="shared" si="15"/>
        <v>0</v>
      </c>
      <c r="M104" s="13">
        <f t="shared" ref="M104:M110" si="16">60.25%+K104/2+L104/4</f>
        <v>0.60250000000000004</v>
      </c>
      <c r="N104" s="13">
        <f t="shared" ref="N104:N110" si="17">60.25%*2+K104+L104/2</f>
        <v>1.2050000000000001</v>
      </c>
      <c r="O104" s="12">
        <f>0.466+0.15+0.2+0.2</f>
        <v>1.016</v>
      </c>
      <c r="P104" s="8">
        <f t="shared" ref="P104:P110" si="18">0.5</f>
        <v>0.5</v>
      </c>
      <c r="Q104" s="8">
        <v>1.0249999999999999</v>
      </c>
      <c r="R104" s="12">
        <v>1.1533</v>
      </c>
      <c r="S104" s="6" t="s">
        <v>151</v>
      </c>
      <c r="T104" s="9">
        <f t="shared" ref="T104:T110" si="19">H104*R104*(1+O104)*(1+N104)*P104*Q104</f>
        <v>4274.7010950158929</v>
      </c>
    </row>
    <row r="105" spans="1:20" x14ac:dyDescent="0.25">
      <c r="A105" s="6" t="s">
        <v>147</v>
      </c>
      <c r="B105" s="6" t="s">
        <v>123</v>
      </c>
      <c r="C105" s="6" t="s">
        <v>88</v>
      </c>
      <c r="D105" s="6" t="s">
        <v>111</v>
      </c>
      <c r="E105" s="7" t="s">
        <v>150</v>
      </c>
      <c r="F105" s="8">
        <v>202</v>
      </c>
      <c r="G105" s="8">
        <v>542</v>
      </c>
      <c r="H105" s="9">
        <f>(F105+G105)*(1+0.3+0.24)+311+1.2%*I105</f>
        <v>1685.8496</v>
      </c>
      <c r="I105" s="10">
        <f>10222*(1+0.2+0.2)+4780</f>
        <v>19090.8</v>
      </c>
      <c r="J105" s="14">
        <f>1+0.2+0.518+0.2</f>
        <v>1.9179999999999999</v>
      </c>
      <c r="K105" s="12">
        <v>0.441</v>
      </c>
      <c r="L105" s="12">
        <v>0</v>
      </c>
      <c r="M105" s="13">
        <v>0.8</v>
      </c>
      <c r="N105" s="13">
        <f>60.25%*2+K105+L105/2+2.3%*2</f>
        <v>1.6920000000000002</v>
      </c>
      <c r="O105" s="12">
        <f>0.466+0.25*J105+0.2</f>
        <v>1.1455</v>
      </c>
      <c r="P105" s="8">
        <f t="shared" si="18"/>
        <v>0.5</v>
      </c>
      <c r="Q105" s="8">
        <v>1.0249999999999999</v>
      </c>
      <c r="R105" s="12">
        <v>1.1533</v>
      </c>
      <c r="S105" s="6" t="s">
        <v>151</v>
      </c>
      <c r="T105" s="9">
        <f t="shared" si="19"/>
        <v>5755.1753904379802</v>
      </c>
    </row>
    <row r="106" spans="1:20" x14ac:dyDescent="0.25">
      <c r="J106" s="14"/>
    </row>
    <row r="107" spans="1:20" x14ac:dyDescent="0.25">
      <c r="A107" s="6" t="s">
        <v>8</v>
      </c>
      <c r="B107" s="6" t="s">
        <v>9</v>
      </c>
      <c r="C107" s="6" t="s">
        <v>10</v>
      </c>
      <c r="D107" s="6" t="s">
        <v>11</v>
      </c>
      <c r="E107" s="7" t="s">
        <v>12</v>
      </c>
      <c r="F107" s="8" t="s">
        <v>13</v>
      </c>
      <c r="G107" s="8" t="s">
        <v>14</v>
      </c>
      <c r="H107" s="9" t="s">
        <v>15</v>
      </c>
      <c r="I107" s="10" t="s">
        <v>37</v>
      </c>
      <c r="J107" s="14" t="s">
        <v>17</v>
      </c>
      <c r="K107" s="12" t="s">
        <v>18</v>
      </c>
      <c r="L107" s="12" t="s">
        <v>19</v>
      </c>
      <c r="M107" s="13" t="s">
        <v>20</v>
      </c>
      <c r="N107" s="13" t="s">
        <v>21</v>
      </c>
      <c r="O107" s="12" t="s">
        <v>22</v>
      </c>
      <c r="P107" s="8" t="s">
        <v>23</v>
      </c>
      <c r="Q107" s="8" t="s">
        <v>24</v>
      </c>
      <c r="R107" s="12" t="s">
        <v>25</v>
      </c>
      <c r="S107" s="6" t="s">
        <v>26</v>
      </c>
      <c r="T107" s="9" t="s">
        <v>27</v>
      </c>
    </row>
    <row r="108" spans="1:20" x14ac:dyDescent="0.25">
      <c r="A108" s="6" t="s">
        <v>152</v>
      </c>
      <c r="B108" s="6" t="s">
        <v>59</v>
      </c>
      <c r="C108" s="6" t="s">
        <v>88</v>
      </c>
      <c r="D108" s="6" t="s">
        <v>120</v>
      </c>
      <c r="E108" s="7" t="s">
        <v>132</v>
      </c>
      <c r="F108" s="8">
        <v>287</v>
      </c>
      <c r="G108" s="8">
        <v>510</v>
      </c>
      <c r="H108" s="9">
        <f>(F108+G108)*(1+0.3+0.466)+311</f>
        <v>1718.502</v>
      </c>
      <c r="I108" s="19">
        <f>1+0.3+0.32+0.2</f>
        <v>1.82</v>
      </c>
      <c r="J108" s="20">
        <v>80</v>
      </c>
      <c r="K108" s="12">
        <v>0</v>
      </c>
      <c r="L108" s="12">
        <v>0.55100000000000005</v>
      </c>
      <c r="M108" s="13">
        <f t="shared" si="16"/>
        <v>0.74025000000000007</v>
      </c>
      <c r="N108" s="13">
        <f t="shared" si="17"/>
        <v>1.4805000000000001</v>
      </c>
      <c r="O108" s="12">
        <f>0.466+0.6+0.45*I108+0.96</f>
        <v>2.8450000000000002</v>
      </c>
      <c r="P108" s="8">
        <f t="shared" si="18"/>
        <v>0.5</v>
      </c>
      <c r="Q108" s="8">
        <v>0.9</v>
      </c>
      <c r="R108" s="12">
        <v>7.9632000000000005</v>
      </c>
      <c r="S108" s="6" t="s">
        <v>153</v>
      </c>
      <c r="T108" s="9">
        <f>H108*R108*(1+O108)*(1+N108)*P108*Q108*2*(1+(2.78*J108)/(J108+1400))</f>
        <v>135118.75827766486</v>
      </c>
    </row>
    <row r="109" spans="1:20" x14ac:dyDescent="0.25">
      <c r="A109" s="6" t="s">
        <v>152</v>
      </c>
      <c r="B109" s="6" t="s">
        <v>135</v>
      </c>
      <c r="C109" s="6" t="s">
        <v>81</v>
      </c>
      <c r="D109" s="6" t="s">
        <v>111</v>
      </c>
      <c r="E109" s="7" t="s">
        <v>132</v>
      </c>
      <c r="F109" s="8">
        <v>287</v>
      </c>
      <c r="G109" s="8">
        <v>401</v>
      </c>
      <c r="H109" s="9">
        <f>(F109+G109)*(1+0.3)+311</f>
        <v>1205.4000000000001</v>
      </c>
      <c r="I109" s="19">
        <f>1+0.518+0.3+0.32</f>
        <v>2.1379999999999999</v>
      </c>
      <c r="J109" s="14"/>
      <c r="K109" s="12">
        <v>0</v>
      </c>
      <c r="L109" s="12">
        <v>0</v>
      </c>
      <c r="M109" s="13">
        <f t="shared" si="16"/>
        <v>0.60250000000000004</v>
      </c>
      <c r="N109" s="13">
        <f t="shared" si="17"/>
        <v>1.2050000000000001</v>
      </c>
      <c r="O109" s="12">
        <f>0.466+0.2+0.6+0.2*I109</f>
        <v>1.6936</v>
      </c>
      <c r="P109" s="8">
        <f t="shared" si="18"/>
        <v>0.5</v>
      </c>
      <c r="Q109" s="8">
        <v>0.9</v>
      </c>
      <c r="R109" s="12">
        <v>7.9632000000000005</v>
      </c>
      <c r="S109" s="6" t="s">
        <v>154</v>
      </c>
      <c r="T109" s="9">
        <f t="shared" si="19"/>
        <v>25655.059220551491</v>
      </c>
    </row>
    <row r="110" spans="1:20" x14ac:dyDescent="0.25">
      <c r="A110" s="6" t="s">
        <v>152</v>
      </c>
      <c r="B110" s="6" t="s">
        <v>134</v>
      </c>
      <c r="C110" s="6" t="s">
        <v>81</v>
      </c>
      <c r="D110" s="6" t="s">
        <v>111</v>
      </c>
      <c r="E110" s="7" t="s">
        <v>132</v>
      </c>
      <c r="F110" s="8">
        <v>287</v>
      </c>
      <c r="G110" s="8">
        <v>510</v>
      </c>
      <c r="H110" s="9">
        <f>(F110+G110)*(1+0.3)+311</f>
        <v>1347.1000000000001</v>
      </c>
      <c r="I110" s="19">
        <f>1+0.518+0.3+0.32</f>
        <v>2.1379999999999999</v>
      </c>
      <c r="J110" s="14"/>
      <c r="K110" s="12">
        <v>0</v>
      </c>
      <c r="L110" s="12">
        <v>0</v>
      </c>
      <c r="M110" s="13">
        <f t="shared" si="16"/>
        <v>0.60250000000000004</v>
      </c>
      <c r="N110" s="13">
        <f t="shared" si="17"/>
        <v>1.2050000000000001</v>
      </c>
      <c r="O110" s="12">
        <f>0.466+0.2+0.6+0.2*I110</f>
        <v>1.6936</v>
      </c>
      <c r="P110" s="8">
        <f t="shared" si="18"/>
        <v>0.5</v>
      </c>
      <c r="Q110" s="8">
        <v>0.9</v>
      </c>
      <c r="R110" s="12">
        <v>7.9632000000000005</v>
      </c>
      <c r="S110" s="6" t="s">
        <v>154</v>
      </c>
      <c r="T110" s="9">
        <f t="shared" si="19"/>
        <v>28670.92274432132</v>
      </c>
    </row>
    <row r="111" spans="1:20" x14ac:dyDescent="0.25">
      <c r="J111" s="14"/>
    </row>
    <row r="112" spans="1:20" x14ac:dyDescent="0.25">
      <c r="A112" s="6" t="s">
        <v>8</v>
      </c>
      <c r="B112" s="6" t="s">
        <v>9</v>
      </c>
      <c r="C112" s="6" t="s">
        <v>10</v>
      </c>
      <c r="D112" s="6" t="s">
        <v>11</v>
      </c>
      <c r="E112" s="7" t="s">
        <v>12</v>
      </c>
      <c r="F112" s="8" t="s">
        <v>13</v>
      </c>
      <c r="G112" s="8" t="s">
        <v>14</v>
      </c>
      <c r="H112" s="9" t="s">
        <v>15</v>
      </c>
      <c r="I112" s="10" t="s">
        <v>97</v>
      </c>
      <c r="J112" s="14" t="s">
        <v>127</v>
      </c>
      <c r="K112" s="12" t="s">
        <v>18</v>
      </c>
      <c r="L112" s="12" t="s">
        <v>19</v>
      </c>
      <c r="M112" s="13" t="s">
        <v>20</v>
      </c>
      <c r="N112" s="13" t="s">
        <v>21</v>
      </c>
      <c r="O112" s="12" t="s">
        <v>22</v>
      </c>
      <c r="P112" s="8" t="s">
        <v>23</v>
      </c>
      <c r="Q112" s="8" t="s">
        <v>24</v>
      </c>
      <c r="R112" s="12" t="s">
        <v>25</v>
      </c>
      <c r="S112" s="6" t="s">
        <v>26</v>
      </c>
      <c r="T112" s="9" t="s">
        <v>27</v>
      </c>
    </row>
    <row r="113" spans="1:20" x14ac:dyDescent="0.25">
      <c r="A113" s="6" t="s">
        <v>155</v>
      </c>
      <c r="B113" s="6" t="s">
        <v>129</v>
      </c>
      <c r="C113" s="6" t="s">
        <v>98</v>
      </c>
      <c r="D113" s="6" t="s">
        <v>136</v>
      </c>
      <c r="E113" s="7" t="s">
        <v>156</v>
      </c>
      <c r="F113" s="8">
        <v>159</v>
      </c>
      <c r="G113" s="8">
        <v>608</v>
      </c>
      <c r="H113" s="9">
        <f>(F113+G113)*(1+0.2)+311</f>
        <v>1231.4000000000001</v>
      </c>
      <c r="I113" s="10">
        <f>9787*(1+0.466*2+5%*11+0.24+0.496)+4780</f>
        <v>36274.566000000006</v>
      </c>
      <c r="J113" s="14">
        <f>0.15+0.358+0.1</f>
        <v>0.60799999999999998</v>
      </c>
      <c r="K113" s="12">
        <v>0</v>
      </c>
      <c r="L113" s="12">
        <v>0</v>
      </c>
      <c r="M113" s="13" t="s">
        <v>43</v>
      </c>
      <c r="N113" s="13" t="s">
        <v>43</v>
      </c>
      <c r="O113" s="12">
        <v>0</v>
      </c>
      <c r="P113" s="8">
        <f>0.5</f>
        <v>0.5</v>
      </c>
      <c r="Q113" s="8">
        <v>0.9</v>
      </c>
      <c r="R113" s="12">
        <v>0</v>
      </c>
      <c r="S113" s="6" t="s">
        <v>157</v>
      </c>
      <c r="T113" s="9">
        <f>(4335+35.2%*I113)*(1+0.2+J113)</f>
        <v>30923.394195456003</v>
      </c>
    </row>
    <row r="114" spans="1:20" x14ac:dyDescent="0.25">
      <c r="A114" s="6" t="s">
        <v>155</v>
      </c>
      <c r="B114" s="6" t="s">
        <v>135</v>
      </c>
      <c r="C114" s="6" t="s">
        <v>98</v>
      </c>
      <c r="D114" s="6" t="s">
        <v>136</v>
      </c>
      <c r="E114" s="7" t="s">
        <v>156</v>
      </c>
      <c r="F114" s="8">
        <v>159</v>
      </c>
      <c r="G114" s="8">
        <v>401</v>
      </c>
      <c r="H114" s="9">
        <f>(F114+G114)*(1+0.2)+311</f>
        <v>983</v>
      </c>
      <c r="I114" s="10">
        <f>9787*(1+0.466*2+5%*11+0.24+0.352)+4780</f>
        <v>34865.237999999998</v>
      </c>
      <c r="J114" s="14">
        <f>0.15+0.358</f>
        <v>0.50800000000000001</v>
      </c>
      <c r="K114" s="12">
        <v>0</v>
      </c>
      <c r="L114" s="12">
        <v>0</v>
      </c>
      <c r="M114" s="13" t="s">
        <v>43</v>
      </c>
      <c r="N114" s="13" t="s">
        <v>43</v>
      </c>
      <c r="O114" s="12">
        <v>0</v>
      </c>
      <c r="P114" s="8">
        <f>0.5</f>
        <v>0.5</v>
      </c>
      <c r="Q114" s="8">
        <v>0.9</v>
      </c>
      <c r="R114" s="12">
        <v>0</v>
      </c>
      <c r="S114" s="6" t="s">
        <v>157</v>
      </c>
      <c r="T114" s="9">
        <f>(4335+35.2%*I114)*(1+0.2+J114)</f>
        <v>28365.718929408005</v>
      </c>
    </row>
    <row r="115" spans="1:20" x14ac:dyDescent="0.25">
      <c r="A115" s="6" t="s">
        <v>155</v>
      </c>
      <c r="B115" s="6" t="s">
        <v>134</v>
      </c>
      <c r="C115" s="6" t="s">
        <v>98</v>
      </c>
      <c r="D115" s="6" t="s">
        <v>136</v>
      </c>
      <c r="E115" s="7" t="s">
        <v>156</v>
      </c>
      <c r="F115" s="8">
        <v>159</v>
      </c>
      <c r="G115" s="8">
        <v>510</v>
      </c>
      <c r="H115" s="9">
        <f>(F115+G115)*(1+0.2)+311</f>
        <v>1113.8</v>
      </c>
      <c r="I115" s="10">
        <f>9787*(1+0.466*2+5%*11+0.24+0.413)+4780</f>
        <v>35462.245000000003</v>
      </c>
      <c r="J115" s="14">
        <f>0.15+0.358</f>
        <v>0.50800000000000001</v>
      </c>
      <c r="K115" s="12">
        <v>0</v>
      </c>
      <c r="L115" s="12">
        <v>0</v>
      </c>
      <c r="M115" s="13" t="s">
        <v>43</v>
      </c>
      <c r="N115" s="13" t="s">
        <v>43</v>
      </c>
      <c r="O115" s="12">
        <v>0</v>
      </c>
      <c r="P115" s="8">
        <f>0.5</f>
        <v>0.5</v>
      </c>
      <c r="Q115" s="8">
        <v>0.9</v>
      </c>
      <c r="R115" s="12">
        <v>0</v>
      </c>
      <c r="S115" s="6" t="s">
        <v>157</v>
      </c>
      <c r="T115" s="9">
        <f>(4335+35.2%*I115)*(1+0.2+J115)</f>
        <v>28724.64908992</v>
      </c>
    </row>
    <row r="116" spans="1:20" x14ac:dyDescent="0.25">
      <c r="I116" s="19"/>
      <c r="J116" s="14"/>
    </row>
    <row r="117" spans="1:20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</row>
    <row r="118" spans="1:20" x14ac:dyDescent="0.25">
      <c r="A118" s="6" t="s">
        <v>8</v>
      </c>
      <c r="B118" s="6" t="s">
        <v>9</v>
      </c>
      <c r="C118" s="6" t="s">
        <v>10</v>
      </c>
      <c r="D118" s="6" t="s">
        <v>11</v>
      </c>
      <c r="E118" s="7" t="s">
        <v>12</v>
      </c>
      <c r="F118" s="8" t="s">
        <v>13</v>
      </c>
      <c r="G118" s="8" t="s">
        <v>14</v>
      </c>
      <c r="H118" s="9" t="s">
        <v>15</v>
      </c>
      <c r="J118" s="14"/>
      <c r="K118" s="12" t="s">
        <v>18</v>
      </c>
      <c r="L118" s="12" t="s">
        <v>19</v>
      </c>
      <c r="M118" s="13" t="s">
        <v>20</v>
      </c>
      <c r="N118" s="13" t="s">
        <v>21</v>
      </c>
      <c r="O118" s="12" t="s">
        <v>22</v>
      </c>
      <c r="P118" s="8" t="s">
        <v>23</v>
      </c>
      <c r="Q118" s="8" t="s">
        <v>24</v>
      </c>
      <c r="R118" s="12" t="s">
        <v>25</v>
      </c>
      <c r="S118" s="6" t="s">
        <v>26</v>
      </c>
      <c r="T118" s="9" t="s">
        <v>27</v>
      </c>
    </row>
    <row r="119" spans="1:20" x14ac:dyDescent="0.25">
      <c r="A119" s="11" t="s">
        <v>158</v>
      </c>
      <c r="B119" s="11" t="s">
        <v>159</v>
      </c>
      <c r="C119" s="6" t="s">
        <v>160</v>
      </c>
      <c r="D119" s="11" t="s">
        <v>161</v>
      </c>
      <c r="E119" s="17" t="s">
        <v>162</v>
      </c>
      <c r="F119" s="8">
        <v>225</v>
      </c>
      <c r="G119" s="8">
        <v>674</v>
      </c>
      <c r="H119" s="9">
        <f>(F119+G119)*(1+0.331+0.466+0.3)+311</f>
        <v>2196.203</v>
      </c>
      <c r="J119" s="14"/>
      <c r="K119" s="12">
        <v>0</v>
      </c>
      <c r="L119" s="12">
        <v>0</v>
      </c>
      <c r="M119" s="13">
        <f>60.25%+K119/2+L119/4</f>
        <v>0.60250000000000004</v>
      </c>
      <c r="N119" s="13">
        <f>60.25%*2+K119+L119/2</f>
        <v>1.2050000000000001</v>
      </c>
      <c r="O119" s="12">
        <f>0.466+0.15+0.12+0.24</f>
        <v>0.97599999999999998</v>
      </c>
      <c r="P119" s="8">
        <f>0.5</f>
        <v>0.5</v>
      </c>
      <c r="Q119" s="8">
        <v>0.9</v>
      </c>
      <c r="R119" s="12">
        <f>4.8348+1.2087*4+2.4174</f>
        <v>12.087000000000002</v>
      </c>
      <c r="S119" s="11" t="s">
        <v>163</v>
      </c>
      <c r="T119" s="9">
        <f>H119*R119*(1+O119)*(1+N119+0.32)*P119*Q119</f>
        <v>59600.765675247043</v>
      </c>
    </row>
    <row r="120" spans="1:20" x14ac:dyDescent="0.25">
      <c r="A120" s="11" t="s">
        <v>158</v>
      </c>
      <c r="B120" s="11" t="s">
        <v>55</v>
      </c>
      <c r="C120" s="6" t="s">
        <v>160</v>
      </c>
      <c r="D120" s="11" t="s">
        <v>161</v>
      </c>
      <c r="E120" s="17" t="s">
        <v>162</v>
      </c>
      <c r="F120" s="8">
        <v>225</v>
      </c>
      <c r="G120" s="8">
        <v>608</v>
      </c>
      <c r="H120" s="9">
        <f>(F120+G120)*(1+0.466+0.3)+311</f>
        <v>1782.078</v>
      </c>
      <c r="J120" s="14"/>
      <c r="K120" s="12">
        <v>0.33100000000000002</v>
      </c>
      <c r="L120" s="12">
        <v>0</v>
      </c>
      <c r="M120" s="13">
        <f>60.25%+K120/2+L120/4</f>
        <v>0.76800000000000002</v>
      </c>
      <c r="N120" s="13">
        <f>60.25%*2+K120+L120/2</f>
        <v>1.536</v>
      </c>
      <c r="O120" s="12">
        <f>0.466+0.15+0.16+0.24</f>
        <v>1.016</v>
      </c>
      <c r="P120" s="8">
        <f>0.5</f>
        <v>0.5</v>
      </c>
      <c r="Q120" s="8">
        <v>0.9</v>
      </c>
      <c r="R120" s="12">
        <f>4.8348+1.2087*4+2.4174</f>
        <v>12.087000000000002</v>
      </c>
      <c r="S120" s="11" t="s">
        <v>163</v>
      </c>
      <c r="T120" s="9">
        <f>H120*R120*(1+O120)*(1+N120+0.32)*P120*Q120</f>
        <v>55809.287181380285</v>
      </c>
    </row>
    <row r="121" spans="1:20" x14ac:dyDescent="0.25">
      <c r="A121" s="11" t="s">
        <v>158</v>
      </c>
      <c r="B121" s="11" t="s">
        <v>164</v>
      </c>
      <c r="C121" s="6" t="s">
        <v>160</v>
      </c>
      <c r="D121" s="11" t="s">
        <v>161</v>
      </c>
      <c r="E121" s="17" t="s">
        <v>162</v>
      </c>
      <c r="F121" s="8">
        <v>225</v>
      </c>
      <c r="G121" s="8">
        <v>510</v>
      </c>
      <c r="H121" s="9">
        <f>(F121+G121)*(1+0.466+0.3)+311</f>
        <v>1609.01</v>
      </c>
      <c r="J121" s="14"/>
      <c r="K121" s="12">
        <v>0.27600000000000002</v>
      </c>
      <c r="L121" s="12">
        <v>0</v>
      </c>
      <c r="M121" s="13">
        <f>60.25%+K121/2+L121/4</f>
        <v>0.74050000000000005</v>
      </c>
      <c r="N121" s="13">
        <f>60.25%*2+K121+L121/2</f>
        <v>1.4810000000000001</v>
      </c>
      <c r="O121" s="12">
        <f>0.466+0.15+0.4+0.24</f>
        <v>1.256</v>
      </c>
      <c r="P121" s="8">
        <f>0.5</f>
        <v>0.5</v>
      </c>
      <c r="Q121" s="8">
        <v>0.9</v>
      </c>
      <c r="R121" s="12">
        <f>4.8348+1.2087*4+2.4174</f>
        <v>12.087000000000002</v>
      </c>
      <c r="S121" s="11" t="s">
        <v>163</v>
      </c>
      <c r="T121" s="9">
        <f>H121*R121*(1+O121)*(1+N121+0.32)*P121*Q121</f>
        <v>55302.145851756031</v>
      </c>
    </row>
    <row r="122" spans="1:20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x14ac:dyDescent="0.25">
      <c r="A123" s="6" t="s">
        <v>8</v>
      </c>
      <c r="B123" s="6" t="s">
        <v>9</v>
      </c>
      <c r="C123" s="6" t="s">
        <v>10</v>
      </c>
      <c r="D123" s="6" t="s">
        <v>11</v>
      </c>
      <c r="E123" s="7" t="s">
        <v>12</v>
      </c>
      <c r="F123" s="8" t="s">
        <v>13</v>
      </c>
      <c r="G123" s="8" t="s">
        <v>14</v>
      </c>
      <c r="H123" s="9" t="s">
        <v>15</v>
      </c>
      <c r="I123" s="10" t="s">
        <v>17</v>
      </c>
      <c r="J123" s="14" t="s">
        <v>127</v>
      </c>
      <c r="K123" s="12" t="s">
        <v>18</v>
      </c>
      <c r="L123" s="12" t="s">
        <v>19</v>
      </c>
      <c r="M123" s="13" t="s">
        <v>20</v>
      </c>
      <c r="N123" s="13" t="s">
        <v>21</v>
      </c>
      <c r="O123" s="12" t="s">
        <v>22</v>
      </c>
      <c r="P123" s="8" t="s">
        <v>23</v>
      </c>
      <c r="Q123" s="8" t="s">
        <v>24</v>
      </c>
      <c r="R123" s="12" t="s">
        <v>25</v>
      </c>
      <c r="S123" s="6" t="s">
        <v>26</v>
      </c>
      <c r="T123" s="9" t="s">
        <v>27</v>
      </c>
    </row>
    <row r="124" spans="1:20" x14ac:dyDescent="0.25">
      <c r="A124" s="6" t="s">
        <v>165</v>
      </c>
      <c r="B124" s="6" t="s">
        <v>63</v>
      </c>
      <c r="C124" s="6" t="s">
        <v>160</v>
      </c>
      <c r="D124" s="6" t="s">
        <v>166</v>
      </c>
      <c r="E124" s="7" t="s">
        <v>156</v>
      </c>
      <c r="F124" s="8">
        <v>244</v>
      </c>
      <c r="G124" s="8">
        <v>608</v>
      </c>
      <c r="H124" s="9">
        <f>(F124+G124)*(1+0.3+0.496+0.466+0.2)+311</f>
        <v>2408.6240000000003</v>
      </c>
      <c r="I124" s="10">
        <f>96+187+160</f>
        <v>443</v>
      </c>
      <c r="J124" s="14">
        <f>0.358</f>
        <v>0.35799999999999998</v>
      </c>
      <c r="K124" s="12">
        <v>0</v>
      </c>
      <c r="L124" s="12">
        <v>0</v>
      </c>
      <c r="M124" s="13" t="s">
        <v>43</v>
      </c>
      <c r="N124" s="13" t="s">
        <v>43</v>
      </c>
      <c r="O124" s="12">
        <v>0.15</v>
      </c>
      <c r="P124" s="8">
        <f t="shared" ref="P124:P130" si="20">0.5</f>
        <v>0.5</v>
      </c>
      <c r="Q124" s="8">
        <v>0.9</v>
      </c>
      <c r="R124" s="12">
        <v>0</v>
      </c>
      <c r="S124" s="6" t="s">
        <v>167</v>
      </c>
      <c r="T124" s="9">
        <f>(1280+159.74%*H124)*(1+J124)</f>
        <v>6963.1938575808008</v>
      </c>
    </row>
    <row r="125" spans="1:20" x14ac:dyDescent="0.25">
      <c r="A125" s="6" t="s">
        <v>165</v>
      </c>
      <c r="B125" s="6" t="s">
        <v>168</v>
      </c>
      <c r="C125" s="6" t="s">
        <v>160</v>
      </c>
      <c r="D125" s="6" t="s">
        <v>166</v>
      </c>
      <c r="E125" s="7" t="s">
        <v>156</v>
      </c>
      <c r="F125" s="8">
        <v>244</v>
      </c>
      <c r="G125" s="8">
        <v>454</v>
      </c>
      <c r="H125" s="9">
        <f>(F125+G125)*(1+0.3+0.466)+311</f>
        <v>1543.6680000000001</v>
      </c>
      <c r="I125" s="10">
        <f>96+187+160</f>
        <v>443</v>
      </c>
      <c r="J125" s="14">
        <f>0.358</f>
        <v>0.35799999999999998</v>
      </c>
      <c r="K125" s="12">
        <v>0</v>
      </c>
      <c r="L125" s="12">
        <v>0</v>
      </c>
      <c r="M125" s="13" t="s">
        <v>43</v>
      </c>
      <c r="N125" s="13" t="s">
        <v>43</v>
      </c>
      <c r="O125" s="12">
        <v>0.15</v>
      </c>
      <c r="P125" s="8">
        <f t="shared" si="20"/>
        <v>0.5</v>
      </c>
      <c r="Q125" s="8">
        <v>0.9</v>
      </c>
      <c r="R125" s="12">
        <v>0</v>
      </c>
      <c r="S125" s="6" t="s">
        <v>167</v>
      </c>
      <c r="T125" s="9">
        <f>(1280+159.74%*H125)*(1+J125)</f>
        <v>5086.8714474256012</v>
      </c>
    </row>
    <row r="126" spans="1:20" x14ac:dyDescent="0.25">
      <c r="J126" s="14"/>
    </row>
    <row r="127" spans="1:20" x14ac:dyDescent="0.25">
      <c r="A127" s="6" t="s">
        <v>8</v>
      </c>
      <c r="B127" s="6" t="s">
        <v>9</v>
      </c>
      <c r="C127" s="6" t="s">
        <v>10</v>
      </c>
      <c r="D127" s="6" t="s">
        <v>11</v>
      </c>
      <c r="E127" s="7" t="s">
        <v>12</v>
      </c>
      <c r="F127" s="8" t="s">
        <v>13</v>
      </c>
      <c r="G127" s="8" t="s">
        <v>14</v>
      </c>
      <c r="H127" s="9" t="s">
        <v>15</v>
      </c>
      <c r="I127" s="10" t="s">
        <v>17</v>
      </c>
      <c r="J127" s="14" t="s">
        <v>37</v>
      </c>
      <c r="K127" s="12" t="s">
        <v>18</v>
      </c>
      <c r="L127" s="12" t="s">
        <v>19</v>
      </c>
      <c r="M127" s="13" t="s">
        <v>20</v>
      </c>
      <c r="N127" s="13" t="s">
        <v>21</v>
      </c>
      <c r="O127" s="12" t="s">
        <v>22</v>
      </c>
      <c r="P127" s="8" t="s">
        <v>23</v>
      </c>
      <c r="Q127" s="8" t="s">
        <v>24</v>
      </c>
      <c r="R127" s="12" t="s">
        <v>25</v>
      </c>
      <c r="S127" s="6" t="s">
        <v>26</v>
      </c>
      <c r="T127" s="9" t="s">
        <v>27</v>
      </c>
    </row>
    <row r="128" spans="1:20" x14ac:dyDescent="0.25">
      <c r="A128" s="6" t="s">
        <v>169</v>
      </c>
      <c r="B128" s="6" t="s">
        <v>170</v>
      </c>
      <c r="C128" s="6" t="s">
        <v>160</v>
      </c>
      <c r="D128" s="6" t="s">
        <v>171</v>
      </c>
      <c r="E128" s="7" t="s">
        <v>172</v>
      </c>
      <c r="F128" s="8">
        <v>297</v>
      </c>
      <c r="G128" s="8">
        <v>608</v>
      </c>
      <c r="H128" s="9">
        <f>(F128+G128)*(1+0.2)+311</f>
        <v>1397</v>
      </c>
      <c r="I128" s="10">
        <f>115+187*3+160+195</f>
        <v>1031</v>
      </c>
      <c r="J128" s="14">
        <f>1+5.5%*4</f>
        <v>1.22</v>
      </c>
      <c r="K128" s="12">
        <v>0</v>
      </c>
      <c r="L128" s="12">
        <v>0</v>
      </c>
      <c r="M128" s="13" t="s">
        <v>43</v>
      </c>
      <c r="N128" s="13" t="s">
        <v>43</v>
      </c>
      <c r="O128" s="12">
        <v>0</v>
      </c>
      <c r="P128" s="8">
        <f t="shared" si="20"/>
        <v>0.5</v>
      </c>
      <c r="Q128" s="8">
        <v>1.1499999999999999</v>
      </c>
      <c r="R128" s="12">
        <v>0</v>
      </c>
      <c r="S128" s="6" t="s">
        <v>173</v>
      </c>
      <c r="T128" s="9">
        <f>868*Q128*(1+0.6+(16*I128)/(I128+2000))</f>
        <v>7029.7518706697465</v>
      </c>
    </row>
    <row r="129" spans="1:20" x14ac:dyDescent="0.25">
      <c r="A129" s="6" t="s">
        <v>169</v>
      </c>
      <c r="B129" s="60" t="s">
        <v>406</v>
      </c>
      <c r="C129" s="6" t="s">
        <v>160</v>
      </c>
      <c r="D129" s="6" t="s">
        <v>171</v>
      </c>
      <c r="E129" s="7" t="s">
        <v>172</v>
      </c>
      <c r="F129" s="8">
        <v>297</v>
      </c>
      <c r="G129" s="8">
        <v>510</v>
      </c>
      <c r="H129" s="9">
        <f>(F129+G129)*(1+0.2)+311</f>
        <v>1279.4000000000001</v>
      </c>
      <c r="I129" s="10">
        <f>115+187*3+160+165</f>
        <v>1001</v>
      </c>
      <c r="J129" s="14">
        <f>1+5.5%*4+0.072%*I129</f>
        <v>1.9407199999999998</v>
      </c>
      <c r="K129" s="12">
        <v>0</v>
      </c>
      <c r="L129" s="12">
        <v>0</v>
      </c>
      <c r="M129" s="13" t="s">
        <v>43</v>
      </c>
      <c r="N129" s="13" t="s">
        <v>43</v>
      </c>
      <c r="O129" s="12">
        <v>0</v>
      </c>
      <c r="P129" s="8">
        <f t="shared" si="20"/>
        <v>0.5</v>
      </c>
      <c r="Q129" s="8">
        <v>1.1499999999999999</v>
      </c>
      <c r="R129" s="12">
        <v>0</v>
      </c>
      <c r="S129" s="6" t="s">
        <v>173</v>
      </c>
      <c r="T129" s="9">
        <f>868*Q129*(1+0.6+(16*I129)/(I129+2000))</f>
        <v>6924.4013062312561</v>
      </c>
    </row>
    <row r="130" spans="1:20" x14ac:dyDescent="0.25">
      <c r="A130" s="6" t="s">
        <v>169</v>
      </c>
      <c r="B130" s="11" t="s">
        <v>148</v>
      </c>
      <c r="C130" s="6" t="s">
        <v>160</v>
      </c>
      <c r="D130" s="6" t="s">
        <v>171</v>
      </c>
      <c r="E130" s="7" t="s">
        <v>172</v>
      </c>
      <c r="F130" s="8">
        <v>297</v>
      </c>
      <c r="G130" s="8">
        <v>454</v>
      </c>
      <c r="H130" s="9">
        <f>(F130+G130)*(1+0.2)+311</f>
        <v>1212.1999999999998</v>
      </c>
      <c r="I130" s="10">
        <f>115+187*3+160</f>
        <v>836</v>
      </c>
      <c r="J130" s="14">
        <f>1+5.5%*4+0.613</f>
        <v>1.833</v>
      </c>
      <c r="K130" s="12">
        <v>0</v>
      </c>
      <c r="L130" s="12">
        <v>0</v>
      </c>
      <c r="M130" s="13" t="s">
        <v>43</v>
      </c>
      <c r="N130" s="13" t="s">
        <v>43</v>
      </c>
      <c r="O130" s="12">
        <v>0</v>
      </c>
      <c r="P130" s="8">
        <f t="shared" si="20"/>
        <v>0.5</v>
      </c>
      <c r="Q130" s="8">
        <v>1.1499999999999999</v>
      </c>
      <c r="R130" s="12">
        <v>0</v>
      </c>
      <c r="S130" s="6" t="s">
        <v>173</v>
      </c>
      <c r="T130" s="9">
        <f>868*Q130*(1+0.6+(16*I130)/(I130+2000))</f>
        <v>6305.1324118476714</v>
      </c>
    </row>
    <row r="132" spans="1:20" x14ac:dyDescent="0.25">
      <c r="A132" s="6" t="s">
        <v>8</v>
      </c>
      <c r="B132" s="6" t="s">
        <v>9</v>
      </c>
      <c r="C132" s="6" t="s">
        <v>10</v>
      </c>
      <c r="D132" s="6" t="s">
        <v>11</v>
      </c>
      <c r="E132" s="7" t="s">
        <v>12</v>
      </c>
      <c r="F132" s="8" t="s">
        <v>13</v>
      </c>
      <c r="G132" s="8" t="s">
        <v>14</v>
      </c>
      <c r="H132" s="9" t="s">
        <v>15</v>
      </c>
      <c r="I132" s="10" t="s">
        <v>16</v>
      </c>
      <c r="K132" s="12" t="s">
        <v>18</v>
      </c>
      <c r="L132" s="12" t="s">
        <v>19</v>
      </c>
      <c r="M132" s="13" t="s">
        <v>20</v>
      </c>
      <c r="N132" s="13" t="s">
        <v>21</v>
      </c>
      <c r="O132" s="12" t="s">
        <v>22</v>
      </c>
      <c r="P132" s="8" t="s">
        <v>23</v>
      </c>
      <c r="Q132" s="8" t="s">
        <v>24</v>
      </c>
      <c r="R132" s="12" t="s">
        <v>25</v>
      </c>
      <c r="S132" s="6" t="s">
        <v>26</v>
      </c>
      <c r="T132" s="9" t="s">
        <v>27</v>
      </c>
    </row>
    <row r="133" spans="1:20" x14ac:dyDescent="0.25">
      <c r="A133" s="6" t="s">
        <v>175</v>
      </c>
      <c r="B133" s="6" t="s">
        <v>176</v>
      </c>
      <c r="C133" s="11" t="s">
        <v>177</v>
      </c>
      <c r="D133" s="6" t="s">
        <v>161</v>
      </c>
      <c r="E133" s="7" t="s">
        <v>178</v>
      </c>
      <c r="F133" s="8">
        <v>349</v>
      </c>
      <c r="G133" s="8">
        <v>674</v>
      </c>
      <c r="H133" s="9">
        <f>(F133+G133)*(1+0.3+0.466+0.18)+311</f>
        <v>2301.7579999999998</v>
      </c>
      <c r="J133" s="21">
        <f>(F133+G133)*(1+0.3+0.466+0.18+7*3.2%+0.18)+311</f>
        <v>2715.05</v>
      </c>
      <c r="K133" s="12">
        <f>19.2%+22.1%</f>
        <v>0.41300000000000003</v>
      </c>
      <c r="L133" s="12">
        <f>0</f>
        <v>0</v>
      </c>
      <c r="M133" s="13">
        <v>0.8</v>
      </c>
      <c r="N133" s="13">
        <f>60.25%*2+K133+L133/2+0.9%*2</f>
        <v>1.6360000000000001</v>
      </c>
      <c r="O133" s="12">
        <f>0.466+0.12+0.9065+0.05</f>
        <v>1.5425000000000002</v>
      </c>
      <c r="P133" s="8">
        <f>0.5</f>
        <v>0.5</v>
      </c>
      <c r="Q133" s="8">
        <f>0.9</f>
        <v>0.9</v>
      </c>
      <c r="R133" s="12">
        <v>4.0401999999999996</v>
      </c>
      <c r="S133" s="11" t="s">
        <v>179</v>
      </c>
      <c r="T133" s="9">
        <f>J133*R133*(1+O133)*(1+N133)*P133*Q133</f>
        <v>33082.595701816637</v>
      </c>
    </row>
    <row r="134" spans="1:20" x14ac:dyDescent="0.25">
      <c r="A134" s="6" t="s">
        <v>175</v>
      </c>
      <c r="B134" s="6" t="s">
        <v>29</v>
      </c>
      <c r="C134" s="11" t="s">
        <v>177</v>
      </c>
      <c r="D134" s="6" t="s">
        <v>161</v>
      </c>
      <c r="E134" s="7" t="s">
        <v>178</v>
      </c>
      <c r="F134" s="8">
        <v>349</v>
      </c>
      <c r="G134" s="8">
        <v>608</v>
      </c>
      <c r="H134" s="9">
        <f>(F134+G134)*(1+0.3+0.466+0.18)+311+0.8%*I134</f>
        <v>2354.2052000000003</v>
      </c>
      <c r="I134" s="10">
        <f>12736*(1+0.2+0.2)+4780</f>
        <v>22610.399999999998</v>
      </c>
      <c r="J134" s="21">
        <f>(F134+G134)*(1+0.3+0.466+0.18+0.18)+311+0.8%*I134</f>
        <v>2526.4651999999996</v>
      </c>
      <c r="K134" s="12">
        <f>19.2%</f>
        <v>0.192</v>
      </c>
      <c r="L134" s="12">
        <f>66.2%</f>
        <v>0.66200000000000003</v>
      </c>
      <c r="M134" s="13">
        <v>0.8</v>
      </c>
      <c r="N134" s="13">
        <f>60.25%*2+K134+L134/2+6.4%*2</f>
        <v>1.8559999999999999</v>
      </c>
      <c r="O134" s="12">
        <f>0.466+0.9065+0.05</f>
        <v>1.4225000000000001</v>
      </c>
      <c r="P134" s="8">
        <f>0.5</f>
        <v>0.5</v>
      </c>
      <c r="Q134" s="8">
        <f>0.9</f>
        <v>0.9</v>
      </c>
      <c r="R134" s="12">
        <v>4.0401999999999996</v>
      </c>
      <c r="S134" s="6" t="s">
        <v>179</v>
      </c>
      <c r="T134" s="9">
        <f>J134*R134*(1+O134)*(1+N134)*P134*Q134</f>
        <v>31779.765441943833</v>
      </c>
    </row>
    <row r="135" spans="1:20" x14ac:dyDescent="0.25">
      <c r="A135" s="6" t="s">
        <v>175</v>
      </c>
      <c r="B135" s="6" t="s">
        <v>180</v>
      </c>
      <c r="C135" s="11" t="s">
        <v>177</v>
      </c>
      <c r="D135" s="6" t="s">
        <v>161</v>
      </c>
      <c r="E135" s="7" t="s">
        <v>178</v>
      </c>
      <c r="F135" s="8">
        <v>349</v>
      </c>
      <c r="G135" s="8">
        <v>454</v>
      </c>
      <c r="H135" s="9">
        <f>(F135+G135)*(1+0.3+0.466+0.18+0.24)+311</f>
        <v>2066.3580000000002</v>
      </c>
      <c r="J135" s="21">
        <f>(F135+G135)*(1+0.3+0.466+0.18+0.24+0.18)+311</f>
        <v>2210.8980000000001</v>
      </c>
      <c r="K135" s="12">
        <f>19.2%+36.8%</f>
        <v>0.56000000000000005</v>
      </c>
      <c r="L135" s="12">
        <f>0</f>
        <v>0</v>
      </c>
      <c r="M135" s="13">
        <v>0.8</v>
      </c>
      <c r="N135" s="13">
        <f>60.25%*2+K135+L135/2+8.25%*2</f>
        <v>1.9300000000000002</v>
      </c>
      <c r="O135" s="12">
        <f>0.466+0.9065+0.05</f>
        <v>1.4225000000000001</v>
      </c>
      <c r="P135" s="8">
        <f>0.5</f>
        <v>0.5</v>
      </c>
      <c r="Q135" s="8">
        <f>0.9</f>
        <v>0.9</v>
      </c>
      <c r="R135" s="12">
        <v>4.0401999999999996</v>
      </c>
      <c r="S135" s="6" t="s">
        <v>179</v>
      </c>
      <c r="T135" s="9">
        <f>J135*R135*(1+O135)*(1+N135)*P135*Q135</f>
        <v>28530.9012742665</v>
      </c>
    </row>
    <row r="137" spans="1:20" x14ac:dyDescent="0.25">
      <c r="A137" s="6" t="s">
        <v>8</v>
      </c>
      <c r="B137" s="6" t="s">
        <v>9</v>
      </c>
      <c r="C137" s="6" t="s">
        <v>10</v>
      </c>
      <c r="D137" s="6" t="s">
        <v>11</v>
      </c>
      <c r="E137" s="7" t="s">
        <v>12</v>
      </c>
      <c r="F137" s="8" t="s">
        <v>13</v>
      </c>
      <c r="G137" s="8" t="s">
        <v>14</v>
      </c>
      <c r="H137" s="9" t="s">
        <v>15</v>
      </c>
      <c r="I137" s="10" t="s">
        <v>17</v>
      </c>
      <c r="J137" s="14" t="s">
        <v>37</v>
      </c>
      <c r="K137" s="12" t="s">
        <v>18</v>
      </c>
      <c r="L137" s="12" t="s">
        <v>19</v>
      </c>
      <c r="M137" s="13" t="s">
        <v>20</v>
      </c>
      <c r="N137" s="13" t="s">
        <v>21</v>
      </c>
      <c r="O137" s="12" t="s">
        <v>22</v>
      </c>
      <c r="P137" s="8" t="s">
        <v>23</v>
      </c>
      <c r="Q137" s="8" t="s">
        <v>24</v>
      </c>
      <c r="R137" s="12" t="s">
        <v>25</v>
      </c>
      <c r="S137" s="6" t="s">
        <v>26</v>
      </c>
      <c r="T137" s="9" t="s">
        <v>27</v>
      </c>
    </row>
    <row r="138" spans="1:20" x14ac:dyDescent="0.25">
      <c r="A138" s="6" t="s">
        <v>181</v>
      </c>
      <c r="B138" s="6" t="s">
        <v>80</v>
      </c>
      <c r="C138" s="6" t="s">
        <v>160</v>
      </c>
      <c r="D138" s="6" t="s">
        <v>171</v>
      </c>
      <c r="E138" s="7" t="s">
        <v>172</v>
      </c>
      <c r="F138" s="8">
        <v>263</v>
      </c>
      <c r="G138" s="8">
        <v>608</v>
      </c>
      <c r="H138" s="9">
        <f>(F138+G138)*(1+0.2)+311</f>
        <v>1356.2</v>
      </c>
      <c r="I138" s="10">
        <f>187*3+160+60</f>
        <v>781</v>
      </c>
      <c r="J138" s="14">
        <f>1+0.551+0.2+0.32</f>
        <v>2.0710000000000002</v>
      </c>
      <c r="K138" s="12">
        <v>0</v>
      </c>
      <c r="L138" s="12">
        <v>0</v>
      </c>
      <c r="M138" s="13" t="s">
        <v>43</v>
      </c>
      <c r="N138" s="13" t="s">
        <v>43</v>
      </c>
      <c r="O138" s="12">
        <v>0</v>
      </c>
      <c r="P138" s="8">
        <f>0.5</f>
        <v>0.5</v>
      </c>
      <c r="Q138" s="8">
        <v>1.1499999999999999</v>
      </c>
      <c r="R138" s="12">
        <v>0</v>
      </c>
      <c r="S138" s="6" t="s">
        <v>173</v>
      </c>
      <c r="T138" s="9">
        <f>868*Q138*(1+0.6+(16*I138+1600)/(I138+2000+100))</f>
        <v>6481.0586324192982</v>
      </c>
    </row>
    <row r="139" spans="1:20" x14ac:dyDescent="0.25">
      <c r="A139" s="6" t="s">
        <v>181</v>
      </c>
      <c r="B139" s="6" t="s">
        <v>115</v>
      </c>
      <c r="C139" s="6" t="s">
        <v>160</v>
      </c>
      <c r="D139" s="6" t="s">
        <v>171</v>
      </c>
      <c r="E139" s="17" t="s">
        <v>172</v>
      </c>
      <c r="F139" s="8">
        <v>263</v>
      </c>
      <c r="G139" s="8">
        <v>454</v>
      </c>
      <c r="H139" s="9">
        <f>(F139+G139)*(1+0.2)+311</f>
        <v>1171.4000000000001</v>
      </c>
      <c r="I139" s="10">
        <f>187*3+160</f>
        <v>721</v>
      </c>
      <c r="J139" s="14">
        <f>1+0.613+0.2+0.32</f>
        <v>2.133</v>
      </c>
      <c r="K139" s="12">
        <v>0</v>
      </c>
      <c r="L139" s="12">
        <v>0</v>
      </c>
      <c r="M139" s="13" t="s">
        <v>43</v>
      </c>
      <c r="N139" s="13" t="s">
        <v>43</v>
      </c>
      <c r="O139" s="12">
        <v>0</v>
      </c>
      <c r="P139" s="8">
        <f>0.5</f>
        <v>0.5</v>
      </c>
      <c r="Q139" s="8">
        <v>1.1499999999999999</v>
      </c>
      <c r="R139" s="12">
        <v>0</v>
      </c>
      <c r="S139" s="6" t="s">
        <v>173</v>
      </c>
      <c r="T139" s="9">
        <f>868*Q139*(1+0.6+(16*I139)/(I139+2000))</f>
        <v>5829.1064755604548</v>
      </c>
    </row>
    <row r="140" spans="1:20" x14ac:dyDescent="0.25">
      <c r="A140" s="6" t="s">
        <v>181</v>
      </c>
      <c r="B140" s="6" t="s">
        <v>182</v>
      </c>
      <c r="C140" s="6" t="s">
        <v>160</v>
      </c>
      <c r="D140" s="6" t="s">
        <v>183</v>
      </c>
      <c r="E140" s="7" t="s">
        <v>172</v>
      </c>
      <c r="F140" s="8">
        <v>263</v>
      </c>
      <c r="G140" s="8">
        <v>510</v>
      </c>
      <c r="H140" s="9">
        <f>(F140+G140)*(1+0.2)+311</f>
        <v>1238.5999999999999</v>
      </c>
      <c r="I140" s="10">
        <f>187*2+160+165</f>
        <v>699</v>
      </c>
      <c r="J140" s="14">
        <f>1+0.518+0.2+0.32</f>
        <v>2.0379999999999998</v>
      </c>
      <c r="K140" s="12">
        <v>0</v>
      </c>
      <c r="L140" s="12">
        <v>0</v>
      </c>
      <c r="M140" s="13" t="s">
        <v>43</v>
      </c>
      <c r="N140" s="13" t="s">
        <v>43</v>
      </c>
      <c r="O140" s="12">
        <v>0</v>
      </c>
      <c r="P140" s="8">
        <f>0.5</f>
        <v>0.5</v>
      </c>
      <c r="Q140" s="8">
        <v>1.1499999999999999</v>
      </c>
      <c r="R140" s="12">
        <v>0</v>
      </c>
      <c r="S140" s="6" t="s">
        <v>173</v>
      </c>
      <c r="T140" s="9">
        <f>868*Q140*(1+0.6+(16*I140)/(I140+2000))</f>
        <v>5733.4181845127814</v>
      </c>
    </row>
    <row r="142" spans="1:20" x14ac:dyDescent="0.25">
      <c r="A142" s="6" t="s">
        <v>8</v>
      </c>
      <c r="B142" s="6" t="s">
        <v>9</v>
      </c>
      <c r="C142" s="6" t="s">
        <v>10</v>
      </c>
      <c r="D142" s="6" t="s">
        <v>11</v>
      </c>
      <c r="E142" s="7" t="s">
        <v>12</v>
      </c>
      <c r="F142" s="8" t="s">
        <v>13</v>
      </c>
      <c r="G142" s="8" t="s">
        <v>14</v>
      </c>
      <c r="H142" s="9" t="s">
        <v>15</v>
      </c>
      <c r="I142" s="14" t="s">
        <v>37</v>
      </c>
      <c r="J142" s="14" t="s">
        <v>127</v>
      </c>
      <c r="K142" s="12" t="s">
        <v>18</v>
      </c>
      <c r="L142" s="12" t="s">
        <v>19</v>
      </c>
      <c r="M142" s="13" t="s">
        <v>20</v>
      </c>
      <c r="N142" s="13" t="s">
        <v>21</v>
      </c>
      <c r="O142" s="12" t="s">
        <v>22</v>
      </c>
      <c r="P142" s="8" t="s">
        <v>23</v>
      </c>
      <c r="Q142" s="8" t="s">
        <v>24</v>
      </c>
      <c r="R142" s="12" t="s">
        <v>25</v>
      </c>
      <c r="S142" s="6" t="s">
        <v>26</v>
      </c>
      <c r="T142" s="9" t="s">
        <v>27</v>
      </c>
    </row>
    <row r="143" spans="1:20" x14ac:dyDescent="0.25">
      <c r="A143" s="6" t="s">
        <v>184</v>
      </c>
      <c r="B143" s="11" t="s">
        <v>185</v>
      </c>
      <c r="C143" s="6" t="s">
        <v>160</v>
      </c>
      <c r="D143" s="6" t="s">
        <v>186</v>
      </c>
      <c r="E143" s="7" t="s">
        <v>187</v>
      </c>
      <c r="F143" s="8">
        <v>239</v>
      </c>
      <c r="G143" s="8">
        <v>454</v>
      </c>
      <c r="H143" s="9">
        <f>(F143+G143)*(1+0.3+0.466*2+0.551)+311</f>
        <v>2239.6190000000001</v>
      </c>
      <c r="I143" s="14">
        <f>1+0.459+0.2</f>
        <v>1.659</v>
      </c>
      <c r="J143" s="14">
        <f>0.358+0.222</f>
        <v>0.57999999999999996</v>
      </c>
      <c r="K143" s="12">
        <v>0</v>
      </c>
      <c r="L143" s="12">
        <v>0</v>
      </c>
      <c r="M143" s="13" t="s">
        <v>43</v>
      </c>
      <c r="N143" s="13" t="s">
        <v>43</v>
      </c>
      <c r="O143" s="12">
        <v>0</v>
      </c>
      <c r="P143" s="8">
        <f>0.5</f>
        <v>0.5</v>
      </c>
      <c r="Q143" s="8">
        <v>0.9</v>
      </c>
      <c r="R143" s="12">
        <v>0</v>
      </c>
      <c r="S143" s="6" t="s">
        <v>100</v>
      </c>
      <c r="T143" s="9">
        <f>(3389+452.16%*H143)*(1+J143)</f>
        <v>21354.744807232004</v>
      </c>
    </row>
    <row r="144" spans="1:20" x14ac:dyDescent="0.25">
      <c r="A144" s="6" t="s">
        <v>184</v>
      </c>
      <c r="B144" s="6" t="s">
        <v>188</v>
      </c>
      <c r="C144" s="6" t="s">
        <v>160</v>
      </c>
      <c r="D144" s="6" t="s">
        <v>186</v>
      </c>
      <c r="E144" s="7" t="s">
        <v>187</v>
      </c>
      <c r="F144" s="8">
        <v>239</v>
      </c>
      <c r="G144" s="8">
        <v>454</v>
      </c>
      <c r="H144" s="9">
        <f>(F144+G144)*(1+0.3+0.466*2)+311</f>
        <v>1857.7760000000001</v>
      </c>
      <c r="I144" s="14">
        <f>1+0.613+0.2</f>
        <v>1.8129999999999999</v>
      </c>
      <c r="J144" s="14">
        <f>0.358+0.222</f>
        <v>0.57999999999999996</v>
      </c>
      <c r="K144" s="12">
        <v>0</v>
      </c>
      <c r="L144" s="12">
        <v>0</v>
      </c>
      <c r="M144" s="13" t="s">
        <v>43</v>
      </c>
      <c r="N144" s="13" t="s">
        <v>43</v>
      </c>
      <c r="O144" s="12">
        <v>0</v>
      </c>
      <c r="P144" s="8">
        <f>0.5</f>
        <v>0.5</v>
      </c>
      <c r="Q144" s="8">
        <v>0.9</v>
      </c>
      <c r="R144" s="12">
        <v>0</v>
      </c>
      <c r="S144" s="6" t="s">
        <v>100</v>
      </c>
      <c r="T144" s="9">
        <f>(3389+452.16%*H144)*(1+J144)</f>
        <v>18626.809539328002</v>
      </c>
    </row>
    <row r="145" spans="1:22" x14ac:dyDescent="0.25">
      <c r="A145" s="6" t="s">
        <v>184</v>
      </c>
      <c r="B145" s="6" t="s">
        <v>95</v>
      </c>
      <c r="C145" s="6" t="s">
        <v>160</v>
      </c>
      <c r="D145" s="6" t="s">
        <v>189</v>
      </c>
      <c r="E145" s="7" t="s">
        <v>187</v>
      </c>
      <c r="F145" s="8">
        <v>239</v>
      </c>
      <c r="G145" s="8">
        <v>674</v>
      </c>
      <c r="H145" s="9">
        <f>(F145+G145)*(1+0.3+0.466+0.2)+311</f>
        <v>2105.9580000000001</v>
      </c>
      <c r="I145" s="14">
        <f>1+0.518+0.2</f>
        <v>1.718</v>
      </c>
      <c r="J145" s="14">
        <f>0.358+0.222</f>
        <v>0.57999999999999996</v>
      </c>
      <c r="K145" s="12">
        <v>0</v>
      </c>
      <c r="L145" s="12">
        <v>0</v>
      </c>
      <c r="M145" s="13" t="s">
        <v>43</v>
      </c>
      <c r="N145" s="13" t="s">
        <v>43</v>
      </c>
      <c r="O145" s="12">
        <v>0</v>
      </c>
      <c r="P145" s="8">
        <f>0.5</f>
        <v>0.5</v>
      </c>
      <c r="Q145" s="8">
        <v>0.9</v>
      </c>
      <c r="R145" s="12">
        <v>0</v>
      </c>
      <c r="S145" s="6" t="s">
        <v>100</v>
      </c>
      <c r="T145" s="9">
        <f>(3389+452.16%*H145)*(1+J145)</f>
        <v>20399.853514624003</v>
      </c>
    </row>
    <row r="147" spans="1:22" x14ac:dyDescent="0.25">
      <c r="A147" s="6" t="s">
        <v>8</v>
      </c>
      <c r="B147" s="6" t="s">
        <v>9</v>
      </c>
      <c r="C147" s="6" t="s">
        <v>10</v>
      </c>
      <c r="D147" s="6" t="s">
        <v>11</v>
      </c>
      <c r="E147" s="7" t="s">
        <v>12</v>
      </c>
      <c r="F147" s="8" t="s">
        <v>13</v>
      </c>
      <c r="G147" s="8" t="s">
        <v>14</v>
      </c>
      <c r="H147" s="9" t="s">
        <v>15</v>
      </c>
      <c r="I147" s="10" t="s">
        <v>17</v>
      </c>
      <c r="J147" s="14"/>
      <c r="K147" s="12" t="s">
        <v>18</v>
      </c>
      <c r="L147" s="12" t="s">
        <v>19</v>
      </c>
      <c r="M147" s="13" t="s">
        <v>20</v>
      </c>
      <c r="N147" s="13" t="s">
        <v>21</v>
      </c>
      <c r="O147" s="12" t="s">
        <v>22</v>
      </c>
      <c r="P147" s="8" t="s">
        <v>23</v>
      </c>
      <c r="Q147" s="8" t="s">
        <v>24</v>
      </c>
      <c r="R147" s="12" t="s">
        <v>25</v>
      </c>
      <c r="S147" s="6" t="s">
        <v>26</v>
      </c>
      <c r="T147" s="9" t="s">
        <v>27</v>
      </c>
    </row>
    <row r="148" spans="1:22" x14ac:dyDescent="0.25">
      <c r="A148" s="6" t="s">
        <v>190</v>
      </c>
      <c r="B148" s="6" t="s">
        <v>191</v>
      </c>
      <c r="C148" s="6" t="s">
        <v>160</v>
      </c>
      <c r="D148" s="6" t="s">
        <v>183</v>
      </c>
      <c r="E148" s="7" t="s">
        <v>172</v>
      </c>
      <c r="F148" s="8">
        <v>170</v>
      </c>
      <c r="G148" s="8">
        <v>454</v>
      </c>
      <c r="H148" s="9">
        <f>(F148+G148)*(1+0.2)+311</f>
        <v>1059.8</v>
      </c>
      <c r="I148" s="10">
        <f>187*2+160+221</f>
        <v>755</v>
      </c>
      <c r="J148" s="14"/>
      <c r="K148" s="12">
        <v>0</v>
      </c>
      <c r="L148" s="12">
        <v>0</v>
      </c>
      <c r="M148" s="13" t="s">
        <v>43</v>
      </c>
      <c r="N148" s="13" t="s">
        <v>43</v>
      </c>
      <c r="O148" s="12">
        <v>0</v>
      </c>
      <c r="P148" s="8">
        <f>0.5</f>
        <v>0.5</v>
      </c>
      <c r="Q148" s="8">
        <v>1.1499999999999999</v>
      </c>
      <c r="R148" s="12">
        <v>0</v>
      </c>
      <c r="S148" s="6" t="s">
        <v>173</v>
      </c>
      <c r="T148" s="9">
        <f>868*Q148*(1+0.6+(16*I148)/(I148+2000))</f>
        <v>5973.9824319419231</v>
      </c>
    </row>
    <row r="149" spans="1:22" x14ac:dyDescent="0.25">
      <c r="A149" s="6" t="s">
        <v>190</v>
      </c>
      <c r="B149" s="6" t="s">
        <v>134</v>
      </c>
      <c r="C149" s="6" t="s">
        <v>160</v>
      </c>
      <c r="D149" s="6" t="s">
        <v>183</v>
      </c>
      <c r="E149" s="7" t="s">
        <v>172</v>
      </c>
      <c r="F149" s="8">
        <v>170</v>
      </c>
      <c r="G149" s="8">
        <v>510</v>
      </c>
      <c r="H149" s="9">
        <f>(F149+G149)*(1+0.2)+311</f>
        <v>1127</v>
      </c>
      <c r="I149" s="10">
        <f>187*2+160</f>
        <v>534</v>
      </c>
      <c r="J149" s="14"/>
      <c r="K149" s="12">
        <v>0</v>
      </c>
      <c r="L149" s="12">
        <v>0</v>
      </c>
      <c r="M149" s="13" t="s">
        <v>43</v>
      </c>
      <c r="N149" s="13" t="s">
        <v>43</v>
      </c>
      <c r="O149" s="12">
        <v>0</v>
      </c>
      <c r="P149" s="8">
        <f>0.5</f>
        <v>0.5</v>
      </c>
      <c r="Q149" s="8">
        <v>1.1499999999999999</v>
      </c>
      <c r="R149" s="12">
        <v>0</v>
      </c>
      <c r="S149" s="6" t="s">
        <v>173</v>
      </c>
      <c r="T149" s="9">
        <f>868*Q149*(1+0.6+(16*I149)/(I149+2000))</f>
        <v>4962.7951381215471</v>
      </c>
    </row>
    <row r="150" spans="1:22" x14ac:dyDescent="0.25">
      <c r="A150" s="6" t="s">
        <v>190</v>
      </c>
      <c r="B150" s="6" t="s">
        <v>135</v>
      </c>
      <c r="C150" s="6" t="s">
        <v>160</v>
      </c>
      <c r="D150" s="6" t="s">
        <v>183</v>
      </c>
      <c r="E150" s="7" t="s">
        <v>172</v>
      </c>
      <c r="F150" s="8">
        <v>170</v>
      </c>
      <c r="G150" s="8">
        <v>401</v>
      </c>
      <c r="H150" s="9">
        <f>(F150+G150)*(1+0.2)+311</f>
        <v>996.19999999999993</v>
      </c>
      <c r="I150" s="10">
        <f>187*2+160</f>
        <v>534</v>
      </c>
      <c r="J150" s="14"/>
      <c r="K150" s="12">
        <v>0</v>
      </c>
      <c r="L150" s="12">
        <v>0</v>
      </c>
      <c r="M150" s="13" t="s">
        <v>43</v>
      </c>
      <c r="N150" s="13" t="s">
        <v>43</v>
      </c>
      <c r="O150" s="12">
        <v>0</v>
      </c>
      <c r="P150" s="8">
        <f>0.5</f>
        <v>0.5</v>
      </c>
      <c r="Q150" s="8">
        <v>1.1499999999999999</v>
      </c>
      <c r="R150" s="12">
        <v>0</v>
      </c>
      <c r="S150" s="6" t="s">
        <v>173</v>
      </c>
      <c r="T150" s="9">
        <f>868*Q150*(1+0.6+(16*I150)/(I150+2000))</f>
        <v>4962.7951381215471</v>
      </c>
    </row>
    <row r="151" spans="1:22" x14ac:dyDescent="0.25">
      <c r="J151" s="14"/>
    </row>
    <row r="152" spans="1:22" x14ac:dyDescent="0.25">
      <c r="A152" s="6" t="s">
        <v>8</v>
      </c>
      <c r="B152" s="6" t="s">
        <v>9</v>
      </c>
      <c r="C152" s="6" t="s">
        <v>10</v>
      </c>
      <c r="D152" s="6" t="s">
        <v>11</v>
      </c>
      <c r="E152" s="7" t="s">
        <v>12</v>
      </c>
      <c r="F152" s="8" t="s">
        <v>13</v>
      </c>
      <c r="G152" s="8" t="s">
        <v>14</v>
      </c>
      <c r="H152" s="9" t="s">
        <v>15</v>
      </c>
      <c r="I152" s="10" t="s">
        <v>17</v>
      </c>
      <c r="J152" s="14"/>
      <c r="K152" s="12" t="s">
        <v>18</v>
      </c>
      <c r="L152" s="12" t="s">
        <v>19</v>
      </c>
      <c r="M152" s="13" t="s">
        <v>20</v>
      </c>
      <c r="N152" s="13" t="s">
        <v>21</v>
      </c>
      <c r="O152" s="12" t="s">
        <v>22</v>
      </c>
      <c r="P152" s="8" t="s">
        <v>23</v>
      </c>
      <c r="Q152" s="8" t="s">
        <v>24</v>
      </c>
      <c r="R152" s="12" t="s">
        <v>25</v>
      </c>
      <c r="S152" s="6" t="s">
        <v>26</v>
      </c>
      <c r="T152" s="9" t="s">
        <v>27</v>
      </c>
    </row>
    <row r="153" spans="1:22" x14ac:dyDescent="0.25">
      <c r="A153" s="6" t="s">
        <v>192</v>
      </c>
      <c r="B153" s="6" t="s">
        <v>188</v>
      </c>
      <c r="C153" s="6" t="s">
        <v>160</v>
      </c>
      <c r="D153" s="6" t="s">
        <v>171</v>
      </c>
      <c r="E153" s="17" t="s">
        <v>172</v>
      </c>
      <c r="F153" s="8">
        <v>212</v>
      </c>
      <c r="G153" s="8">
        <v>454</v>
      </c>
      <c r="H153" s="9">
        <f>(F153+G153)*(1+0.2+0.24)+311</f>
        <v>1270.04</v>
      </c>
      <c r="I153" s="10">
        <f>187*3+160</f>
        <v>721</v>
      </c>
      <c r="J153" s="14"/>
      <c r="K153" s="12">
        <v>0</v>
      </c>
      <c r="L153" s="12">
        <v>0</v>
      </c>
      <c r="M153" s="13" t="s">
        <v>43</v>
      </c>
      <c r="N153" s="13" t="s">
        <v>43</v>
      </c>
      <c r="O153" s="12">
        <v>0</v>
      </c>
      <c r="P153" s="8">
        <f>0.5</f>
        <v>0.5</v>
      </c>
      <c r="Q153" s="8">
        <v>1.1499999999999999</v>
      </c>
      <c r="R153" s="12">
        <v>0</v>
      </c>
      <c r="S153" s="6" t="s">
        <v>173</v>
      </c>
      <c r="T153" s="9">
        <f>868*Q153*(1+0.6+(16*I153)/(I153+2000))</f>
        <v>5829.1064755604548</v>
      </c>
    </row>
    <row r="154" spans="1:22" x14ac:dyDescent="0.25">
      <c r="E154" s="17"/>
      <c r="J154" s="14"/>
    </row>
    <row r="155" spans="1:22" x14ac:dyDescent="0.2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</row>
    <row r="156" spans="1:22" x14ac:dyDescent="0.25">
      <c r="A156" s="6" t="s">
        <v>8</v>
      </c>
      <c r="B156" s="6" t="s">
        <v>9</v>
      </c>
      <c r="C156" s="6" t="s">
        <v>10</v>
      </c>
      <c r="D156" s="6" t="s">
        <v>11</v>
      </c>
      <c r="E156" s="7" t="s">
        <v>12</v>
      </c>
      <c r="F156" s="8" t="s">
        <v>13</v>
      </c>
      <c r="G156" s="8" t="s">
        <v>14</v>
      </c>
      <c r="H156" s="9" t="s">
        <v>15</v>
      </c>
      <c r="I156" s="10" t="s">
        <v>17</v>
      </c>
      <c r="J156" s="14" t="s">
        <v>37</v>
      </c>
      <c r="K156" s="12" t="s">
        <v>18</v>
      </c>
      <c r="L156" s="12" t="s">
        <v>19</v>
      </c>
      <c r="M156" s="13" t="s">
        <v>20</v>
      </c>
      <c r="N156" s="13" t="s">
        <v>21</v>
      </c>
      <c r="O156" s="12" t="s">
        <v>22</v>
      </c>
      <c r="P156" s="8" t="s">
        <v>23</v>
      </c>
      <c r="Q156" s="8" t="s">
        <v>24</v>
      </c>
      <c r="R156" s="12" t="s">
        <v>25</v>
      </c>
      <c r="S156" s="6" t="s">
        <v>26</v>
      </c>
      <c r="T156" s="9" t="s">
        <v>27</v>
      </c>
      <c r="U156" s="25" t="s">
        <v>17</v>
      </c>
      <c r="V156" s="26" t="s">
        <v>193</v>
      </c>
    </row>
    <row r="157" spans="1:22" x14ac:dyDescent="0.25">
      <c r="A157" s="11" t="s">
        <v>194</v>
      </c>
      <c r="B157" s="11" t="s">
        <v>195</v>
      </c>
      <c r="C157" s="11" t="s">
        <v>196</v>
      </c>
      <c r="D157" s="6" t="s">
        <v>197</v>
      </c>
      <c r="E157" s="17" t="s">
        <v>142</v>
      </c>
      <c r="F157" s="8">
        <f t="shared" ref="F157:F162" si="21">318</f>
        <v>318</v>
      </c>
      <c r="G157" s="8">
        <v>542</v>
      </c>
      <c r="H157" s="9">
        <f>(F157+G157)*(1)+311+52%*I157</f>
        <v>1351.44</v>
      </c>
      <c r="I157" s="10">
        <f>80+187+80</f>
        <v>347</v>
      </c>
      <c r="J157" s="13">
        <f t="shared" ref="J157:J162" si="22">120%</f>
        <v>1.2</v>
      </c>
      <c r="K157" s="12">
        <v>0.441</v>
      </c>
      <c r="L157" s="12">
        <v>0.38400000000000001</v>
      </c>
      <c r="M157" s="13">
        <f>60.25%+K157/2+L157/4-11.9%</f>
        <v>0.8</v>
      </c>
      <c r="N157" s="13">
        <f>60.25%*2+K157+L157/2+11.9%*2</f>
        <v>2.0760000000000001</v>
      </c>
      <c r="O157" s="12">
        <f>0.466+0.35</f>
        <v>0.81600000000000006</v>
      </c>
      <c r="P157" s="8">
        <v>0.5</v>
      </c>
      <c r="Q157" s="8">
        <v>0.9</v>
      </c>
      <c r="R157" s="12">
        <v>2.6656</v>
      </c>
      <c r="S157" s="11" t="s">
        <v>198</v>
      </c>
      <c r="T157" s="9">
        <f>(V157*R157+1.15*1446.85*(1+(5*(U157))/(1200+U157)))*(1+O157)*(1+N157)*P157*Q157</f>
        <v>24368.115937141021</v>
      </c>
      <c r="U157" s="25">
        <f>I157+100+100</f>
        <v>547</v>
      </c>
      <c r="V157" s="24">
        <f>(F157+G157)*(1+0.14)+311+(52%+28%*3)*U157</f>
        <v>2035.3200000000002</v>
      </c>
    </row>
    <row r="158" spans="1:22" x14ac:dyDescent="0.25">
      <c r="A158" s="11" t="s">
        <v>194</v>
      </c>
      <c r="B158" s="11" t="s">
        <v>176</v>
      </c>
      <c r="C158" s="11" t="s">
        <v>196</v>
      </c>
      <c r="D158" s="6" t="s">
        <v>199</v>
      </c>
      <c r="E158" s="17" t="s">
        <v>142</v>
      </c>
      <c r="F158" s="8">
        <f t="shared" si="21"/>
        <v>318</v>
      </c>
      <c r="G158" s="8">
        <v>674</v>
      </c>
      <c r="H158" s="9">
        <f>(F158+G158)*(1+0.466)+311</f>
        <v>1765.2719999999999</v>
      </c>
      <c r="I158" s="10">
        <f>80+80</f>
        <v>160</v>
      </c>
      <c r="J158" s="13">
        <f t="shared" si="22"/>
        <v>1.2</v>
      </c>
      <c r="K158" s="12">
        <v>0.221</v>
      </c>
      <c r="L158" s="12">
        <v>0.38400000000000001</v>
      </c>
      <c r="M158" s="13">
        <f>60.25%+K158/2+L158/4-0.9%</f>
        <v>0.8</v>
      </c>
      <c r="N158" s="13">
        <f>60.25%*2+K158+L158/2+0.9%*2</f>
        <v>1.6360000000000001</v>
      </c>
      <c r="O158" s="12">
        <f>0.466+0.35+0.12</f>
        <v>0.93600000000000005</v>
      </c>
      <c r="P158" s="8">
        <v>0.5</v>
      </c>
      <c r="Q158" s="8">
        <v>0.9</v>
      </c>
      <c r="R158" s="12">
        <v>2.6656</v>
      </c>
      <c r="S158" s="11" t="s">
        <v>198</v>
      </c>
      <c r="T158" s="9">
        <f>(V158*R158+1.15*1446.85*(1+(5*(U158))/(1200+U158)))*(1+O158)*(1+N158)*P158*Q158</f>
        <v>21246.514556260678</v>
      </c>
      <c r="U158" s="25">
        <f>I158+100+100</f>
        <v>360</v>
      </c>
      <c r="V158" s="24">
        <f>(F158+G158)*(1+7*3.2%+0.466+0.14)+311</f>
        <v>2126.36</v>
      </c>
    </row>
    <row r="159" spans="1:22" x14ac:dyDescent="0.25">
      <c r="A159" s="11" t="s">
        <v>194</v>
      </c>
      <c r="B159" s="11" t="s">
        <v>180</v>
      </c>
      <c r="C159" s="11" t="s">
        <v>196</v>
      </c>
      <c r="D159" s="6" t="s">
        <v>197</v>
      </c>
      <c r="E159" s="17" t="s">
        <v>142</v>
      </c>
      <c r="F159" s="8">
        <f t="shared" si="21"/>
        <v>318</v>
      </c>
      <c r="G159" s="8">
        <v>454</v>
      </c>
      <c r="H159" s="9">
        <f>(F159+G159)*(1)+311</f>
        <v>1083</v>
      </c>
      <c r="I159" s="10">
        <f>80+187+80</f>
        <v>347</v>
      </c>
      <c r="J159" s="13">
        <f t="shared" si="22"/>
        <v>1.2</v>
      </c>
      <c r="K159" s="12">
        <v>0.36799999999999999</v>
      </c>
      <c r="L159" s="12">
        <v>0.38400000000000001</v>
      </c>
      <c r="M159" s="13">
        <f>60.25%+K159/2+L159/4-8.25%</f>
        <v>0.79999999999999993</v>
      </c>
      <c r="N159" s="13">
        <f>60.25%*2+K159+L159/2+8.25%*2</f>
        <v>1.93</v>
      </c>
      <c r="O159" s="12">
        <f>0.466+0.35</f>
        <v>0.81600000000000006</v>
      </c>
      <c r="P159" s="8">
        <v>0.5</v>
      </c>
      <c r="Q159" s="8">
        <v>0.9</v>
      </c>
      <c r="R159" s="12">
        <v>2.6656</v>
      </c>
      <c r="S159" s="11" t="s">
        <v>198</v>
      </c>
      <c r="T159" s="9">
        <f>(V159*R159+1.15*1446.85*(1+(5*(U159))/(1200+U159)))*(1+O159)*(1+N159)*P159*Q159</f>
        <v>19596.963331743613</v>
      </c>
      <c r="U159" s="25">
        <f>I159+100+100</f>
        <v>547</v>
      </c>
      <c r="V159" s="24">
        <f>(F159+G159)*(1+0.36+0.14)+311</f>
        <v>1469</v>
      </c>
    </row>
    <row r="160" spans="1:22" x14ac:dyDescent="0.25">
      <c r="A160" s="11" t="s">
        <v>194</v>
      </c>
      <c r="B160" s="11" t="s">
        <v>195</v>
      </c>
      <c r="C160" s="11" t="s">
        <v>200</v>
      </c>
      <c r="D160" s="6" t="s">
        <v>197</v>
      </c>
      <c r="E160" s="17" t="s">
        <v>142</v>
      </c>
      <c r="F160" s="8">
        <f t="shared" si="21"/>
        <v>318</v>
      </c>
      <c r="G160" s="8">
        <v>542</v>
      </c>
      <c r="H160" s="9">
        <f>(F160+G160)*(1)+311+52%*I160</f>
        <v>1309.8399999999999</v>
      </c>
      <c r="I160" s="10">
        <f>80+187</f>
        <v>267</v>
      </c>
      <c r="J160" s="13">
        <f t="shared" si="22"/>
        <v>1.2</v>
      </c>
      <c r="K160" s="12">
        <v>0.441</v>
      </c>
      <c r="L160" s="12">
        <v>0.38400000000000001</v>
      </c>
      <c r="M160" s="13">
        <f>60.25%+K160/2+L160/4-11.9%</f>
        <v>0.8</v>
      </c>
      <c r="N160" s="13">
        <f>60.25%*2+K160+L160/2+11.9%*2</f>
        <v>2.0760000000000001</v>
      </c>
      <c r="O160" s="12">
        <f>0.466+0.35+0.15</f>
        <v>0.96600000000000008</v>
      </c>
      <c r="P160" s="8">
        <v>0.5</v>
      </c>
      <c r="Q160" s="8">
        <v>0.9</v>
      </c>
      <c r="R160" s="12">
        <v>2.6656</v>
      </c>
      <c r="S160" s="11" t="s">
        <v>198</v>
      </c>
      <c r="T160" s="9">
        <f>(V160*R160+1.15*1446.85*(1.2+(5*(U160))/(1200+U160)))*(1+O160)*(1+N160)*P160*Q160</f>
        <v>22850.989775254271</v>
      </c>
      <c r="U160" s="25">
        <f>I160+100</f>
        <v>367</v>
      </c>
      <c r="V160" s="24">
        <f>(F160+G160)*(1)+311+(52%+28%*3)*U160</f>
        <v>1670.1200000000001</v>
      </c>
    </row>
    <row r="161" spans="1:22" x14ac:dyDescent="0.25">
      <c r="A161" s="11" t="s">
        <v>194</v>
      </c>
      <c r="B161" s="11" t="s">
        <v>176</v>
      </c>
      <c r="C161" s="11" t="s">
        <v>200</v>
      </c>
      <c r="D161" s="6" t="s">
        <v>197</v>
      </c>
      <c r="E161" s="17" t="s">
        <v>142</v>
      </c>
      <c r="F161" s="8">
        <f t="shared" si="21"/>
        <v>318</v>
      </c>
      <c r="G161" s="8">
        <v>674</v>
      </c>
      <c r="H161" s="9">
        <f>(F161+G161)*(1)+311</f>
        <v>1303</v>
      </c>
      <c r="I161" s="10">
        <f>80+187</f>
        <v>267</v>
      </c>
      <c r="J161" s="13">
        <f t="shared" si="22"/>
        <v>1.2</v>
      </c>
      <c r="K161" s="12">
        <v>0.221</v>
      </c>
      <c r="L161" s="12">
        <v>0.38400000000000001</v>
      </c>
      <c r="M161" s="13">
        <f>60.25%+K161/2+L161/4-0.9%</f>
        <v>0.8</v>
      </c>
      <c r="N161" s="13">
        <f>60.25%*2+K161+L161/2+0.9%*2</f>
        <v>1.6360000000000001</v>
      </c>
      <c r="O161" s="12">
        <f>0.466+0.35+0.12+0.15</f>
        <v>1.0860000000000001</v>
      </c>
      <c r="P161" s="8">
        <v>0.5</v>
      </c>
      <c r="Q161" s="8">
        <v>0.9</v>
      </c>
      <c r="R161" s="12">
        <v>2.6656</v>
      </c>
      <c r="S161" s="11" t="s">
        <v>198</v>
      </c>
      <c r="T161" s="9">
        <f>(V161*R161+1.15*1446.85*(1.2+(5*(U161))/(1200+U161)))*(1+O161)*(1+N161)*P161*Q161</f>
        <v>22870.817850891133</v>
      </c>
      <c r="U161" s="25">
        <f>I161+100</f>
        <v>367</v>
      </c>
      <c r="V161" s="24">
        <f>(F161+G161)*(1+7*3.2%+0.466)+311</f>
        <v>1987.48</v>
      </c>
    </row>
    <row r="162" spans="1:22" x14ac:dyDescent="0.25">
      <c r="A162" s="11" t="s">
        <v>194</v>
      </c>
      <c r="B162" s="11" t="s">
        <v>180</v>
      </c>
      <c r="C162" s="11" t="s">
        <v>200</v>
      </c>
      <c r="D162" s="6" t="s">
        <v>197</v>
      </c>
      <c r="E162" s="17" t="s">
        <v>142</v>
      </c>
      <c r="F162" s="8">
        <f t="shared" si="21"/>
        <v>318</v>
      </c>
      <c r="G162" s="8">
        <v>454</v>
      </c>
      <c r="H162" s="9">
        <f>(F162+G162)*(1)+311</f>
        <v>1083</v>
      </c>
      <c r="I162" s="10">
        <f>80+187</f>
        <v>267</v>
      </c>
      <c r="J162" s="13">
        <f t="shared" si="22"/>
        <v>1.2</v>
      </c>
      <c r="K162" s="12">
        <v>0.36799999999999999</v>
      </c>
      <c r="L162" s="12">
        <v>0.38400000000000001</v>
      </c>
      <c r="M162" s="13">
        <f>60.25%+K162/2+L162/4-8.25%</f>
        <v>0.79999999999999993</v>
      </c>
      <c r="N162" s="13">
        <f>60.25%*2+K162+L162/2+8.25%*2</f>
        <v>1.93</v>
      </c>
      <c r="O162" s="12">
        <f>0.466+0.35+0.15</f>
        <v>0.96600000000000008</v>
      </c>
      <c r="P162" s="8">
        <v>0.5</v>
      </c>
      <c r="Q162" s="8">
        <v>0.9</v>
      </c>
      <c r="R162" s="12">
        <v>2.6656</v>
      </c>
      <c r="S162" s="11" t="s">
        <v>198</v>
      </c>
      <c r="T162" s="9">
        <f>(V162*R162+1.15*1446.85*(1.2+(5*(U162))/(1200+U162)))*(1+O162)*(1+N162)*P162*Q162</f>
        <v>19629.908466322642</v>
      </c>
      <c r="U162" s="25">
        <f>I162+100</f>
        <v>367</v>
      </c>
      <c r="V162" s="24">
        <f>(F162+G162)*(1+0.36)+311</f>
        <v>1360.9199999999998</v>
      </c>
    </row>
    <row r="163" spans="1:2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2" s="4" customFormat="1" x14ac:dyDescent="0.25">
      <c r="A164" s="6" t="s">
        <v>8</v>
      </c>
      <c r="B164" s="6" t="s">
        <v>9</v>
      </c>
      <c r="C164" s="6" t="s">
        <v>10</v>
      </c>
      <c r="D164" s="6" t="s">
        <v>11</v>
      </c>
      <c r="E164" s="7" t="s">
        <v>12</v>
      </c>
      <c r="F164" s="8" t="s">
        <v>13</v>
      </c>
      <c r="G164" s="8" t="s">
        <v>14</v>
      </c>
      <c r="H164" s="9" t="s">
        <v>15</v>
      </c>
      <c r="I164" s="10" t="s">
        <v>37</v>
      </c>
      <c r="J164" s="14" t="s">
        <v>97</v>
      </c>
      <c r="K164" s="12" t="s">
        <v>18</v>
      </c>
      <c r="L164" s="12" t="s">
        <v>19</v>
      </c>
      <c r="M164" s="13" t="s">
        <v>20</v>
      </c>
      <c r="N164" s="13" t="s">
        <v>21</v>
      </c>
      <c r="O164" s="12" t="s">
        <v>22</v>
      </c>
      <c r="P164" s="8" t="s">
        <v>23</v>
      </c>
      <c r="Q164" s="8" t="s">
        <v>24</v>
      </c>
      <c r="R164" s="12" t="s">
        <v>25</v>
      </c>
      <c r="S164" s="6" t="s">
        <v>26</v>
      </c>
      <c r="T164" s="9" t="s">
        <v>27</v>
      </c>
    </row>
    <row r="165" spans="1:22" s="4" customFormat="1" x14ac:dyDescent="0.25">
      <c r="A165" s="11" t="s">
        <v>201</v>
      </c>
      <c r="B165" s="11" t="s">
        <v>168</v>
      </c>
      <c r="C165" s="11" t="s">
        <v>130</v>
      </c>
      <c r="D165" s="11" t="s">
        <v>136</v>
      </c>
      <c r="E165" s="17" t="s">
        <v>202</v>
      </c>
      <c r="F165" s="8">
        <v>223</v>
      </c>
      <c r="G165" s="8">
        <v>454</v>
      </c>
      <c r="H165" s="9">
        <f>(F165+G165)*(1)+311</f>
        <v>988</v>
      </c>
      <c r="I165" s="19">
        <f>1+0.613+0.2</f>
        <v>1.8129999999999999</v>
      </c>
      <c r="J165" s="10">
        <f>12397*(1+0.24+0.466*2+0.05*12)+4780</f>
        <v>39144.484000000004</v>
      </c>
      <c r="K165" s="12">
        <v>0</v>
      </c>
      <c r="L165" s="12">
        <v>0</v>
      </c>
      <c r="M165" s="14" t="s">
        <v>43</v>
      </c>
      <c r="N165" s="14" t="s">
        <v>43</v>
      </c>
      <c r="O165" s="12">
        <v>0</v>
      </c>
      <c r="P165" s="8">
        <v>0.5</v>
      </c>
      <c r="Q165" s="8">
        <v>0.9</v>
      </c>
      <c r="R165" s="12">
        <v>0.13339999999999999</v>
      </c>
      <c r="S165" s="11" t="s">
        <v>203</v>
      </c>
      <c r="T165" s="9">
        <f>(R165*J165+1642.54)*(1+0.358+0.15)</f>
        <v>10351.536561724801</v>
      </c>
    </row>
    <row r="166" spans="1:22" s="4" customFormat="1" x14ac:dyDescent="0.25">
      <c r="A166" s="11" t="s">
        <v>201</v>
      </c>
      <c r="B166" s="11" t="s">
        <v>204</v>
      </c>
      <c r="C166" s="11" t="s">
        <v>130</v>
      </c>
      <c r="D166" s="11" t="s">
        <v>99</v>
      </c>
      <c r="E166" s="17" t="s">
        <v>202</v>
      </c>
      <c r="F166" s="8">
        <v>223</v>
      </c>
      <c r="G166" s="8">
        <f>510</f>
        <v>510</v>
      </c>
      <c r="H166" s="9">
        <f>(F166+G166)*(1)+311</f>
        <v>1044</v>
      </c>
      <c r="I166" s="19">
        <f>1+0.518+0.2</f>
        <v>1.718</v>
      </c>
      <c r="J166" s="10">
        <f>12397*(1+0.24+0.466*1+0.05*12+0.413)+4780</f>
        <v>38487.442999999999</v>
      </c>
      <c r="K166" s="12">
        <v>0</v>
      </c>
      <c r="L166" s="12">
        <v>0</v>
      </c>
      <c r="M166" s="14" t="s">
        <v>43</v>
      </c>
      <c r="N166" s="14" t="s">
        <v>43</v>
      </c>
      <c r="O166" s="12">
        <v>0</v>
      </c>
      <c r="P166" s="8">
        <v>0.5</v>
      </c>
      <c r="Q166" s="8">
        <v>0.9</v>
      </c>
      <c r="R166" s="12">
        <v>0.13339999999999999</v>
      </c>
      <c r="S166" s="11" t="s">
        <v>203</v>
      </c>
      <c r="T166" s="9">
        <f>(R166*J166+1642.54)*(1+0.358+0.15)</f>
        <v>10219.361463469599</v>
      </c>
    </row>
    <row r="167" spans="1:22" s="4" customFormat="1" x14ac:dyDescent="0.25">
      <c r="A167" s="11" t="s">
        <v>201</v>
      </c>
      <c r="B167" s="11" t="s">
        <v>74</v>
      </c>
      <c r="C167" s="11" t="s">
        <v>130</v>
      </c>
      <c r="D167" s="11" t="s">
        <v>136</v>
      </c>
      <c r="E167" s="17" t="s">
        <v>202</v>
      </c>
      <c r="F167" s="8">
        <v>223</v>
      </c>
      <c r="G167" s="8">
        <v>565</v>
      </c>
      <c r="H167" s="9">
        <f>(F167+G167)*(1)+311</f>
        <v>1099</v>
      </c>
      <c r="I167" s="19">
        <f>1+0.306+0.2</f>
        <v>1.506</v>
      </c>
      <c r="J167" s="10">
        <f>12397*(1+0.24+0.466*2+0.05*12)+4780</f>
        <v>39144.484000000004</v>
      </c>
      <c r="K167" s="12">
        <v>0</v>
      </c>
      <c r="L167" s="12">
        <v>0</v>
      </c>
      <c r="M167" s="14" t="s">
        <v>43</v>
      </c>
      <c r="N167" s="14" t="s">
        <v>43</v>
      </c>
      <c r="O167" s="12">
        <v>0</v>
      </c>
      <c r="P167" s="8">
        <v>0.5</v>
      </c>
      <c r="Q167" s="8">
        <v>0.9</v>
      </c>
      <c r="R167" s="12">
        <v>0.13339999999999999</v>
      </c>
      <c r="S167" s="11" t="s">
        <v>203</v>
      </c>
      <c r="T167" s="9">
        <f>(R167*J167+1642.54)*(1+0.358+0.15)</f>
        <v>10351.536561724801</v>
      </c>
    </row>
    <row r="168" spans="1:22" s="4" customFormat="1" x14ac:dyDescent="0.25">
      <c r="A168" s="11"/>
      <c r="B168" s="11"/>
      <c r="C168" s="11"/>
      <c r="D168" s="11"/>
      <c r="E168" s="17"/>
      <c r="F168" s="8"/>
      <c r="G168" s="8"/>
      <c r="H168" s="9"/>
      <c r="I168" s="10"/>
      <c r="J168" s="10"/>
      <c r="K168" s="12"/>
      <c r="L168" s="12"/>
      <c r="M168" s="14"/>
      <c r="N168" s="14"/>
      <c r="O168" s="12"/>
      <c r="P168" s="8"/>
      <c r="Q168" s="8"/>
      <c r="R168" s="12"/>
      <c r="S168" s="11"/>
      <c r="T168" s="9"/>
    </row>
    <row r="169" spans="1:22" s="4" customFormat="1" x14ac:dyDescent="0.25">
      <c r="A169" s="6" t="s">
        <v>8</v>
      </c>
      <c r="B169" s="6" t="s">
        <v>9</v>
      </c>
      <c r="C169" s="6" t="s">
        <v>10</v>
      </c>
      <c r="D169" s="6" t="s">
        <v>11</v>
      </c>
      <c r="E169" s="7" t="s">
        <v>12</v>
      </c>
      <c r="F169" s="8" t="s">
        <v>13</v>
      </c>
      <c r="G169" s="8" t="s">
        <v>14</v>
      </c>
      <c r="H169" s="9" t="s">
        <v>15</v>
      </c>
      <c r="I169" s="10" t="s">
        <v>17</v>
      </c>
      <c r="J169" s="14" t="s">
        <v>97</v>
      </c>
      <c r="K169" s="12" t="s">
        <v>18</v>
      </c>
      <c r="L169" s="12" t="s">
        <v>19</v>
      </c>
      <c r="M169" s="13" t="s">
        <v>20</v>
      </c>
      <c r="N169" s="13" t="s">
        <v>21</v>
      </c>
      <c r="O169" s="12" t="s">
        <v>22</v>
      </c>
      <c r="P169" s="8" t="s">
        <v>23</v>
      </c>
      <c r="Q169" s="8" t="s">
        <v>24</v>
      </c>
      <c r="R169" s="12" t="s">
        <v>25</v>
      </c>
      <c r="S169" s="6" t="s">
        <v>26</v>
      </c>
      <c r="T169" s="9" t="s">
        <v>27</v>
      </c>
    </row>
    <row r="170" spans="1:22" s="4" customFormat="1" x14ac:dyDescent="0.25">
      <c r="A170" s="11" t="s">
        <v>205</v>
      </c>
      <c r="B170" s="11" t="s">
        <v>188</v>
      </c>
      <c r="C170" s="11" t="s">
        <v>75</v>
      </c>
      <c r="D170" s="11" t="s">
        <v>136</v>
      </c>
      <c r="E170" s="17" t="s">
        <v>207</v>
      </c>
      <c r="F170" s="8">
        <v>212</v>
      </c>
      <c r="G170" s="8">
        <v>454</v>
      </c>
      <c r="H170" s="9">
        <f>(F170+G170)*(1+0.15)+311</f>
        <v>1076.9000000000001</v>
      </c>
      <c r="I170" s="10">
        <f>20*8</f>
        <v>160</v>
      </c>
      <c r="J170" s="10">
        <f>12289*(1+0.24+0.2+0.466*2+0.05*12)+4780</f>
        <v>41302.908000000003</v>
      </c>
      <c r="K170" s="12">
        <v>0</v>
      </c>
      <c r="L170" s="12">
        <v>0</v>
      </c>
      <c r="M170" s="14" t="s">
        <v>43</v>
      </c>
      <c r="N170" s="14" t="s">
        <v>43</v>
      </c>
      <c r="O170" s="12">
        <v>0</v>
      </c>
      <c r="P170" s="8">
        <v>0.5</v>
      </c>
      <c r="Q170" s="8">
        <v>0.9</v>
      </c>
      <c r="R170" s="12">
        <v>0.06</v>
      </c>
      <c r="S170" s="11" t="s">
        <v>208</v>
      </c>
      <c r="T170" s="9">
        <f>(R170*J170+I170*0.75+739)*(1+0.358+0.15)</f>
        <v>5032.4591158399999</v>
      </c>
    </row>
    <row r="171" spans="1:22" s="4" customFormat="1" x14ac:dyDescent="0.25">
      <c r="A171" s="11" t="s">
        <v>205</v>
      </c>
      <c r="B171" s="11" t="s">
        <v>188</v>
      </c>
      <c r="C171" s="11" t="s">
        <v>196</v>
      </c>
      <c r="D171" s="11" t="s">
        <v>209</v>
      </c>
      <c r="E171" s="17" t="s">
        <v>207</v>
      </c>
      <c r="F171" s="8">
        <v>212</v>
      </c>
      <c r="G171" s="8">
        <v>454</v>
      </c>
      <c r="H171" s="9">
        <f>(F171+G171)*(1+0.15)+311</f>
        <v>1076.9000000000001</v>
      </c>
      <c r="I171" s="10">
        <f>20*8+80+187*2</f>
        <v>614</v>
      </c>
      <c r="J171" s="10">
        <f>12289*(1+0.24+0.05*12)+4780</f>
        <v>27391.760000000002</v>
      </c>
      <c r="K171" s="12">
        <v>0</v>
      </c>
      <c r="L171" s="12">
        <v>0</v>
      </c>
      <c r="M171" s="14" t="s">
        <v>43</v>
      </c>
      <c r="N171" s="14" t="s">
        <v>43</v>
      </c>
      <c r="O171" s="12">
        <v>0</v>
      </c>
      <c r="P171" s="8">
        <v>0.5</v>
      </c>
      <c r="Q171" s="8">
        <v>0.9</v>
      </c>
      <c r="R171" s="12">
        <v>0.06</v>
      </c>
      <c r="S171" s="11" t="s">
        <v>208</v>
      </c>
      <c r="T171" s="9">
        <f>(R171*J171+(I171+100)*0.75+739)*(1+0.358+0.15)</f>
        <v>4400.3524447999998</v>
      </c>
    </row>
    <row r="172" spans="1:22" s="4" customFormat="1" x14ac:dyDescent="0.25">
      <c r="A172" s="11" t="s">
        <v>205</v>
      </c>
      <c r="B172" s="11" t="s">
        <v>174</v>
      </c>
      <c r="C172" s="11" t="s">
        <v>75</v>
      </c>
      <c r="D172" s="11" t="s">
        <v>136</v>
      </c>
      <c r="E172" s="17" t="s">
        <v>207</v>
      </c>
      <c r="F172" s="8">
        <v>212</v>
      </c>
      <c r="G172" s="8">
        <f>510</f>
        <v>510</v>
      </c>
      <c r="H172" s="9">
        <f>(F172+G172)*(1+0.15)+311</f>
        <v>1141.3</v>
      </c>
      <c r="I172" s="10">
        <f>20*8+165</f>
        <v>325</v>
      </c>
      <c r="J172" s="10">
        <f>12289*(1+0.24+0.2+0.466*2+0.05*12)+4780</f>
        <v>41302.908000000003</v>
      </c>
      <c r="K172" s="12">
        <v>0</v>
      </c>
      <c r="L172" s="12">
        <v>0</v>
      </c>
      <c r="M172" s="14" t="s">
        <v>43</v>
      </c>
      <c r="N172" s="14" t="s">
        <v>43</v>
      </c>
      <c r="O172" s="12">
        <v>0</v>
      </c>
      <c r="P172" s="8">
        <v>0.5</v>
      </c>
      <c r="Q172" s="8">
        <v>0.9</v>
      </c>
      <c r="R172" s="12">
        <v>0.06</v>
      </c>
      <c r="S172" s="11" t="s">
        <v>208</v>
      </c>
      <c r="T172" s="9">
        <f>(R172*J172+I172*0.75+739)*(1+0.358+0.15)</f>
        <v>5219.0741158400006</v>
      </c>
    </row>
    <row r="173" spans="1:22" s="4" customFormat="1" x14ac:dyDescent="0.25">
      <c r="A173" s="11" t="s">
        <v>205</v>
      </c>
      <c r="B173" s="11" t="s">
        <v>174</v>
      </c>
      <c r="C173" s="60" t="s">
        <v>417</v>
      </c>
      <c r="D173" s="60" t="s">
        <v>418</v>
      </c>
      <c r="E173" s="17" t="s">
        <v>207</v>
      </c>
      <c r="F173" s="8">
        <v>212</v>
      </c>
      <c r="G173" s="8">
        <f>510</f>
        <v>510</v>
      </c>
      <c r="H173" s="9">
        <f>(F173+G173)*(1+0.15)+311</f>
        <v>1141.3</v>
      </c>
      <c r="I173" s="10">
        <f>20*8+165+187*2+80</f>
        <v>779</v>
      </c>
      <c r="J173" s="10">
        <f>12289*(1+0.24+0.05*12)+4780</f>
        <v>27391.760000000002</v>
      </c>
      <c r="K173" s="12">
        <v>0</v>
      </c>
      <c r="L173" s="12">
        <v>0</v>
      </c>
      <c r="M173" s="14" t="s">
        <v>43</v>
      </c>
      <c r="N173" s="14" t="s">
        <v>43</v>
      </c>
      <c r="O173" s="12">
        <v>0</v>
      </c>
      <c r="P173" s="8">
        <v>0.5</v>
      </c>
      <c r="Q173" s="8">
        <v>0.9</v>
      </c>
      <c r="R173" s="12">
        <v>0.06</v>
      </c>
      <c r="S173" s="11" t="s">
        <v>208</v>
      </c>
      <c r="T173" s="9">
        <f>(R173*J173+(I173+100)*0.75+739)*(1+0.358+0.15)</f>
        <v>4586.9674447999996</v>
      </c>
    </row>
    <row r="174" spans="1:22" s="4" customFormat="1" x14ac:dyDescent="0.25">
      <c r="A174" s="11"/>
      <c r="B174" s="11"/>
      <c r="C174" s="11"/>
      <c r="D174" s="11"/>
      <c r="E174" s="17"/>
      <c r="F174" s="8"/>
      <c r="G174" s="8"/>
      <c r="H174" s="9"/>
      <c r="I174" s="10"/>
      <c r="J174" s="10"/>
      <c r="K174" s="12"/>
      <c r="L174" s="12"/>
      <c r="M174" s="14"/>
      <c r="N174" s="14"/>
      <c r="O174" s="12"/>
      <c r="P174" s="8"/>
      <c r="Q174" s="8"/>
      <c r="R174" s="12"/>
      <c r="S174" s="11"/>
      <c r="T174" s="9"/>
    </row>
    <row r="175" spans="1:22" s="4" customFormat="1" x14ac:dyDescent="0.25">
      <c r="A175" s="6" t="s">
        <v>8</v>
      </c>
      <c r="B175" s="6" t="s">
        <v>9</v>
      </c>
      <c r="C175" s="6" t="s">
        <v>10</v>
      </c>
      <c r="D175" s="6" t="s">
        <v>11</v>
      </c>
      <c r="E175" s="7" t="s">
        <v>12</v>
      </c>
      <c r="F175" s="8" t="s">
        <v>13</v>
      </c>
      <c r="G175" s="8" t="s">
        <v>14</v>
      </c>
      <c r="H175" s="9" t="s">
        <v>15</v>
      </c>
      <c r="I175" s="10" t="s">
        <v>17</v>
      </c>
      <c r="J175" s="14"/>
      <c r="K175" s="12" t="s">
        <v>18</v>
      </c>
      <c r="L175" s="12" t="s">
        <v>19</v>
      </c>
      <c r="M175" s="13" t="s">
        <v>20</v>
      </c>
      <c r="N175" s="13" t="s">
        <v>21</v>
      </c>
      <c r="O175" s="12" t="s">
        <v>22</v>
      </c>
      <c r="P175" s="8" t="s">
        <v>23</v>
      </c>
      <c r="Q175" s="8" t="s">
        <v>24</v>
      </c>
      <c r="R175" s="12" t="s">
        <v>25</v>
      </c>
      <c r="S175" s="6" t="s">
        <v>26</v>
      </c>
      <c r="T175" s="9" t="s">
        <v>27</v>
      </c>
      <c r="U175" s="25" t="s">
        <v>17</v>
      </c>
    </row>
    <row r="176" spans="1:22" s="4" customFormat="1" x14ac:dyDescent="0.25">
      <c r="A176" s="11" t="s">
        <v>210</v>
      </c>
      <c r="B176" s="11" t="s">
        <v>211</v>
      </c>
      <c r="C176" s="11" t="s">
        <v>212</v>
      </c>
      <c r="D176" s="6" t="s">
        <v>199</v>
      </c>
      <c r="E176" s="17" t="s">
        <v>121</v>
      </c>
      <c r="F176" s="8">
        <f>340</f>
        <v>340</v>
      </c>
      <c r="G176" s="8">
        <f>608</f>
        <v>608</v>
      </c>
      <c r="H176" s="9">
        <f>(F176+G176)*(1+0.3+0.466+0.18)+311</f>
        <v>2155.808</v>
      </c>
      <c r="I176" s="10">
        <v>80</v>
      </c>
      <c r="J176" s="24">
        <f>(F176+G176)*(1+0.3+0.466+0.18)+311</f>
        <v>2155.808</v>
      </c>
      <c r="K176" s="12">
        <f>19.2%</f>
        <v>0.192</v>
      </c>
      <c r="L176" s="12">
        <f>66.2%</f>
        <v>0.66200000000000003</v>
      </c>
      <c r="M176" s="13">
        <f>60.25%+K176/2+L176/4-6.4%</f>
        <v>0.8</v>
      </c>
      <c r="N176" s="13">
        <f>60.25%*2+K176+L176/2+6.4%*2</f>
        <v>1.8559999999999999</v>
      </c>
      <c r="O176" s="12">
        <f>0.466+0.12+U176*0.15%+0.12*3+0.15</f>
        <v>1.216</v>
      </c>
      <c r="P176" s="8">
        <v>0.5</v>
      </c>
      <c r="Q176" s="8">
        <v>0.9</v>
      </c>
      <c r="R176" s="12">
        <v>1.7063999999999999</v>
      </c>
      <c r="S176" s="11" t="s">
        <v>213</v>
      </c>
      <c r="T176" s="9">
        <f>J176*R176*(1+O176)*(1+N176)*P176*Q176</f>
        <v>10476.866128124067</v>
      </c>
      <c r="U176" s="25">
        <f>80</f>
        <v>80</v>
      </c>
    </row>
    <row r="177" spans="1:21" s="4" customFormat="1" x14ac:dyDescent="0.25">
      <c r="A177" s="11" t="s">
        <v>210</v>
      </c>
      <c r="B177" s="11" t="s">
        <v>211</v>
      </c>
      <c r="C177" s="11" t="s">
        <v>196</v>
      </c>
      <c r="D177" s="6" t="s">
        <v>199</v>
      </c>
      <c r="E177" s="17" t="s">
        <v>121</v>
      </c>
      <c r="F177" s="8">
        <f>340</f>
        <v>340</v>
      </c>
      <c r="G177" s="8">
        <f>608</f>
        <v>608</v>
      </c>
      <c r="H177" s="9">
        <f>(F177+G177)*(1+0.3+0.466)+311</f>
        <v>1985.1680000000001</v>
      </c>
      <c r="I177" s="10">
        <v>160</v>
      </c>
      <c r="J177" s="24">
        <f>(F177+G177)*(1+0.3+0.466+0.14)+311</f>
        <v>2117.8879999999999</v>
      </c>
      <c r="K177" s="12">
        <f>19.2%</f>
        <v>0.192</v>
      </c>
      <c r="L177" s="12">
        <f>66.2%</f>
        <v>0.66200000000000003</v>
      </c>
      <c r="M177" s="13">
        <f>60.25%+K177/2+L177/4-6.4%</f>
        <v>0.8</v>
      </c>
      <c r="N177" s="13">
        <f>60.25%*2+K177+L177/2+6.4%*2</f>
        <v>1.8559999999999999</v>
      </c>
      <c r="O177" s="12">
        <f>0.466+0.12+U177*0.15%+0.12*3</f>
        <v>1.3360000000000001</v>
      </c>
      <c r="P177" s="8">
        <v>0.5</v>
      </c>
      <c r="Q177" s="8">
        <v>0.9</v>
      </c>
      <c r="R177" s="12">
        <v>1.7063999999999999</v>
      </c>
      <c r="S177" s="11" t="s">
        <v>213</v>
      </c>
      <c r="T177" s="9">
        <f>J177*R177*(1+O177)*(1+N177)*P177*Q177</f>
        <v>10849.941270406101</v>
      </c>
      <c r="U177" s="25">
        <f>80+80+100</f>
        <v>260</v>
      </c>
    </row>
    <row r="178" spans="1:21" s="4" customFormat="1" x14ac:dyDescent="0.25">
      <c r="A178" s="11" t="s">
        <v>210</v>
      </c>
      <c r="B178" s="11" t="s">
        <v>159</v>
      </c>
      <c r="C178" s="11" t="s">
        <v>212</v>
      </c>
      <c r="D178" s="6" t="s">
        <v>199</v>
      </c>
      <c r="E178" s="17" t="s">
        <v>121</v>
      </c>
      <c r="F178" s="8">
        <f>340</f>
        <v>340</v>
      </c>
      <c r="G178" s="8">
        <v>674</v>
      </c>
      <c r="H178" s="9">
        <f>(F178+G178)*(1+0.3+0.466+0.331+0.18)+311</f>
        <v>2619.8780000000002</v>
      </c>
      <c r="I178" s="10">
        <v>80</v>
      </c>
      <c r="J178" s="24">
        <f>(F178+G178)*(1+0.3+0.466+0.331+0.18)+311</f>
        <v>2619.8780000000002</v>
      </c>
      <c r="K178" s="12">
        <f>19.2%</f>
        <v>0.192</v>
      </c>
      <c r="L178" s="12">
        <f>0</f>
        <v>0</v>
      </c>
      <c r="M178" s="13">
        <f>60.25%+K178/2+L178/4</f>
        <v>0.69850000000000001</v>
      </c>
      <c r="N178" s="13">
        <f>60.25%*2+K178+L178/2</f>
        <v>1.397</v>
      </c>
      <c r="O178" s="12">
        <f>0.466+0.15+U178*0.15%</f>
        <v>0.73599999999999999</v>
      </c>
      <c r="P178" s="8">
        <v>0.5</v>
      </c>
      <c r="Q178" s="8">
        <v>0.9</v>
      </c>
      <c r="R178" s="12">
        <v>1.7063999999999999</v>
      </c>
      <c r="S178" s="11" t="s">
        <v>213</v>
      </c>
      <c r="T178" s="9">
        <f>J178*R178*(1+O178)*(1+N178)*P178*Q178</f>
        <v>8371.2859898294191</v>
      </c>
      <c r="U178" s="25">
        <f>80</f>
        <v>80</v>
      </c>
    </row>
    <row r="179" spans="1:21" s="4" customFormat="1" x14ac:dyDescent="0.25">
      <c r="A179" s="11" t="s">
        <v>210</v>
      </c>
      <c r="B179" s="11" t="s">
        <v>59</v>
      </c>
      <c r="C179" s="11" t="s">
        <v>212</v>
      </c>
      <c r="D179" s="6" t="s">
        <v>199</v>
      </c>
      <c r="E179" s="17" t="s">
        <v>121</v>
      </c>
      <c r="F179" s="8">
        <f>340</f>
        <v>340</v>
      </c>
      <c r="G179" s="8">
        <f>510</f>
        <v>510</v>
      </c>
      <c r="H179" s="9">
        <f>(F179+G179)*(1+0.3+0.466+0.18)+311</f>
        <v>1965.1</v>
      </c>
      <c r="I179" s="10">
        <v>80</v>
      </c>
      <c r="J179" s="24">
        <f>(F179+G179)*(1+0.3+0.466+1.2+0.18)+311</f>
        <v>2985.1000000000004</v>
      </c>
      <c r="K179" s="12">
        <f>19.2%</f>
        <v>0.192</v>
      </c>
      <c r="L179" s="12">
        <f>55.1%</f>
        <v>0.55100000000000005</v>
      </c>
      <c r="M179" s="13">
        <f>60.25%+K179/2+L179/4-3.63%</f>
        <v>0.79995000000000005</v>
      </c>
      <c r="N179" s="13">
        <f>60.25%*2+K179+L179/2+3.63%*2</f>
        <v>1.7451000000000001</v>
      </c>
      <c r="O179" s="12">
        <f>0.466+0.15+U179*0.15%</f>
        <v>0.73599999999999999</v>
      </c>
      <c r="P179" s="8">
        <v>0.5</v>
      </c>
      <c r="Q179" s="8">
        <v>0.9</v>
      </c>
      <c r="R179" s="12">
        <v>1.7063999999999999</v>
      </c>
      <c r="S179" s="11" t="s">
        <v>213</v>
      </c>
      <c r="T179" s="9">
        <f>J179*R179*(1+O179)*(1+N179)*P179*Q179</f>
        <v>10923.457701043038</v>
      </c>
      <c r="U179" s="25">
        <f>80</f>
        <v>80</v>
      </c>
    </row>
    <row r="180" spans="1:21" s="4" customForma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1:21" x14ac:dyDescent="0.25">
      <c r="A181" s="6" t="s">
        <v>8</v>
      </c>
      <c r="B181" s="6" t="s">
        <v>9</v>
      </c>
      <c r="C181" s="6" t="s">
        <v>10</v>
      </c>
      <c r="D181" s="6" t="s">
        <v>11</v>
      </c>
      <c r="E181" s="7" t="s">
        <v>12</v>
      </c>
      <c r="F181" s="8" t="s">
        <v>13</v>
      </c>
      <c r="G181" s="8" t="s">
        <v>14</v>
      </c>
      <c r="H181" s="9" t="s">
        <v>15</v>
      </c>
      <c r="I181" s="10" t="s">
        <v>37</v>
      </c>
      <c r="J181" s="14"/>
      <c r="K181" s="12" t="s">
        <v>18</v>
      </c>
      <c r="L181" s="12" t="s">
        <v>19</v>
      </c>
      <c r="M181" s="13" t="s">
        <v>20</v>
      </c>
      <c r="N181" s="13" t="s">
        <v>21</v>
      </c>
      <c r="O181" s="12" t="s">
        <v>22</v>
      </c>
      <c r="P181" s="8" t="s">
        <v>23</v>
      </c>
      <c r="Q181" s="8" t="s">
        <v>24</v>
      </c>
      <c r="R181" s="12" t="s">
        <v>25</v>
      </c>
      <c r="S181" s="6" t="s">
        <v>26</v>
      </c>
      <c r="T181" s="9" t="s">
        <v>27</v>
      </c>
    </row>
    <row r="182" spans="1:21" x14ac:dyDescent="0.25">
      <c r="A182" s="6" t="s">
        <v>214</v>
      </c>
      <c r="B182" s="6" t="s">
        <v>87</v>
      </c>
      <c r="C182" s="6" t="s">
        <v>88</v>
      </c>
      <c r="D182" s="6" t="s">
        <v>215</v>
      </c>
      <c r="E182" s="7" t="s">
        <v>142</v>
      </c>
      <c r="F182" s="8">
        <v>337</v>
      </c>
      <c r="G182" s="8">
        <v>608</v>
      </c>
      <c r="H182" s="9">
        <f>(F182+G182)*(1+0.3+0.28*(I182-1))+311</f>
        <v>2012.8694000000003</v>
      </c>
      <c r="I182" s="14">
        <f>1+0.32+0.2+0.551+0.518+0.2</f>
        <v>2.7890000000000006</v>
      </c>
      <c r="K182" s="12">
        <v>0</v>
      </c>
      <c r="L182" s="12">
        <v>0</v>
      </c>
      <c r="M182" s="13">
        <f>60.25%+K182/2+L182/4</f>
        <v>0.60250000000000004</v>
      </c>
      <c r="N182" s="13">
        <f>60.25%*2+K182+L182/2</f>
        <v>1.2050000000000001</v>
      </c>
      <c r="O182" s="12">
        <f>0.466+0.75+0.4*(I182+0.3-1)+0.3%*90</f>
        <v>2.3216000000000001</v>
      </c>
      <c r="P182" s="8">
        <f>0.5</f>
        <v>0.5</v>
      </c>
      <c r="Q182" s="8">
        <v>0.9</v>
      </c>
      <c r="R182" s="12">
        <f>721.44%+60*7%</f>
        <v>11.414400000000001</v>
      </c>
      <c r="S182" s="6" t="s">
        <v>216</v>
      </c>
      <c r="T182" s="9">
        <f>((F182+G182)*(1+0.2+0.28*(I182-1+0.3))+311)*R182*(1+N182)*(1+O182)*P182*Q182</f>
        <v>75155.805873511577</v>
      </c>
    </row>
    <row r="183" spans="1:21" x14ac:dyDescent="0.25">
      <c r="A183" s="6" t="s">
        <v>214</v>
      </c>
      <c r="B183" s="6" t="s">
        <v>93</v>
      </c>
      <c r="C183" s="6" t="s">
        <v>88</v>
      </c>
      <c r="D183" s="6" t="s">
        <v>217</v>
      </c>
      <c r="E183" s="7" t="s">
        <v>142</v>
      </c>
      <c r="F183" s="8">
        <v>337</v>
      </c>
      <c r="G183" s="8">
        <v>510</v>
      </c>
      <c r="H183" s="9">
        <f>(F183+G183)*(1+0.3+0.466)+311</f>
        <v>1806.8019999999999</v>
      </c>
      <c r="I183" s="14">
        <f>1+0.32+0.2+0.459+0.518+0.2</f>
        <v>2.6970000000000001</v>
      </c>
      <c r="K183" s="12">
        <v>0.12</v>
      </c>
      <c r="L183" s="12">
        <v>0</v>
      </c>
      <c r="M183" s="13">
        <f>60.25%+K183/2+L183/4-12%</f>
        <v>0.54250000000000009</v>
      </c>
      <c r="N183" s="13">
        <f>60.25%*2+K183+L183/2</f>
        <v>1.3250000000000002</v>
      </c>
      <c r="O183" s="12">
        <f>0.25*(I183)+0.4*(I183-1)+0.3%*90+0.32</f>
        <v>1.9430500000000002</v>
      </c>
      <c r="P183" s="8">
        <v>0.5</v>
      </c>
      <c r="Q183" s="8">
        <v>0.9</v>
      </c>
      <c r="R183" s="12">
        <f>721.44%+60*7%</f>
        <v>11.414400000000001</v>
      </c>
      <c r="S183" s="6" t="s">
        <v>216</v>
      </c>
      <c r="T183" s="9">
        <f>H183*R183*(1+N183)*(1+O183)*P183*Q183</f>
        <v>63503.368345612056</v>
      </c>
    </row>
    <row r="184" spans="1:21" x14ac:dyDescent="0.25">
      <c r="I184" s="14"/>
    </row>
    <row r="185" spans="1:21" x14ac:dyDescent="0.25">
      <c r="A185" s="6" t="s">
        <v>8</v>
      </c>
      <c r="B185" s="6" t="s">
        <v>9</v>
      </c>
      <c r="C185" s="6" t="s">
        <v>10</v>
      </c>
      <c r="D185" s="6" t="s">
        <v>11</v>
      </c>
      <c r="E185" s="7" t="s">
        <v>12</v>
      </c>
      <c r="F185" s="8" t="s">
        <v>13</v>
      </c>
      <c r="G185" s="8" t="s">
        <v>14</v>
      </c>
      <c r="H185" s="9" t="s">
        <v>15</v>
      </c>
      <c r="I185" s="14" t="s">
        <v>37</v>
      </c>
      <c r="J185" s="14"/>
      <c r="K185" s="12" t="s">
        <v>18</v>
      </c>
      <c r="L185" s="12" t="s">
        <v>19</v>
      </c>
      <c r="M185" s="13" t="s">
        <v>20</v>
      </c>
      <c r="N185" s="13" t="s">
        <v>21</v>
      </c>
      <c r="O185" s="12" t="s">
        <v>22</v>
      </c>
      <c r="P185" s="8" t="s">
        <v>23</v>
      </c>
      <c r="Q185" s="8" t="s">
        <v>24</v>
      </c>
      <c r="R185" s="12" t="s">
        <v>25</v>
      </c>
      <c r="S185" s="6" t="s">
        <v>26</v>
      </c>
      <c r="T185" s="9" t="s">
        <v>27</v>
      </c>
    </row>
    <row r="186" spans="1:21" x14ac:dyDescent="0.25">
      <c r="A186" s="6" t="s">
        <v>218</v>
      </c>
      <c r="B186" s="6" t="s">
        <v>145</v>
      </c>
      <c r="C186" s="6" t="s">
        <v>88</v>
      </c>
      <c r="D186" s="6" t="s">
        <v>215</v>
      </c>
      <c r="E186" s="7" t="s">
        <v>219</v>
      </c>
      <c r="F186" s="8">
        <v>195</v>
      </c>
      <c r="G186" s="8">
        <v>674</v>
      </c>
      <c r="H186" s="9">
        <f>(G186+F186)*(1+0.3+0.24)+311</f>
        <v>1649.26</v>
      </c>
      <c r="I186" s="14">
        <f>1+0.2+0.518+0.2</f>
        <v>1.9179999999999999</v>
      </c>
      <c r="K186" s="12">
        <v>0.221</v>
      </c>
      <c r="L186" s="12">
        <v>0.2</v>
      </c>
      <c r="M186" s="13">
        <v>0.8</v>
      </c>
      <c r="N186" s="13">
        <f>60.25%*2+K186+L186/2-3.7%*2</f>
        <v>1.4520000000000002</v>
      </c>
      <c r="O186" s="12">
        <f>0.466+0.25*I186</f>
        <v>0.94550000000000001</v>
      </c>
      <c r="P186" s="8">
        <v>0.5</v>
      </c>
      <c r="Q186" s="8">
        <v>0.9</v>
      </c>
      <c r="R186" s="12">
        <v>8.1920000000000002</v>
      </c>
      <c r="S186" s="6" t="s">
        <v>220</v>
      </c>
      <c r="T186" s="9">
        <f>((1+0.2+0.24+0.9129)*(F186+G186)+311)*R186*(1+O186)*(1+N186+0.6)*P186*Q186</f>
        <v>51562.348683214601</v>
      </c>
    </row>
    <row r="187" spans="1:21" x14ac:dyDescent="0.25">
      <c r="A187" s="6" t="s">
        <v>218</v>
      </c>
      <c r="B187" s="6" t="s">
        <v>221</v>
      </c>
      <c r="C187" s="6" t="s">
        <v>88</v>
      </c>
      <c r="D187" s="6" t="s">
        <v>215</v>
      </c>
      <c r="E187" s="7" t="s">
        <v>219</v>
      </c>
      <c r="F187" s="8">
        <v>195</v>
      </c>
      <c r="G187" s="8">
        <v>565</v>
      </c>
      <c r="H187" s="9">
        <f>(G187+F187)*(1+0.3+0.24)+311</f>
        <v>1481.4</v>
      </c>
      <c r="I187" s="14">
        <f>1+0.2+0.518+0.2+0.306</f>
        <v>2.2239999999999998</v>
      </c>
      <c r="K187" s="12">
        <v>0</v>
      </c>
      <c r="L187" s="12">
        <v>0</v>
      </c>
      <c r="M187" s="13">
        <v>0.7</v>
      </c>
      <c r="N187" s="13">
        <f>60.25%*2+K187+L187/2-9.75%*2</f>
        <v>1.01</v>
      </c>
      <c r="O187" s="12">
        <f>0.466+0.25*I187</f>
        <v>1.022</v>
      </c>
      <c r="P187" s="8">
        <v>0.5</v>
      </c>
      <c r="Q187" s="8">
        <v>0.9</v>
      </c>
      <c r="R187" s="12">
        <v>8.1920000000000002</v>
      </c>
      <c r="S187" s="6" t="s">
        <v>220</v>
      </c>
      <c r="T187" s="9">
        <f>((1+0.2+0.24+0.9129)*(F187+G187)+311)*R187*(1+O187)*(1+N187+0.6)*P187*Q187</f>
        <v>40839.344358653958</v>
      </c>
    </row>
    <row r="189" spans="1:21" x14ac:dyDescent="0.25">
      <c r="A189" s="6" t="s">
        <v>8</v>
      </c>
      <c r="B189" s="6" t="s">
        <v>9</v>
      </c>
      <c r="C189" s="6" t="s">
        <v>10</v>
      </c>
      <c r="D189" s="6" t="s">
        <v>11</v>
      </c>
      <c r="E189" s="7" t="s">
        <v>12</v>
      </c>
      <c r="F189" s="8" t="s">
        <v>13</v>
      </c>
      <c r="G189" s="8" t="s">
        <v>14</v>
      </c>
      <c r="H189" s="9" t="s">
        <v>15</v>
      </c>
      <c r="I189" s="10" t="s">
        <v>17</v>
      </c>
      <c r="J189" s="14"/>
      <c r="K189" s="12" t="s">
        <v>18</v>
      </c>
      <c r="L189" s="12" t="s">
        <v>19</v>
      </c>
      <c r="M189" s="13" t="s">
        <v>20</v>
      </c>
      <c r="N189" s="13" t="s">
        <v>21</v>
      </c>
      <c r="O189" s="12" t="s">
        <v>22</v>
      </c>
      <c r="P189" s="8" t="s">
        <v>23</v>
      </c>
      <c r="Q189" s="8" t="s">
        <v>24</v>
      </c>
      <c r="R189" s="12" t="s">
        <v>25</v>
      </c>
      <c r="S189" s="6" t="s">
        <v>26</v>
      </c>
      <c r="T189" s="9" t="s">
        <v>27</v>
      </c>
    </row>
    <row r="190" spans="1:21" x14ac:dyDescent="0.25">
      <c r="A190" s="6" t="s">
        <v>222</v>
      </c>
      <c r="B190" s="6" t="s">
        <v>223</v>
      </c>
      <c r="C190" s="11" t="s">
        <v>200</v>
      </c>
      <c r="D190" s="6" t="s">
        <v>199</v>
      </c>
      <c r="E190" s="7" t="s">
        <v>178</v>
      </c>
      <c r="F190" s="8">
        <v>323</v>
      </c>
      <c r="G190" s="8">
        <v>674</v>
      </c>
      <c r="H190" s="9">
        <f>(F190+G190)*(1+0.3+0.466)+311</f>
        <v>2071.7020000000002</v>
      </c>
      <c r="I190" s="10">
        <v>80</v>
      </c>
      <c r="K190" s="12">
        <f>15%</f>
        <v>0.15</v>
      </c>
      <c r="L190" s="12">
        <f>44.1%+38.4%</f>
        <v>0.82499999999999996</v>
      </c>
      <c r="M190" s="13">
        <f>60.25%+K190/2+L190/4-15%</f>
        <v>0.73375000000000001</v>
      </c>
      <c r="N190" s="13">
        <f>60.25%*2+K190+L190/2</f>
        <v>1.7675000000000001</v>
      </c>
      <c r="O190" s="12">
        <f>0.466+0.15+0.4</f>
        <v>1.016</v>
      </c>
      <c r="P190" s="8">
        <v>0.5</v>
      </c>
      <c r="Q190" s="8">
        <v>0.9</v>
      </c>
      <c r="R190" s="12">
        <f>170%</f>
        <v>1.7</v>
      </c>
      <c r="S190" s="6" t="s">
        <v>224</v>
      </c>
      <c r="T190" s="9">
        <f>H190*R190*(1+O190)*(1+N190)*P190*Q190</f>
        <v>8842.3332339384015</v>
      </c>
    </row>
    <row r="191" spans="1:21" x14ac:dyDescent="0.25">
      <c r="A191" s="6" t="s">
        <v>222</v>
      </c>
      <c r="B191" s="6" t="s">
        <v>123</v>
      </c>
      <c r="C191" s="11" t="s">
        <v>200</v>
      </c>
      <c r="D191" s="6" t="s">
        <v>199</v>
      </c>
      <c r="E191" s="7" t="s">
        <v>178</v>
      </c>
      <c r="F191" s="8">
        <v>323</v>
      </c>
      <c r="G191" s="8">
        <v>542</v>
      </c>
      <c r="H191" s="9">
        <f>(F191+G191)*(1+0.3+0.466)+311+1.2%*(13103*(1+0.2+0.2)+4780)</f>
        <v>2116.0803999999998</v>
      </c>
      <c r="I191" s="10">
        <v>80</v>
      </c>
      <c r="K191" s="12">
        <f>0.15+0.441</f>
        <v>0.59099999999999997</v>
      </c>
      <c r="L191" s="12">
        <v>0.38400000000000001</v>
      </c>
      <c r="M191" s="13">
        <v>0.75</v>
      </c>
      <c r="N191" s="13">
        <f>60.25%*2+K191+L191/2+9.4%*2</f>
        <v>2.1760000000000002</v>
      </c>
      <c r="O191" s="12">
        <f>0.466+0.15</f>
        <v>0.61599999999999999</v>
      </c>
      <c r="P191" s="8">
        <v>0.5</v>
      </c>
      <c r="Q191" s="8">
        <v>0.9</v>
      </c>
      <c r="R191" s="12">
        <f>170%</f>
        <v>1.7</v>
      </c>
      <c r="S191" s="6" t="s">
        <v>224</v>
      </c>
      <c r="T191" s="9">
        <f>H191*R191*(1+O191)*(1+N191)*P191*Q191</f>
        <v>8308.3627502184954</v>
      </c>
    </row>
    <row r="192" spans="1:21" x14ac:dyDescent="0.25">
      <c r="A192" s="6" t="s">
        <v>222</v>
      </c>
      <c r="B192" s="6" t="s">
        <v>225</v>
      </c>
      <c r="C192" s="11" t="s">
        <v>200</v>
      </c>
      <c r="D192" s="6" t="s">
        <v>199</v>
      </c>
      <c r="E192" s="7" t="s">
        <v>178</v>
      </c>
      <c r="F192" s="8">
        <v>323</v>
      </c>
      <c r="G192" s="8">
        <v>510</v>
      </c>
      <c r="H192" s="9">
        <f>(F192+G192)*(1+0.3+0.466+0.413)+311</f>
        <v>2126.107</v>
      </c>
      <c r="I192" s="10">
        <v>80</v>
      </c>
      <c r="K192" s="12">
        <v>0.15</v>
      </c>
      <c r="L192" s="12">
        <v>0.38400000000000001</v>
      </c>
      <c r="M192" s="13">
        <f>60.25%+K192/2+L192/4-15%</f>
        <v>0.62349999999999994</v>
      </c>
      <c r="N192" s="13">
        <f>60.25%*2+K192+L192/2</f>
        <v>1.5469999999999999</v>
      </c>
      <c r="O192" s="12">
        <f>0.466+0.15+0.36</f>
        <v>0.97599999999999998</v>
      </c>
      <c r="P192" s="8">
        <v>0.5</v>
      </c>
      <c r="Q192" s="8">
        <v>0.9</v>
      </c>
      <c r="R192" s="12">
        <f>170%</f>
        <v>1.7</v>
      </c>
      <c r="S192" s="6" t="s">
        <v>224</v>
      </c>
      <c r="T192" s="9">
        <f>H192*R192*(1+O192)*(1+N192)*P192*Q192</f>
        <v>8185.8246578175585</v>
      </c>
    </row>
    <row r="194" spans="1:20" x14ac:dyDescent="0.25">
      <c r="A194" s="6" t="s">
        <v>8</v>
      </c>
      <c r="B194" s="6" t="s">
        <v>9</v>
      </c>
      <c r="C194" s="6" t="s">
        <v>10</v>
      </c>
      <c r="D194" s="6" t="s">
        <v>11</v>
      </c>
      <c r="E194" s="7" t="s">
        <v>12</v>
      </c>
      <c r="F194" s="8" t="s">
        <v>13</v>
      </c>
      <c r="G194" s="8" t="s">
        <v>14</v>
      </c>
      <c r="H194" s="9" t="s">
        <v>15</v>
      </c>
      <c r="J194" s="14"/>
      <c r="K194" s="12" t="s">
        <v>18</v>
      </c>
      <c r="L194" s="12" t="s">
        <v>19</v>
      </c>
      <c r="M194" s="13" t="s">
        <v>20</v>
      </c>
      <c r="N194" s="13" t="s">
        <v>21</v>
      </c>
      <c r="O194" s="12" t="s">
        <v>22</v>
      </c>
      <c r="P194" s="8" t="s">
        <v>23</v>
      </c>
      <c r="Q194" s="8" t="s">
        <v>24</v>
      </c>
      <c r="R194" s="12" t="s">
        <v>25</v>
      </c>
      <c r="S194" s="6" t="s">
        <v>26</v>
      </c>
      <c r="T194" s="9" t="s">
        <v>27</v>
      </c>
    </row>
    <row r="195" spans="1:20" x14ac:dyDescent="0.25">
      <c r="A195" s="6" t="s">
        <v>226</v>
      </c>
      <c r="B195" s="6" t="s">
        <v>65</v>
      </c>
      <c r="C195" s="6" t="s">
        <v>227</v>
      </c>
      <c r="D195" s="6" t="s">
        <v>70</v>
      </c>
      <c r="E195" s="7" t="s">
        <v>82</v>
      </c>
      <c r="F195" s="8">
        <v>234</v>
      </c>
      <c r="G195" s="8">
        <v>510</v>
      </c>
      <c r="H195" s="9">
        <f>(F195+G195)*(1+0.3+0.466+0.18)+311</f>
        <v>1758.8240000000001</v>
      </c>
      <c r="K195" s="12">
        <v>0.27600000000000002</v>
      </c>
      <c r="L195" s="12">
        <v>0</v>
      </c>
      <c r="M195" s="13">
        <f>60.25%+K195/2+L195/4</f>
        <v>0.74050000000000005</v>
      </c>
      <c r="N195" s="13">
        <f>60.25%*2+K195+L195/2</f>
        <v>1.4810000000000001</v>
      </c>
      <c r="O195" s="12">
        <f>0.583+0.35+0.3+0.5+0.1</f>
        <v>1.833</v>
      </c>
      <c r="P195" s="8">
        <f>190/(190*(1-0.15)+190)</f>
        <v>0.54054054054054057</v>
      </c>
      <c r="Q195" s="8">
        <v>0.9</v>
      </c>
      <c r="R195" s="12">
        <v>1.7113</v>
      </c>
      <c r="S195" s="6" t="s">
        <v>228</v>
      </c>
      <c r="T195" s="9">
        <f>H195*R195*(1+O195)*(1+N195)*P195*Q195</f>
        <v>10291.831170291554</v>
      </c>
    </row>
    <row r="196" spans="1:20" x14ac:dyDescent="0.25">
      <c r="A196" s="6" t="s">
        <v>226</v>
      </c>
      <c r="B196" s="6" t="s">
        <v>63</v>
      </c>
      <c r="C196" s="6" t="s">
        <v>227</v>
      </c>
      <c r="D196" s="6" t="s">
        <v>70</v>
      </c>
      <c r="E196" s="7" t="s">
        <v>82</v>
      </c>
      <c r="F196" s="8">
        <v>234</v>
      </c>
      <c r="G196" s="8">
        <v>608</v>
      </c>
      <c r="H196" s="9">
        <f>(F196+G196)*(1+0.3+0.466+0.18+0.496+0.2)+311</f>
        <v>2535.5640000000003</v>
      </c>
      <c r="K196" s="12">
        <v>0</v>
      </c>
      <c r="L196" s="12">
        <v>0</v>
      </c>
      <c r="M196" s="13">
        <f>60.25%+K196/2+L196/4</f>
        <v>0.60250000000000004</v>
      </c>
      <c r="N196" s="13">
        <f>60.25%*2+K196+L196/2</f>
        <v>1.2050000000000001</v>
      </c>
      <c r="O196" s="12">
        <f>0.583+0.35+0.3+0.1</f>
        <v>1.333</v>
      </c>
      <c r="P196" s="8">
        <f>190/(190*(1-0.15)+190)</f>
        <v>0.54054054054054057</v>
      </c>
      <c r="Q196" s="8">
        <v>0.9</v>
      </c>
      <c r="R196" s="12">
        <v>1.7113</v>
      </c>
      <c r="S196" s="6" t="s">
        <v>228</v>
      </c>
      <c r="T196" s="9">
        <f>H196*R196*(1+O196)*(1+N196)*P196*Q196</f>
        <v>10859.125216509341</v>
      </c>
    </row>
    <row r="198" spans="1:20" x14ac:dyDescent="0.25">
      <c r="A198" s="6" t="s">
        <v>8</v>
      </c>
      <c r="B198" s="6" t="s">
        <v>9</v>
      </c>
      <c r="C198" s="6" t="s">
        <v>10</v>
      </c>
      <c r="D198" s="6" t="s">
        <v>11</v>
      </c>
      <c r="E198" s="7" t="s">
        <v>12</v>
      </c>
      <c r="F198" s="8" t="s">
        <v>13</v>
      </c>
      <c r="G198" s="8" t="s">
        <v>14</v>
      </c>
      <c r="H198" s="9" t="s">
        <v>15</v>
      </c>
      <c r="J198" s="14" t="s">
        <v>17</v>
      </c>
      <c r="K198" s="12" t="s">
        <v>18</v>
      </c>
      <c r="L198" s="12" t="s">
        <v>19</v>
      </c>
      <c r="M198" s="13" t="s">
        <v>20</v>
      </c>
      <c r="N198" s="13" t="s">
        <v>21</v>
      </c>
      <c r="O198" s="12" t="s">
        <v>22</v>
      </c>
      <c r="P198" s="8" t="s">
        <v>23</v>
      </c>
      <c r="Q198" s="8" t="s">
        <v>24</v>
      </c>
      <c r="R198" s="12" t="s">
        <v>25</v>
      </c>
      <c r="S198" s="6" t="s">
        <v>26</v>
      </c>
      <c r="T198" s="9" t="s">
        <v>27</v>
      </c>
    </row>
    <row r="199" spans="1:20" x14ac:dyDescent="0.25">
      <c r="A199" s="6" t="s">
        <v>229</v>
      </c>
      <c r="B199" s="6" t="s">
        <v>182</v>
      </c>
      <c r="C199" s="6" t="s">
        <v>212</v>
      </c>
      <c r="D199" s="6" t="s">
        <v>199</v>
      </c>
      <c r="E199" s="7" t="s">
        <v>230</v>
      </c>
      <c r="F199" s="8">
        <v>244</v>
      </c>
      <c r="G199" s="8">
        <v>510</v>
      </c>
      <c r="H199" s="9">
        <f>(F199+G199)*(1+0.3+0.466+0.18+0.24)+311</f>
        <v>1959.2439999999999</v>
      </c>
      <c r="J199" s="11">
        <f>80+165</f>
        <v>245</v>
      </c>
      <c r="K199" s="12">
        <v>0</v>
      </c>
      <c r="L199" s="12">
        <v>0</v>
      </c>
      <c r="M199" s="13">
        <f>60.25%+K199/2+L199/4</f>
        <v>0.60250000000000004</v>
      </c>
      <c r="N199" s="13">
        <f>60.25%*2+K199+L199/2</f>
        <v>1.2050000000000001</v>
      </c>
      <c r="O199" s="12">
        <f>0.466+0.15+0.48</f>
        <v>1.0960000000000001</v>
      </c>
      <c r="P199" s="8">
        <f>190/(190*(1)+190)</f>
        <v>0.5</v>
      </c>
      <c r="Q199" s="8">
        <v>0.9</v>
      </c>
      <c r="R199" s="12">
        <v>1.8869999999999998</v>
      </c>
      <c r="S199" s="6" t="s">
        <v>231</v>
      </c>
      <c r="T199" s="9">
        <f>H199*R199*(1+O199)*(1+N199)*P199*Q199</f>
        <v>7689.0522394435684</v>
      </c>
    </row>
    <row r="200" spans="1:20" x14ac:dyDescent="0.25">
      <c r="A200" s="6" t="s">
        <v>229</v>
      </c>
      <c r="B200" s="6" t="s">
        <v>182</v>
      </c>
      <c r="C200" s="11" t="s">
        <v>196</v>
      </c>
      <c r="D200" s="6" t="s">
        <v>199</v>
      </c>
      <c r="E200" s="7" t="s">
        <v>230</v>
      </c>
      <c r="F200" s="8">
        <v>244</v>
      </c>
      <c r="G200" s="8">
        <v>510</v>
      </c>
      <c r="H200" s="9">
        <f>(F200+G200)*(1+0.3+0.466+0.24)+311</f>
        <v>1823.5240000000001</v>
      </c>
      <c r="I200" s="24">
        <f>(F200+G200)*(1+0.3+0.466+0.24+0.14)+311</f>
        <v>1929.0840000000003</v>
      </c>
      <c r="J200" s="11">
        <f>80+165</f>
        <v>245</v>
      </c>
      <c r="K200" s="12">
        <v>0</v>
      </c>
      <c r="L200" s="12">
        <v>0</v>
      </c>
      <c r="M200" s="13">
        <f>60.25%+K200/2+L200/4</f>
        <v>0.60250000000000004</v>
      </c>
      <c r="N200" s="13">
        <f>60.25%*2+K200+L200/2</f>
        <v>1.2050000000000001</v>
      </c>
      <c r="O200" s="12">
        <f>0.466+0.48</f>
        <v>0.94599999999999995</v>
      </c>
      <c r="P200" s="8">
        <f>190/(190*(1)+190)</f>
        <v>0.5</v>
      </c>
      <c r="Q200" s="8">
        <v>0.9</v>
      </c>
      <c r="R200" s="12">
        <v>1.8869999999999998</v>
      </c>
      <c r="S200" s="6" t="s">
        <v>231</v>
      </c>
      <c r="T200" s="9">
        <f>I200*R200*(1+O200)*(1+N200)*P200*Q200</f>
        <v>7028.8938171550981</v>
      </c>
    </row>
    <row r="201" spans="1:20" x14ac:dyDescent="0.25">
      <c r="A201" s="6" t="s">
        <v>229</v>
      </c>
      <c r="B201" s="6" t="s">
        <v>145</v>
      </c>
      <c r="C201" s="6" t="s">
        <v>212</v>
      </c>
      <c r="D201" s="6" t="s">
        <v>199</v>
      </c>
      <c r="E201" s="7" t="s">
        <v>230</v>
      </c>
      <c r="F201" s="8">
        <v>244</v>
      </c>
      <c r="G201" s="8">
        <v>674</v>
      </c>
      <c r="H201" s="9">
        <f>(F201+G201)*(1+0.3+0.466+0.18+0.24)+311</f>
        <v>2317.748</v>
      </c>
      <c r="J201" s="11">
        <v>80</v>
      </c>
      <c r="K201" s="12">
        <v>0.221</v>
      </c>
      <c r="L201" s="12">
        <v>0.2</v>
      </c>
      <c r="M201" s="13">
        <f>60.25%+K201/2+L201/4</f>
        <v>0.76300000000000012</v>
      </c>
      <c r="N201" s="13">
        <f>60.25%*2+K201+L201/2</f>
        <v>1.5260000000000002</v>
      </c>
      <c r="O201" s="12">
        <f>0.466+0.15</f>
        <v>0.61599999999999999</v>
      </c>
      <c r="P201" s="8">
        <f>190/(190*(1)+190)</f>
        <v>0.5</v>
      </c>
      <c r="Q201" s="8">
        <v>0.9</v>
      </c>
      <c r="R201" s="12">
        <v>1.8869999999999998</v>
      </c>
      <c r="S201" s="6" t="s">
        <v>231</v>
      </c>
      <c r="T201" s="9">
        <f>H201*R201*(1+O201)*(1+N201)*P201*Q201</f>
        <v>8033.8798352158274</v>
      </c>
    </row>
    <row r="202" spans="1:20" x14ac:dyDescent="0.25">
      <c r="A202" s="6" t="s">
        <v>229</v>
      </c>
      <c r="B202" s="6" t="s">
        <v>145</v>
      </c>
      <c r="C202" s="11" t="s">
        <v>196</v>
      </c>
      <c r="D202" s="6" t="s">
        <v>199</v>
      </c>
      <c r="E202" s="7" t="s">
        <v>230</v>
      </c>
      <c r="F202" s="8">
        <v>244</v>
      </c>
      <c r="G202" s="8">
        <v>674</v>
      </c>
      <c r="H202" s="9">
        <f>(F202+G202)*(1+0.3+0.466+0.24)+311</f>
        <v>2152.5080000000003</v>
      </c>
      <c r="I202" s="24">
        <f>(F202+G202)*(1+0.3+0.466+0.24+0.14)+311</f>
        <v>2281.0280000000002</v>
      </c>
      <c r="J202" s="11">
        <v>80</v>
      </c>
      <c r="K202" s="12">
        <v>0.221</v>
      </c>
      <c r="L202" s="12">
        <v>0.2</v>
      </c>
      <c r="M202" s="13">
        <f>60.25%+K202/2+L202/4</f>
        <v>0.76300000000000012</v>
      </c>
      <c r="N202" s="13">
        <f>60.25%*2+K202+L202/2</f>
        <v>1.5260000000000002</v>
      </c>
      <c r="O202" s="12">
        <f>0.466</f>
        <v>0.46600000000000003</v>
      </c>
      <c r="P202" s="8">
        <f>190/(190*(1)+190)</f>
        <v>0.5</v>
      </c>
      <c r="Q202" s="8">
        <v>0.9</v>
      </c>
      <c r="R202" s="12">
        <v>1.8869999999999998</v>
      </c>
      <c r="S202" s="6" t="s">
        <v>231</v>
      </c>
      <c r="T202" s="9">
        <f>I202*R202*(1+O202)*(1+N202)*P202*Q202</f>
        <v>7172.6947161700409</v>
      </c>
    </row>
    <row r="203" spans="1:20" x14ac:dyDescent="0.25">
      <c r="C203" s="11"/>
      <c r="I203" s="24"/>
    </row>
    <row r="204" spans="1:20" x14ac:dyDescent="0.25">
      <c r="A204" s="6" t="s">
        <v>8</v>
      </c>
      <c r="B204" s="6" t="s">
        <v>9</v>
      </c>
      <c r="C204" s="6" t="s">
        <v>10</v>
      </c>
      <c r="D204" s="6" t="s">
        <v>11</v>
      </c>
      <c r="E204" s="7" t="s">
        <v>12</v>
      </c>
      <c r="F204" s="8" t="s">
        <v>13</v>
      </c>
      <c r="G204" s="8" t="s">
        <v>14</v>
      </c>
      <c r="H204" s="9" t="s">
        <v>15</v>
      </c>
      <c r="I204" s="10" t="s">
        <v>17</v>
      </c>
      <c r="J204" s="14"/>
      <c r="K204" s="12" t="s">
        <v>18</v>
      </c>
      <c r="L204" s="12" t="s">
        <v>19</v>
      </c>
      <c r="M204" s="13" t="s">
        <v>20</v>
      </c>
      <c r="N204" s="13" t="s">
        <v>21</v>
      </c>
      <c r="O204" s="12" t="s">
        <v>22</v>
      </c>
      <c r="P204" s="8" t="s">
        <v>23</v>
      </c>
      <c r="Q204" s="8" t="s">
        <v>24</v>
      </c>
      <c r="R204" s="12" t="s">
        <v>25</v>
      </c>
      <c r="S204" s="6" t="s">
        <v>26</v>
      </c>
      <c r="T204" s="9" t="s">
        <v>27</v>
      </c>
    </row>
    <row r="205" spans="1:20" x14ac:dyDescent="0.25">
      <c r="A205" s="6" t="s">
        <v>232</v>
      </c>
      <c r="B205" s="6" t="s">
        <v>55</v>
      </c>
      <c r="C205" s="6" t="s">
        <v>233</v>
      </c>
      <c r="D205" s="6" t="s">
        <v>199</v>
      </c>
      <c r="E205" s="7" t="s">
        <v>234</v>
      </c>
      <c r="F205" s="8">
        <v>232</v>
      </c>
      <c r="G205" s="8">
        <v>608</v>
      </c>
      <c r="H205" s="9">
        <f>(F205+G205)*(1+0.3+0.466+0.18)+311</f>
        <v>1945.6399999999999</v>
      </c>
      <c r="I205" s="10">
        <f>96+80</f>
        <v>176</v>
      </c>
      <c r="K205" s="12">
        <v>0.33100000000000002</v>
      </c>
      <c r="L205" s="12">
        <v>0</v>
      </c>
      <c r="M205" s="13">
        <f t="shared" ref="M205:M210" si="23">60.25%+K205/2+L205/4</f>
        <v>0.76800000000000002</v>
      </c>
      <c r="N205" s="13">
        <f>60.25%*2+K205+L205/2</f>
        <v>1.536</v>
      </c>
      <c r="O205" s="12">
        <f>0.466+0.32+0.15</f>
        <v>0.93600000000000005</v>
      </c>
      <c r="P205" s="8">
        <f>190/(190*(1-0.15)+190)</f>
        <v>0.54054054054054057</v>
      </c>
      <c r="Q205" s="8">
        <v>0.9</v>
      </c>
      <c r="R205" s="12">
        <v>10.353</v>
      </c>
      <c r="S205" s="6" t="s">
        <v>235</v>
      </c>
      <c r="T205" s="9">
        <f>H205*R205*(1+O205)*(1+N205)*P205*Q205</f>
        <v>48112.074525930962</v>
      </c>
    </row>
    <row r="206" spans="1:20" x14ac:dyDescent="0.25">
      <c r="A206" s="6" t="s">
        <v>232</v>
      </c>
      <c r="B206" s="6" t="s">
        <v>59</v>
      </c>
      <c r="C206" s="6" t="s">
        <v>81</v>
      </c>
      <c r="D206" s="6" t="s">
        <v>199</v>
      </c>
      <c r="E206" s="7" t="s">
        <v>236</v>
      </c>
      <c r="F206" s="8">
        <v>232</v>
      </c>
      <c r="G206" s="8">
        <v>510</v>
      </c>
      <c r="H206" s="9">
        <f>(F206+G206)*(1+0.3+0.466)+311</f>
        <v>1621.3720000000001</v>
      </c>
      <c r="I206" s="10">
        <f>96+80</f>
        <v>176</v>
      </c>
      <c r="K206" s="12">
        <v>0</v>
      </c>
      <c r="L206" s="12">
        <v>0.55100000000000005</v>
      </c>
      <c r="M206" s="13">
        <f t="shared" si="23"/>
        <v>0.74025000000000007</v>
      </c>
      <c r="N206" s="13">
        <f>60.25%*2+K206+L206/2</f>
        <v>1.4805000000000001</v>
      </c>
      <c r="O206" s="12">
        <f>0.466+0.2</f>
        <v>0.66600000000000004</v>
      </c>
      <c r="P206" s="8">
        <f>190/(190*(1-0.15)+190)</f>
        <v>0.54054054054054057</v>
      </c>
      <c r="Q206" s="8">
        <v>0.9</v>
      </c>
      <c r="R206" s="12">
        <v>0.77689999999999992</v>
      </c>
      <c r="S206" s="6" t="s">
        <v>237</v>
      </c>
      <c r="T206" s="9">
        <f>((F206+G206)*(1+0.3+0.466+1.2)+311)*R206*(1+O206)*(1+N206)*P206*Q206</f>
        <v>3923.1087378784878</v>
      </c>
    </row>
    <row r="208" spans="1:20" x14ac:dyDescent="0.25">
      <c r="A208" s="6" t="s">
        <v>8</v>
      </c>
      <c r="B208" s="6" t="s">
        <v>9</v>
      </c>
      <c r="C208" s="6" t="s">
        <v>10</v>
      </c>
      <c r="D208" s="6" t="s">
        <v>11</v>
      </c>
      <c r="E208" s="7" t="s">
        <v>12</v>
      </c>
      <c r="F208" s="8" t="s">
        <v>13</v>
      </c>
      <c r="G208" s="8" t="s">
        <v>14</v>
      </c>
      <c r="H208" s="9" t="s">
        <v>15</v>
      </c>
      <c r="I208" s="10" t="s">
        <v>37</v>
      </c>
      <c r="J208" s="14"/>
      <c r="K208" s="12" t="s">
        <v>18</v>
      </c>
      <c r="L208" s="12" t="s">
        <v>19</v>
      </c>
      <c r="M208" s="13" t="s">
        <v>20</v>
      </c>
      <c r="N208" s="13" t="s">
        <v>21</v>
      </c>
      <c r="O208" s="12" t="s">
        <v>22</v>
      </c>
      <c r="P208" s="8" t="s">
        <v>23</v>
      </c>
      <c r="Q208" s="8" t="s">
        <v>24</v>
      </c>
      <c r="R208" s="12" t="s">
        <v>25</v>
      </c>
      <c r="S208" s="6" t="s">
        <v>26</v>
      </c>
      <c r="T208" s="9" t="s">
        <v>27</v>
      </c>
    </row>
    <row r="209" spans="1:23" x14ac:dyDescent="0.25">
      <c r="A209" s="6" t="s">
        <v>238</v>
      </c>
      <c r="B209" s="6" t="s">
        <v>63</v>
      </c>
      <c r="C209" s="6" t="s">
        <v>88</v>
      </c>
      <c r="D209" s="6" t="s">
        <v>215</v>
      </c>
      <c r="E209" s="7" t="s">
        <v>239</v>
      </c>
      <c r="F209" s="8">
        <v>225</v>
      </c>
      <c r="G209" s="8">
        <v>608</v>
      </c>
      <c r="H209" s="9">
        <f>(G209+F209)*(1+0.3+0.2+0.496)+311</f>
        <v>1973.6679999999999</v>
      </c>
      <c r="I209" s="14">
        <f>1+0.2+0.518+0.2</f>
        <v>1.9179999999999999</v>
      </c>
      <c r="K209" s="12">
        <v>0</v>
      </c>
      <c r="L209" s="12">
        <v>0</v>
      </c>
      <c r="M209" s="13">
        <f t="shared" si="23"/>
        <v>0.60250000000000004</v>
      </c>
      <c r="N209" s="13">
        <f>60.25%*2+K209+L209/2</f>
        <v>1.2050000000000001</v>
      </c>
      <c r="O209" s="12">
        <f>0.466+0.25*I209+0.24</f>
        <v>1.1855</v>
      </c>
      <c r="P209" s="8">
        <v>0.5</v>
      </c>
      <c r="Q209" s="8">
        <v>1.0249999999999999</v>
      </c>
      <c r="R209" s="12">
        <v>1.7280000000000002</v>
      </c>
      <c r="S209" s="6" t="s">
        <v>240</v>
      </c>
      <c r="T209" s="9">
        <f>H209*R209*(1+O209)*(1+N209)*P209*Q209</f>
        <v>8423.0836217856722</v>
      </c>
    </row>
    <row r="210" spans="1:23" x14ac:dyDescent="0.25">
      <c r="A210" s="6" t="s">
        <v>238</v>
      </c>
      <c r="B210" s="6" t="s">
        <v>65</v>
      </c>
      <c r="C210" s="6" t="s">
        <v>88</v>
      </c>
      <c r="D210" s="6" t="s">
        <v>217</v>
      </c>
      <c r="E210" s="7" t="s">
        <v>239</v>
      </c>
      <c r="F210" s="8">
        <v>225</v>
      </c>
      <c r="G210" s="8">
        <v>510</v>
      </c>
      <c r="H210" s="9">
        <f>(G210+F210)*(1+0.3+0.466*1)+311</f>
        <v>1609.01</v>
      </c>
      <c r="I210" s="14">
        <f>1+0.2+0.518+0.2</f>
        <v>1.9179999999999999</v>
      </c>
      <c r="K210" s="12">
        <v>0.27600000000000002</v>
      </c>
      <c r="L210" s="12">
        <v>0</v>
      </c>
      <c r="M210" s="13">
        <f t="shared" si="23"/>
        <v>0.74050000000000005</v>
      </c>
      <c r="N210" s="13">
        <f>60.25%*2+K210+L210/2</f>
        <v>1.4810000000000001</v>
      </c>
      <c r="O210" s="12">
        <f>0.4+0.25*I210+0.24</f>
        <v>1.1194999999999999</v>
      </c>
      <c r="P210" s="8">
        <v>0.5</v>
      </c>
      <c r="Q210" s="8">
        <v>1.0249999999999999</v>
      </c>
      <c r="R210" s="12">
        <v>1.7280000000000002</v>
      </c>
      <c r="S210" s="6" t="s">
        <v>240</v>
      </c>
      <c r="T210" s="9">
        <f>H210*R210*(1+O210)*(1+N210)*P210*Q210</f>
        <v>7493.0138664212509</v>
      </c>
    </row>
    <row r="212" spans="1:23" x14ac:dyDescent="0.25">
      <c r="A212" s="6" t="s">
        <v>8</v>
      </c>
      <c r="B212" s="6" t="s">
        <v>9</v>
      </c>
      <c r="C212" s="6" t="s">
        <v>10</v>
      </c>
      <c r="D212" s="6" t="s">
        <v>11</v>
      </c>
      <c r="E212" s="7" t="s">
        <v>12</v>
      </c>
      <c r="F212" s="8" t="s">
        <v>13</v>
      </c>
      <c r="G212" s="8" t="s">
        <v>14</v>
      </c>
      <c r="H212" s="9" t="s">
        <v>15</v>
      </c>
      <c r="I212" s="10" t="s">
        <v>37</v>
      </c>
      <c r="J212" s="14"/>
      <c r="K212" s="12" t="s">
        <v>18</v>
      </c>
      <c r="L212" s="12" t="s">
        <v>19</v>
      </c>
      <c r="M212" s="13" t="s">
        <v>20</v>
      </c>
      <c r="N212" s="13" t="s">
        <v>21</v>
      </c>
      <c r="O212" s="12" t="s">
        <v>22</v>
      </c>
      <c r="P212" s="8" t="s">
        <v>23</v>
      </c>
      <c r="Q212" s="8" t="s">
        <v>24</v>
      </c>
      <c r="R212" s="12" t="s">
        <v>25</v>
      </c>
      <c r="S212" s="6" t="s">
        <v>26</v>
      </c>
      <c r="T212" s="9" t="s">
        <v>27</v>
      </c>
    </row>
    <row r="213" spans="1:23" x14ac:dyDescent="0.25">
      <c r="A213" s="6" t="s">
        <v>241</v>
      </c>
      <c r="B213" s="6" t="s">
        <v>188</v>
      </c>
      <c r="C213" s="6" t="s">
        <v>88</v>
      </c>
      <c r="D213" s="6" t="s">
        <v>215</v>
      </c>
      <c r="E213" s="7" t="s">
        <v>172</v>
      </c>
      <c r="F213" s="8">
        <v>212</v>
      </c>
      <c r="G213" s="8">
        <v>454</v>
      </c>
      <c r="H213" s="9">
        <f>(G213+F213)*(1+0.2+0.24)+311</f>
        <v>1270.04</v>
      </c>
      <c r="I213" s="14">
        <f>1+0.2+0.518+0.2+0.613</f>
        <v>2.5309999999999997</v>
      </c>
      <c r="K213" s="12">
        <v>0</v>
      </c>
      <c r="L213" s="12">
        <v>0</v>
      </c>
      <c r="M213" s="13">
        <f>60.25%+K213/2+L213/4</f>
        <v>0.60250000000000004</v>
      </c>
      <c r="N213" s="13">
        <f>60.25%*2+K213+L213/2</f>
        <v>1.2050000000000001</v>
      </c>
      <c r="O213" s="12">
        <f>0.466+0.25*I213</f>
        <v>1.0987499999999999</v>
      </c>
      <c r="P213" s="8">
        <v>0.5</v>
      </c>
      <c r="Q213" s="8">
        <v>1.0249999999999999</v>
      </c>
      <c r="R213" s="12">
        <v>1.7280000000000002</v>
      </c>
      <c r="S213" s="6" t="s">
        <v>242</v>
      </c>
      <c r="T213" s="13">
        <f>0.2+0.1*I213</f>
        <v>0.4531</v>
      </c>
    </row>
    <row r="214" spans="1:23" x14ac:dyDescent="0.25">
      <c r="I214" s="14"/>
      <c r="T214" s="13"/>
    </row>
    <row r="215" spans="1:23" x14ac:dyDescent="0.25">
      <c r="A215" s="27"/>
      <c r="B215" s="27"/>
      <c r="C215" s="27"/>
      <c r="D215" s="27"/>
      <c r="E215" s="28"/>
      <c r="F215" s="29"/>
      <c r="G215" s="29"/>
      <c r="H215" s="30"/>
      <c r="I215" s="41"/>
      <c r="J215" s="42"/>
      <c r="K215" s="43"/>
      <c r="L215" s="43"/>
      <c r="M215" s="44"/>
      <c r="N215" s="44"/>
      <c r="O215" s="43"/>
      <c r="P215" s="29"/>
      <c r="Q215" s="29"/>
      <c r="R215" s="43"/>
      <c r="S215" s="27"/>
      <c r="T215" s="44"/>
    </row>
    <row r="216" spans="1:23" x14ac:dyDescent="0.25">
      <c r="A216" s="6" t="s">
        <v>8</v>
      </c>
      <c r="B216" s="6" t="s">
        <v>9</v>
      </c>
      <c r="C216" s="6" t="s">
        <v>10</v>
      </c>
      <c r="D216" s="6" t="s">
        <v>11</v>
      </c>
      <c r="E216" s="7" t="s">
        <v>12</v>
      </c>
      <c r="F216" s="8" t="s">
        <v>13</v>
      </c>
      <c r="G216" s="8" t="s">
        <v>14</v>
      </c>
      <c r="H216" s="9" t="s">
        <v>15</v>
      </c>
      <c r="I216" s="10" t="s">
        <v>17</v>
      </c>
      <c r="J216" s="67" t="s">
        <v>414</v>
      </c>
      <c r="K216" s="12" t="s">
        <v>18</v>
      </c>
      <c r="L216" s="12" t="s">
        <v>19</v>
      </c>
      <c r="M216" s="13" t="s">
        <v>20</v>
      </c>
      <c r="N216" s="13" t="s">
        <v>21</v>
      </c>
      <c r="O216" s="12" t="s">
        <v>22</v>
      </c>
      <c r="P216" s="8" t="s">
        <v>23</v>
      </c>
      <c r="Q216" s="8" t="s">
        <v>24</v>
      </c>
      <c r="R216" s="12" t="s">
        <v>25</v>
      </c>
      <c r="S216" s="6" t="s">
        <v>26</v>
      </c>
      <c r="T216" s="9" t="s">
        <v>27</v>
      </c>
      <c r="U216" s="61"/>
    </row>
    <row r="217" spans="1:23" x14ac:dyDescent="0.25">
      <c r="A217" s="65" t="s">
        <v>408</v>
      </c>
      <c r="B217" s="65" t="s">
        <v>409</v>
      </c>
      <c r="C217" s="20" t="s">
        <v>245</v>
      </c>
      <c r="D217" s="65" t="s">
        <v>410</v>
      </c>
      <c r="E217" s="66" t="s">
        <v>413</v>
      </c>
      <c r="F217" s="32">
        <f>299</f>
        <v>299</v>
      </c>
      <c r="G217" s="32">
        <v>542</v>
      </c>
      <c r="H217" s="33">
        <f>(F217+G217)*(1)+311</f>
        <v>1152</v>
      </c>
      <c r="I217" s="33">
        <f>115+187*3+265</f>
        <v>941</v>
      </c>
      <c r="J217" s="45">
        <v>1.3</v>
      </c>
      <c r="K217" s="12">
        <v>0</v>
      </c>
      <c r="L217" s="12">
        <v>0</v>
      </c>
      <c r="M217" s="13">
        <f>5%+7*3.3%</f>
        <v>0.28100000000000003</v>
      </c>
      <c r="N217" s="13">
        <f>50%+7*6.6%</f>
        <v>0.96199999999999997</v>
      </c>
      <c r="O217" s="12">
        <f>0.15+0.1*3+0.1%*(I217-200)</f>
        <v>1.1910000000000001</v>
      </c>
      <c r="P217" s="8">
        <v>0.5</v>
      </c>
      <c r="Q217" s="8">
        <v>1.1000000000000001</v>
      </c>
      <c r="R217" s="12">
        <v>1.8575999999999999</v>
      </c>
      <c r="S217" s="60" t="s">
        <v>415</v>
      </c>
      <c r="T217" s="9">
        <f>(H217*R217+3.7152*I217+1.25*1446.85*(1+(5*(I217))/(1200+I217)))*(1+O217)*(1+N217)*P217*Q217</f>
        <v>26997.953369458883</v>
      </c>
      <c r="U217" s="68"/>
    </row>
    <row r="218" spans="1:23" x14ac:dyDescent="0.25">
      <c r="A218" s="65" t="s">
        <v>408</v>
      </c>
      <c r="B218" s="65" t="s">
        <v>412</v>
      </c>
      <c r="C218" s="20" t="s">
        <v>245</v>
      </c>
      <c r="D218" s="65" t="s">
        <v>410</v>
      </c>
      <c r="E218" s="66" t="s">
        <v>413</v>
      </c>
      <c r="F218" s="32">
        <f>299</f>
        <v>299</v>
      </c>
      <c r="G218" s="32">
        <v>510</v>
      </c>
      <c r="H218" s="33">
        <f>(F218+G218)*(1)+311+48%*I218</f>
        <v>1523.68</v>
      </c>
      <c r="I218" s="33">
        <f>115+187*3+165</f>
        <v>841</v>
      </c>
      <c r="J218" s="45">
        <v>1.3</v>
      </c>
      <c r="K218" s="12">
        <v>0</v>
      </c>
      <c r="L218" s="12">
        <v>0</v>
      </c>
      <c r="M218" s="13">
        <f>5%+7*3.3%</f>
        <v>0.28100000000000003</v>
      </c>
      <c r="N218" s="13">
        <f>50%+7*6.6%</f>
        <v>0.96199999999999997</v>
      </c>
      <c r="O218" s="12">
        <f>0.15+0.1%*(I218-200)</f>
        <v>0.79100000000000004</v>
      </c>
      <c r="P218" s="8">
        <v>0.5</v>
      </c>
      <c r="Q218" s="8">
        <v>1.1000000000000001</v>
      </c>
      <c r="R218" s="12">
        <v>1.8575999999999999</v>
      </c>
      <c r="S218" s="60" t="s">
        <v>415</v>
      </c>
      <c r="T218" s="9">
        <f>(H218*R218+3.7152*I218+1.25*1446.85*(1+(5*(I218))/(1200+I218)))*(1+O218)*(1+N218)*P218*Q218</f>
        <v>22205.488547515655</v>
      </c>
      <c r="U218" s="68"/>
    </row>
    <row r="219" spans="1:23" x14ac:dyDescent="0.25">
      <c r="A219" s="65" t="s">
        <v>408</v>
      </c>
      <c r="B219" s="65" t="s">
        <v>411</v>
      </c>
      <c r="C219" s="20" t="s">
        <v>245</v>
      </c>
      <c r="D219" s="65" t="s">
        <v>410</v>
      </c>
      <c r="E219" s="66" t="s">
        <v>413</v>
      </c>
      <c r="F219" s="32">
        <f>299</f>
        <v>299</v>
      </c>
      <c r="G219" s="32">
        <v>454</v>
      </c>
      <c r="H219" s="33">
        <f>(F219+G219)*(1)+311</f>
        <v>1064</v>
      </c>
      <c r="I219" s="33">
        <f>115+187*3+221</f>
        <v>897</v>
      </c>
      <c r="J219" s="45">
        <v>1.3</v>
      </c>
      <c r="K219" s="12">
        <v>0</v>
      </c>
      <c r="L219" s="12">
        <v>0</v>
      </c>
      <c r="M219" s="13">
        <f>5%+7*3.3%</f>
        <v>0.28100000000000003</v>
      </c>
      <c r="N219" s="13">
        <f>50%+7*6.6%</f>
        <v>0.96199999999999997</v>
      </c>
      <c r="O219" s="12">
        <f>0.15+0.1%*(I219-200)</f>
        <v>0.84700000000000009</v>
      </c>
      <c r="P219" s="8">
        <v>0.5</v>
      </c>
      <c r="Q219" s="8">
        <v>1.1000000000000001</v>
      </c>
      <c r="R219" s="12">
        <v>1.8575999999999999</v>
      </c>
      <c r="S219" s="60" t="s">
        <v>415</v>
      </c>
      <c r="T219" s="9">
        <f>(H219*R219+3.7152*I219+1.25*1446.85*(1+(5*(I219))/(1200+I219)))*(1+O219)*(1+N219)*P219*Q219</f>
        <v>21895.537373728461</v>
      </c>
      <c r="U219" s="68"/>
    </row>
    <row r="220" spans="1:23" x14ac:dyDescent="0.25">
      <c r="A220" s="20"/>
      <c r="B220" s="20"/>
      <c r="C220" s="20"/>
      <c r="D220" s="20"/>
      <c r="E220" s="31"/>
      <c r="F220" s="32"/>
      <c r="G220" s="32"/>
      <c r="H220" s="33"/>
      <c r="I220" s="33"/>
      <c r="J220" s="45"/>
      <c r="S220" s="11"/>
    </row>
    <row r="221" spans="1:23" x14ac:dyDescent="0.25">
      <c r="A221" s="6" t="s">
        <v>8</v>
      </c>
      <c r="B221" s="6" t="s">
        <v>9</v>
      </c>
      <c r="C221" s="6" t="s">
        <v>10</v>
      </c>
      <c r="D221" s="6" t="s">
        <v>11</v>
      </c>
      <c r="E221" s="7" t="s">
        <v>12</v>
      </c>
      <c r="F221" s="8" t="s">
        <v>13</v>
      </c>
      <c r="G221" s="8" t="s">
        <v>14</v>
      </c>
      <c r="H221" s="9" t="s">
        <v>15</v>
      </c>
      <c r="I221" s="10" t="s">
        <v>17</v>
      </c>
      <c r="J221" s="14"/>
      <c r="K221" s="12" t="s">
        <v>18</v>
      </c>
      <c r="L221" s="12" t="s">
        <v>19</v>
      </c>
      <c r="M221" s="13" t="s">
        <v>20</v>
      </c>
      <c r="N221" s="13" t="s">
        <v>21</v>
      </c>
      <c r="O221" s="12" t="s">
        <v>22</v>
      </c>
      <c r="P221" s="8" t="s">
        <v>23</v>
      </c>
      <c r="Q221" s="8" t="s">
        <v>24</v>
      </c>
      <c r="R221" s="12" t="s">
        <v>25</v>
      </c>
      <c r="S221" s="6" t="s">
        <v>26</v>
      </c>
      <c r="T221" s="9" t="s">
        <v>27</v>
      </c>
    </row>
    <row r="222" spans="1:23" s="5" customFormat="1" x14ac:dyDescent="0.25">
      <c r="A222" s="20" t="s">
        <v>243</v>
      </c>
      <c r="B222" s="20" t="s">
        <v>244</v>
      </c>
      <c r="C222" s="20" t="s">
        <v>245</v>
      </c>
      <c r="D222" s="20" t="s">
        <v>246</v>
      </c>
      <c r="E222" s="31" t="s">
        <v>178</v>
      </c>
      <c r="F222" s="32">
        <v>268</v>
      </c>
      <c r="G222" s="32">
        <v>542</v>
      </c>
      <c r="H222" s="33">
        <f>(F222+G222)*(1)+311</f>
        <v>1121</v>
      </c>
      <c r="I222" s="33">
        <f>187+80</f>
        <v>267</v>
      </c>
      <c r="J222" s="45"/>
      <c r="K222" s="12">
        <v>0.441</v>
      </c>
      <c r="L222" s="12">
        <v>0</v>
      </c>
      <c r="M222" s="13">
        <f>60.25%+K222/2+L222/4-2.3%</f>
        <v>0.8</v>
      </c>
      <c r="N222" s="13">
        <f>60.25%*2+K222+L222/2+2.3%*2</f>
        <v>1.6920000000000002</v>
      </c>
      <c r="O222" s="12">
        <f>0.466+0.15+0.288+0.12+0.06%*(I222+50)</f>
        <v>1.2141999999999999</v>
      </c>
      <c r="P222" s="8">
        <v>0.5</v>
      </c>
      <c r="Q222" s="8">
        <v>1.1000000000000001</v>
      </c>
      <c r="R222" s="12">
        <v>0.69479999999999997</v>
      </c>
      <c r="S222" s="11" t="s">
        <v>247</v>
      </c>
      <c r="T222" s="9">
        <f>(H222*R222+1.6*(I222+50)+1.25*1446.85*(1+(5*(I222+50))/(1200+I222+50)))*(1+O222)*(1+N222)*P222*Q222</f>
        <v>16340.138440246792</v>
      </c>
      <c r="W222" s="33"/>
    </row>
    <row r="223" spans="1:23" s="5" customFormat="1" x14ac:dyDescent="0.25">
      <c r="A223" s="20" t="s">
        <v>243</v>
      </c>
      <c r="B223" s="20" t="s">
        <v>244</v>
      </c>
      <c r="C223" s="20" t="s">
        <v>196</v>
      </c>
      <c r="D223" s="20" t="s">
        <v>246</v>
      </c>
      <c r="E223" s="31" t="s">
        <v>178</v>
      </c>
      <c r="F223" s="32">
        <v>268</v>
      </c>
      <c r="G223" s="32">
        <v>542</v>
      </c>
      <c r="H223" s="33">
        <f>(F223+G223)*(1+0.14)+311</f>
        <v>1234.4000000000001</v>
      </c>
      <c r="I223" s="33">
        <f>187+80+80</f>
        <v>347</v>
      </c>
      <c r="J223" s="45"/>
      <c r="K223" s="12">
        <v>0.441</v>
      </c>
      <c r="L223" s="12">
        <v>0</v>
      </c>
      <c r="M223" s="13">
        <f>60.25%+K223/2+L223/4-2.3%</f>
        <v>0.8</v>
      </c>
      <c r="N223" s="13">
        <f>60.25%*2+K223+L223/2+2.3%*2</f>
        <v>1.6920000000000002</v>
      </c>
      <c r="O223" s="12">
        <f>0.466+0.288+0.12+0.06%*(I223+50)</f>
        <v>1.1122000000000001</v>
      </c>
      <c r="P223" s="8">
        <v>0.5</v>
      </c>
      <c r="Q223" s="8">
        <v>0.9</v>
      </c>
      <c r="R223" s="12">
        <v>0.69479999999999997</v>
      </c>
      <c r="S223" s="11" t="s">
        <v>247</v>
      </c>
      <c r="T223" s="9">
        <f>(H223*R223+1.6*(I223+50+100)+1.25*1446.85*(1+(5*(I223+50+100))/(1200+I223+50+100)))*(1+O223)*(1+N223)*P223*Q223</f>
        <v>15633.236346764515</v>
      </c>
      <c r="W223" s="33"/>
    </row>
    <row r="224" spans="1:23" x14ac:dyDescent="0.25">
      <c r="A224" s="20" t="s">
        <v>243</v>
      </c>
      <c r="B224" s="20" t="s">
        <v>84</v>
      </c>
      <c r="C224" s="20" t="s">
        <v>245</v>
      </c>
      <c r="D224" s="20" t="s">
        <v>246</v>
      </c>
      <c r="E224" s="31" t="s">
        <v>178</v>
      </c>
      <c r="F224" s="32">
        <v>268</v>
      </c>
      <c r="G224" s="32">
        <v>608</v>
      </c>
      <c r="H224" s="33">
        <f>(F224+G224)*(1+0.496)+311</f>
        <v>1621.4960000000001</v>
      </c>
      <c r="I224" s="33">
        <f>187+80</f>
        <v>267</v>
      </c>
      <c r="J224" s="45"/>
      <c r="K224" s="12">
        <v>0</v>
      </c>
      <c r="L224" s="12">
        <v>0</v>
      </c>
      <c r="M224" s="13">
        <f>60.25%+K224/2+L224/4</f>
        <v>0.60250000000000004</v>
      </c>
      <c r="N224" s="13">
        <f>60.25%*2+K224+L224/2</f>
        <v>1.2050000000000001</v>
      </c>
      <c r="O224" s="12">
        <f>0.466+0.15+0.288+0.12+0.06%*(I224+50)+0.4</f>
        <v>1.6141999999999999</v>
      </c>
      <c r="P224" s="8">
        <v>0.5</v>
      </c>
      <c r="Q224" s="8">
        <v>1.1000000000000001</v>
      </c>
      <c r="R224" s="12">
        <v>0.69479999999999997</v>
      </c>
      <c r="S224" s="11" t="s">
        <v>247</v>
      </c>
      <c r="T224" s="9">
        <f>(H224*R224+1.25*1446.85*(1+(5*(I224+50))/(1200+I224+50)))*(1+O224)*(1+N224)*P224*Q224</f>
        <v>15296.437315341129</v>
      </c>
    </row>
    <row r="225" spans="1:20" x14ac:dyDescent="0.25">
      <c r="A225" s="20" t="s">
        <v>243</v>
      </c>
      <c r="B225" s="20" t="s">
        <v>146</v>
      </c>
      <c r="C225" s="20" t="s">
        <v>245</v>
      </c>
      <c r="D225" s="20" t="s">
        <v>246</v>
      </c>
      <c r="E225" s="31" t="s">
        <v>178</v>
      </c>
      <c r="F225" s="32">
        <v>268</v>
      </c>
      <c r="G225" s="32">
        <v>510</v>
      </c>
      <c r="H225" s="33">
        <f>(F225+G225)*(1)+311</f>
        <v>1089</v>
      </c>
      <c r="I225" s="33">
        <f>187+80</f>
        <v>267</v>
      </c>
      <c r="J225" s="45"/>
      <c r="K225" s="12">
        <v>0.27600000000000002</v>
      </c>
      <c r="L225" s="12">
        <v>0</v>
      </c>
      <c r="M225" s="13">
        <f>60.25%+K225/2+L225/4</f>
        <v>0.74050000000000005</v>
      </c>
      <c r="N225" s="13">
        <f>60.25%*2+K225+L225/2</f>
        <v>1.4810000000000001</v>
      </c>
      <c r="O225" s="12">
        <f>0.466+0.15+0.288+0.06%*(I225+50)</f>
        <v>1.0941999999999998</v>
      </c>
      <c r="P225" s="8">
        <v>0.5</v>
      </c>
      <c r="Q225" s="8">
        <v>1.1000000000000001</v>
      </c>
      <c r="R225" s="12">
        <v>0.69479999999999997</v>
      </c>
      <c r="S225" s="11" t="s">
        <v>247</v>
      </c>
      <c r="T225" s="9">
        <f>(H225*R225+1.25*1446.85*(1+(5*(I225+50))/(1200+I225+50)))*(1+O225)*(1+N225)*P225*Q225</f>
        <v>12730.307634735685</v>
      </c>
    </row>
    <row r="226" spans="1:20" x14ac:dyDescent="0.25">
      <c r="I226" s="14"/>
      <c r="T226" s="13"/>
    </row>
    <row r="227" spans="1:20" x14ac:dyDescent="0.25">
      <c r="A227" s="6" t="s">
        <v>8</v>
      </c>
      <c r="B227" s="6" t="s">
        <v>9</v>
      </c>
      <c r="C227" s="6" t="s">
        <v>10</v>
      </c>
      <c r="D227" s="6" t="s">
        <v>11</v>
      </c>
      <c r="E227" s="7" t="s">
        <v>12</v>
      </c>
      <c r="F227" s="8" t="s">
        <v>13</v>
      </c>
      <c r="G227" s="8" t="s">
        <v>14</v>
      </c>
      <c r="H227" s="9" t="s">
        <v>15</v>
      </c>
      <c r="I227" s="10" t="s">
        <v>17</v>
      </c>
      <c r="J227" s="14" t="s">
        <v>37</v>
      </c>
      <c r="K227" s="12" t="s">
        <v>18</v>
      </c>
      <c r="L227" s="12" t="s">
        <v>19</v>
      </c>
      <c r="M227" s="13" t="s">
        <v>20</v>
      </c>
      <c r="N227" s="13" t="s">
        <v>21</v>
      </c>
      <c r="O227" s="12" t="s">
        <v>22</v>
      </c>
      <c r="P227" s="8" t="s">
        <v>23</v>
      </c>
      <c r="Q227" s="8" t="s">
        <v>24</v>
      </c>
      <c r="R227" s="12" t="s">
        <v>25</v>
      </c>
      <c r="S227" s="6" t="s">
        <v>26</v>
      </c>
      <c r="T227" s="9" t="s">
        <v>27</v>
      </c>
    </row>
    <row r="228" spans="1:20" x14ac:dyDescent="0.25">
      <c r="A228" s="20" t="s">
        <v>248</v>
      </c>
      <c r="B228" s="20" t="s">
        <v>80</v>
      </c>
      <c r="C228" s="20" t="s">
        <v>245</v>
      </c>
      <c r="D228" s="20" t="s">
        <v>249</v>
      </c>
      <c r="E228" s="31" t="s">
        <v>250</v>
      </c>
      <c r="F228" s="32">
        <v>200</v>
      </c>
      <c r="G228" s="32">
        <v>608</v>
      </c>
      <c r="H228" s="33">
        <f>(F228+G228)*(1+0.24+0.466+0.2)+311</f>
        <v>1851.048</v>
      </c>
      <c r="I228" s="33">
        <f>60+60</f>
        <v>120</v>
      </c>
      <c r="J228" s="45">
        <f>1+0.15+0.551</f>
        <v>1.7010000000000001</v>
      </c>
      <c r="K228" s="12">
        <v>0</v>
      </c>
      <c r="L228" s="12">
        <v>0</v>
      </c>
      <c r="M228" s="13">
        <f>60.25%+K228/2+L228/4</f>
        <v>0.60250000000000004</v>
      </c>
      <c r="N228" s="13">
        <f>60.25%*2+K228+L228/2</f>
        <v>1.2050000000000001</v>
      </c>
      <c r="O228" s="12">
        <f>0.466+0.15</f>
        <v>0.61599999999999999</v>
      </c>
      <c r="P228" s="8">
        <v>0.5</v>
      </c>
      <c r="Q228" s="8">
        <v>1.1000000000000001</v>
      </c>
      <c r="R228" s="12">
        <v>0.86499999999999999</v>
      </c>
      <c r="S228" s="11" t="s">
        <v>251</v>
      </c>
      <c r="T228" s="9">
        <f>(H228*(1+0.2)*R228+1.25*1446.85*(1+(5*I228+500)/(1200+I228+100)))*(1+O228)*(1+N228)*P228*Q228</f>
        <v>10055.655243596919</v>
      </c>
    </row>
    <row r="229" spans="1:20" x14ac:dyDescent="0.25">
      <c r="A229" s="20" t="s">
        <v>248</v>
      </c>
      <c r="B229" s="20" t="s">
        <v>80</v>
      </c>
      <c r="C229" s="20" t="s">
        <v>81</v>
      </c>
      <c r="D229" s="20" t="s">
        <v>249</v>
      </c>
      <c r="E229" s="31" t="s">
        <v>250</v>
      </c>
      <c r="F229" s="32">
        <v>200</v>
      </c>
      <c r="G229" s="32">
        <v>608</v>
      </c>
      <c r="H229" s="33">
        <f>(F229+G229)*(1+0.24+0.466+0.2)+311</f>
        <v>1851.048</v>
      </c>
      <c r="I229" s="33">
        <f>60+60</f>
        <v>120</v>
      </c>
      <c r="J229" s="45">
        <f>1+0.15+0.551</f>
        <v>1.7010000000000001</v>
      </c>
      <c r="K229" s="12">
        <v>0</v>
      </c>
      <c r="L229" s="12">
        <v>0</v>
      </c>
      <c r="M229" s="13">
        <f>60.25%+K229/2+L229/4</f>
        <v>0.60250000000000004</v>
      </c>
      <c r="N229" s="13">
        <f>60.25%*2+K229+L229/2</f>
        <v>1.2050000000000001</v>
      </c>
      <c r="O229" s="12">
        <f>0.466+0.2</f>
        <v>0.66600000000000004</v>
      </c>
      <c r="P229" s="8">
        <v>0.5</v>
      </c>
      <c r="Q229" s="8">
        <v>0.9</v>
      </c>
      <c r="R229" s="12">
        <v>0.86499999999999999</v>
      </c>
      <c r="S229" s="11" t="s">
        <v>251</v>
      </c>
      <c r="T229" s="9">
        <f>(H229*(1+0.2)*R229+1.25*1446.85*(1+(5*I229+500)/(1200+I229+100)))*(1+O229)*(1+N229)*P229*Q229</f>
        <v>8481.9135194921346</v>
      </c>
    </row>
    <row r="230" spans="1:20" x14ac:dyDescent="0.25">
      <c r="A230" s="20" t="s">
        <v>248</v>
      </c>
      <c r="B230" s="20" t="s">
        <v>115</v>
      </c>
      <c r="C230" s="20" t="s">
        <v>245</v>
      </c>
      <c r="D230" s="20" t="s">
        <v>249</v>
      </c>
      <c r="E230" s="31" t="s">
        <v>250</v>
      </c>
      <c r="F230" s="32">
        <v>200</v>
      </c>
      <c r="G230" s="32">
        <v>454</v>
      </c>
      <c r="H230" s="33">
        <f>(F230+G230)*(1+0.24+0.466+0.2)+311</f>
        <v>1557.5239999999999</v>
      </c>
      <c r="I230" s="33">
        <f>60</f>
        <v>60</v>
      </c>
      <c r="J230" s="45">
        <f>1+0.15+0.613</f>
        <v>1.7629999999999999</v>
      </c>
      <c r="K230" s="12">
        <v>0</v>
      </c>
      <c r="L230" s="12">
        <v>0</v>
      </c>
      <c r="M230" s="13">
        <f>60.25%+K230/2+L230/4</f>
        <v>0.60250000000000004</v>
      </c>
      <c r="N230" s="13">
        <f>60.25%*2+K230+L230/2</f>
        <v>1.2050000000000001</v>
      </c>
      <c r="O230" s="12">
        <f>0.466+0.15</f>
        <v>0.61599999999999999</v>
      </c>
      <c r="P230" s="8">
        <v>0.5</v>
      </c>
      <c r="Q230" s="8">
        <v>1.1000000000000001</v>
      </c>
      <c r="R230" s="12">
        <v>0.86499999999999999</v>
      </c>
      <c r="S230" s="11" t="s">
        <v>251</v>
      </c>
      <c r="T230" s="9">
        <f>(H230*(1)*R230+1.25*1446.85*(1+(5*I230)/(1200+I230)))*(1+O230)*(1+N230)*P230*Q230</f>
        <v>7028.7015824810405</v>
      </c>
    </row>
    <row r="231" spans="1:20" x14ac:dyDescent="0.25">
      <c r="A231" s="20" t="s">
        <v>248</v>
      </c>
      <c r="B231" s="20" t="s">
        <v>115</v>
      </c>
      <c r="C231" s="20" t="s">
        <v>81</v>
      </c>
      <c r="D231" s="20" t="s">
        <v>249</v>
      </c>
      <c r="E231" s="31" t="s">
        <v>250</v>
      </c>
      <c r="F231" s="32">
        <v>200</v>
      </c>
      <c r="G231" s="32">
        <v>454</v>
      </c>
      <c r="H231" s="33">
        <f>(F231+G231)*(1+0.24+0.466+0.2)+311</f>
        <v>1557.5239999999999</v>
      </c>
      <c r="I231" s="33">
        <f>60</f>
        <v>60</v>
      </c>
      <c r="J231" s="45">
        <f>1+0.15+0.613</f>
        <v>1.7629999999999999</v>
      </c>
      <c r="K231" s="12">
        <v>0</v>
      </c>
      <c r="L231" s="12">
        <v>0</v>
      </c>
      <c r="M231" s="13">
        <f>60.25%+K231/2+L231/4</f>
        <v>0.60250000000000004</v>
      </c>
      <c r="N231" s="13">
        <f>60.25%*2+K231+L231/2</f>
        <v>1.2050000000000001</v>
      </c>
      <c r="O231" s="12">
        <f>0.466+0.2</f>
        <v>0.66600000000000004</v>
      </c>
      <c r="P231" s="8">
        <v>0.5</v>
      </c>
      <c r="Q231" s="8">
        <v>0.9</v>
      </c>
      <c r="R231" s="12">
        <v>0.86499999999999999</v>
      </c>
      <c r="S231" s="11" t="s">
        <v>251</v>
      </c>
      <c r="T231" s="9">
        <f>(H231*(1+0.2)*R231+1.25*1446.85*(1+(5*I231)/(1200+I231)))*(1+O231)*(1+N231)*P231*Q231</f>
        <v>6374.1150694257112</v>
      </c>
    </row>
    <row r="233" spans="1:20" x14ac:dyDescent="0.25">
      <c r="A233" s="18" t="s">
        <v>8</v>
      </c>
      <c r="B233" s="18" t="s">
        <v>9</v>
      </c>
      <c r="C233" s="18" t="s">
        <v>10</v>
      </c>
      <c r="D233" s="18" t="s">
        <v>11</v>
      </c>
      <c r="E233" s="34" t="s">
        <v>12</v>
      </c>
      <c r="F233" s="35" t="s">
        <v>13</v>
      </c>
      <c r="G233" s="35" t="s">
        <v>14</v>
      </c>
      <c r="H233" s="36" t="s">
        <v>15</v>
      </c>
      <c r="I233" s="46" t="s">
        <v>17</v>
      </c>
      <c r="J233" s="47" t="s">
        <v>37</v>
      </c>
      <c r="K233" s="48" t="s">
        <v>18</v>
      </c>
      <c r="L233" s="48" t="s">
        <v>19</v>
      </c>
      <c r="M233" s="49" t="s">
        <v>20</v>
      </c>
      <c r="N233" s="49" t="s">
        <v>21</v>
      </c>
      <c r="O233" s="48" t="s">
        <v>22</v>
      </c>
      <c r="P233" s="35" t="s">
        <v>23</v>
      </c>
      <c r="Q233" s="35" t="s">
        <v>24</v>
      </c>
      <c r="R233" s="48" t="s">
        <v>25</v>
      </c>
      <c r="S233" s="18" t="s">
        <v>26</v>
      </c>
      <c r="T233" s="36" t="s">
        <v>27</v>
      </c>
    </row>
    <row r="234" spans="1:20" x14ac:dyDescent="0.25">
      <c r="A234" s="20" t="s">
        <v>252</v>
      </c>
      <c r="B234" s="20" t="s">
        <v>96</v>
      </c>
      <c r="C234" s="20" t="s">
        <v>245</v>
      </c>
      <c r="D234" s="20" t="s">
        <v>246</v>
      </c>
      <c r="E234" s="31" t="s">
        <v>250</v>
      </c>
      <c r="F234" s="32">
        <v>212</v>
      </c>
      <c r="G234" s="32">
        <v>608</v>
      </c>
      <c r="H234" s="33">
        <f>(F234+G234)*(1+0.24)+311</f>
        <v>1327.8</v>
      </c>
      <c r="I234" s="33">
        <f>187+80</f>
        <v>267</v>
      </c>
      <c r="J234" s="45">
        <f>1+0.2+0.551</f>
        <v>1.7509999999999999</v>
      </c>
      <c r="K234" s="48">
        <v>0.04</v>
      </c>
      <c r="L234" s="48">
        <v>0</v>
      </c>
      <c r="M234" s="49">
        <f>60.25%+K234/2+L234/4</f>
        <v>0.62250000000000005</v>
      </c>
      <c r="N234" s="49">
        <f>60.25%*2+K234+L234/2</f>
        <v>1.2450000000000001</v>
      </c>
      <c r="O234" s="48">
        <f>0.466+0.15+0.1%*I234</f>
        <v>0.88300000000000001</v>
      </c>
      <c r="P234" s="35">
        <v>0.5</v>
      </c>
      <c r="Q234" s="35">
        <v>1.1000000000000001</v>
      </c>
      <c r="R234" s="48">
        <v>1.6032</v>
      </c>
      <c r="S234" s="16" t="s">
        <v>251</v>
      </c>
      <c r="T234" s="36">
        <f>(H234*(1)*R234+1.25*1446.85*(1+(5*I234)/(1200+I234)))*(1+O234)*(1+N234)*P234*Q234</f>
        <v>12980.945965680772</v>
      </c>
    </row>
    <row r="235" spans="1:20" x14ac:dyDescent="0.25">
      <c r="A235" s="20" t="s">
        <v>252</v>
      </c>
      <c r="B235" s="20" t="s">
        <v>188</v>
      </c>
      <c r="C235" s="20" t="s">
        <v>245</v>
      </c>
      <c r="D235" s="20" t="s">
        <v>246</v>
      </c>
      <c r="E235" s="31" t="s">
        <v>250</v>
      </c>
      <c r="F235" s="32">
        <v>212</v>
      </c>
      <c r="G235" s="32">
        <v>454</v>
      </c>
      <c r="H235" s="33">
        <f>(F235+G235)*(1+0.24)+311</f>
        <v>1136.8400000000001</v>
      </c>
      <c r="I235" s="33">
        <f>187+80</f>
        <v>267</v>
      </c>
      <c r="J235" s="45">
        <f>1+0.2+0.613</f>
        <v>1.8129999999999999</v>
      </c>
      <c r="K235" s="48">
        <v>0</v>
      </c>
      <c r="L235" s="48">
        <v>0</v>
      </c>
      <c r="M235" s="49">
        <f>60.25%+K235/2+L235/4</f>
        <v>0.60250000000000004</v>
      </c>
      <c r="N235" s="49">
        <f>60.25%*2+K235+L235/2</f>
        <v>1.2050000000000001</v>
      </c>
      <c r="O235" s="48">
        <f>0.466+0.15+0.1%*I235</f>
        <v>0.88300000000000001</v>
      </c>
      <c r="P235" s="35">
        <v>0.5</v>
      </c>
      <c r="Q235" s="35">
        <v>1.1000000000000001</v>
      </c>
      <c r="R235" s="48">
        <v>1.6032</v>
      </c>
      <c r="S235" s="16" t="s">
        <v>251</v>
      </c>
      <c r="T235" s="36">
        <f>(H235*(1)*R235+1.25*1446.85*(1+(5*I235)/(1200+I235)))*(1+O235)*(1+N235)*P235*Q235</f>
        <v>12050.539643975299</v>
      </c>
    </row>
    <row r="236" spans="1:20" x14ac:dyDescent="0.25">
      <c r="A236" s="20" t="s">
        <v>252</v>
      </c>
      <c r="B236" s="20" t="s">
        <v>206</v>
      </c>
      <c r="C236" s="20" t="s">
        <v>245</v>
      </c>
      <c r="D236" s="20" t="s">
        <v>246</v>
      </c>
      <c r="E236" s="31" t="s">
        <v>250</v>
      </c>
      <c r="F236" s="32">
        <v>212</v>
      </c>
      <c r="G236" s="32">
        <v>565</v>
      </c>
      <c r="H236" s="33">
        <f>(F236+G236)*(1+0.24)+311</f>
        <v>1274.48</v>
      </c>
      <c r="I236" s="33">
        <f>187+80</f>
        <v>267</v>
      </c>
      <c r="J236" s="45">
        <f>1+0.2+0.306</f>
        <v>1.506</v>
      </c>
      <c r="K236" s="48">
        <v>0</v>
      </c>
      <c r="L236" s="48">
        <v>0</v>
      </c>
      <c r="M236" s="49">
        <f>60.25%+K236/2+L236/4</f>
        <v>0.60250000000000004</v>
      </c>
      <c r="N236" s="49">
        <f>60.25%*2+K236+L236/2</f>
        <v>1.2050000000000001</v>
      </c>
      <c r="O236" s="48">
        <f>0.466+0.15+0.1%*I236</f>
        <v>0.88300000000000001</v>
      </c>
      <c r="P236" s="35">
        <v>0.5</v>
      </c>
      <c r="Q236" s="35">
        <v>1.1000000000000001</v>
      </c>
      <c r="R236" s="48">
        <v>1.6032</v>
      </c>
      <c r="S236" s="16" t="s">
        <v>251</v>
      </c>
      <c r="T236" s="36">
        <f>(H236*(1)*R236+1.25*1446.85*(1+(5*I236)/(1200+I236)))*(1+O236)*(1+N236)*P236*Q236</f>
        <v>12554.450797909794</v>
      </c>
    </row>
    <row r="237" spans="1:20" x14ac:dyDescent="0.25">
      <c r="I237" s="14"/>
      <c r="T237" s="13"/>
    </row>
    <row r="238" spans="1:20" x14ac:dyDescent="0.25">
      <c r="A238" s="37"/>
      <c r="B238" s="37"/>
      <c r="C238" s="37"/>
      <c r="D238" s="37"/>
      <c r="E238" s="38"/>
      <c r="F238" s="39"/>
      <c r="G238" s="39"/>
      <c r="H238" s="40"/>
      <c r="I238" s="50"/>
      <c r="J238" s="51"/>
      <c r="K238" s="52"/>
      <c r="L238" s="52"/>
      <c r="M238" s="53"/>
      <c r="N238" s="53"/>
      <c r="O238" s="52"/>
      <c r="P238" s="39"/>
      <c r="Q238" s="39"/>
      <c r="R238" s="52"/>
      <c r="S238" s="37"/>
      <c r="T238" s="40"/>
    </row>
    <row r="239" spans="1:20" x14ac:dyDescent="0.25">
      <c r="A239" s="6" t="s">
        <v>8</v>
      </c>
      <c r="B239" s="6" t="s">
        <v>9</v>
      </c>
      <c r="C239" s="6" t="s">
        <v>10</v>
      </c>
      <c r="D239" s="6" t="s">
        <v>11</v>
      </c>
      <c r="E239" s="7" t="s">
        <v>12</v>
      </c>
      <c r="F239" s="8" t="s">
        <v>13</v>
      </c>
      <c r="G239" s="8" t="s">
        <v>14</v>
      </c>
      <c r="H239" s="9" t="s">
        <v>15</v>
      </c>
      <c r="I239" s="10" t="s">
        <v>37</v>
      </c>
      <c r="K239" s="12" t="s">
        <v>18</v>
      </c>
      <c r="L239" s="12" t="s">
        <v>19</v>
      </c>
      <c r="M239" s="13" t="s">
        <v>20</v>
      </c>
      <c r="N239" s="13" t="s">
        <v>21</v>
      </c>
      <c r="O239" s="12" t="s">
        <v>22</v>
      </c>
      <c r="P239" s="8" t="s">
        <v>23</v>
      </c>
      <c r="Q239" s="8" t="s">
        <v>24</v>
      </c>
      <c r="R239" s="12" t="s">
        <v>25</v>
      </c>
      <c r="S239" s="6" t="s">
        <v>26</v>
      </c>
      <c r="T239" s="9" t="s">
        <v>27</v>
      </c>
    </row>
    <row r="240" spans="1:20" x14ac:dyDescent="0.25">
      <c r="A240" s="6" t="s">
        <v>253</v>
      </c>
      <c r="B240" s="6" t="s">
        <v>254</v>
      </c>
      <c r="C240" s="6" t="s">
        <v>255</v>
      </c>
      <c r="D240" s="6" t="s">
        <v>256</v>
      </c>
      <c r="E240" s="7" t="s">
        <v>257</v>
      </c>
      <c r="F240" s="8">
        <v>304</v>
      </c>
      <c r="G240" s="8">
        <v>741</v>
      </c>
      <c r="H240" s="9">
        <f>(F240+G240)*(1+0.4+0.466*3+0.165+0.288+0.18*2)+311</f>
        <v>4084.4949999999999</v>
      </c>
      <c r="I240" s="19">
        <f>1+0.8</f>
        <v>1.8</v>
      </c>
      <c r="K240" s="12">
        <v>0</v>
      </c>
      <c r="L240" s="12">
        <v>0</v>
      </c>
      <c r="M240" s="13" t="s">
        <v>43</v>
      </c>
      <c r="N240" s="13" t="s">
        <v>43</v>
      </c>
      <c r="O240" s="12" t="s">
        <v>44</v>
      </c>
      <c r="P240" s="8">
        <f>0.5</f>
        <v>0.5</v>
      </c>
      <c r="Q240" s="8">
        <f>0.9</f>
        <v>0.9</v>
      </c>
      <c r="R240" s="12" t="s">
        <v>44</v>
      </c>
      <c r="S240" s="6" t="s">
        <v>258</v>
      </c>
      <c r="T240" s="9" t="s">
        <v>43</v>
      </c>
    </row>
    <row r="241" spans="1:20" x14ac:dyDescent="0.25">
      <c r="A241" s="6" t="s">
        <v>253</v>
      </c>
      <c r="B241" s="6" t="s">
        <v>87</v>
      </c>
      <c r="C241" s="6" t="s">
        <v>255</v>
      </c>
      <c r="D241" s="6" t="s">
        <v>256</v>
      </c>
      <c r="E241" s="7" t="s">
        <v>257</v>
      </c>
      <c r="F241" s="8">
        <v>304</v>
      </c>
      <c r="G241" s="8">
        <v>608</v>
      </c>
      <c r="H241" s="9">
        <f>(F241+G241)*(1+0.4+0.466*3+0.288+0.18*2+0.28*(I241-1))+311</f>
        <v>3798.7433599999999</v>
      </c>
      <c r="I241" s="54">
        <f>1+0.551+0.8</f>
        <v>2.351</v>
      </c>
      <c r="K241" s="12">
        <v>0</v>
      </c>
      <c r="L241" s="12">
        <v>0</v>
      </c>
      <c r="M241" s="13" t="s">
        <v>43</v>
      </c>
      <c r="N241" s="13" t="s">
        <v>43</v>
      </c>
      <c r="O241" s="12" t="s">
        <v>44</v>
      </c>
      <c r="P241" s="8">
        <f>0.5</f>
        <v>0.5</v>
      </c>
      <c r="Q241" s="8">
        <f>0.9</f>
        <v>0.9</v>
      </c>
      <c r="R241" s="12" t="s">
        <v>44</v>
      </c>
      <c r="S241" s="6" t="s">
        <v>258</v>
      </c>
      <c r="T241" s="9" t="s">
        <v>43</v>
      </c>
    </row>
    <row r="242" spans="1:20" x14ac:dyDescent="0.25">
      <c r="A242" s="6" t="s">
        <v>253</v>
      </c>
      <c r="B242" s="6" t="s">
        <v>92</v>
      </c>
      <c r="C242" s="6" t="s">
        <v>255</v>
      </c>
      <c r="D242" s="6" t="s">
        <v>256</v>
      </c>
      <c r="E242" s="7" t="s">
        <v>257</v>
      </c>
      <c r="F242" s="8">
        <v>304</v>
      </c>
      <c r="G242" s="8">
        <v>674</v>
      </c>
      <c r="H242" s="9">
        <f>(F242+G242)*(1+0.4+0.466*3+0.288+0.18*2)+311</f>
        <v>3681.1879999999996</v>
      </c>
      <c r="I242" s="54">
        <f>1+0.8+0.368</f>
        <v>2.1680000000000001</v>
      </c>
      <c r="K242" s="12">
        <v>0</v>
      </c>
      <c r="L242" s="12">
        <v>0</v>
      </c>
      <c r="M242" s="13" t="s">
        <v>43</v>
      </c>
      <c r="N242" s="13" t="s">
        <v>43</v>
      </c>
      <c r="O242" s="12" t="s">
        <v>44</v>
      </c>
      <c r="P242" s="8">
        <f>0.5</f>
        <v>0.5</v>
      </c>
      <c r="Q242" s="8">
        <f>0.9</f>
        <v>0.9</v>
      </c>
      <c r="R242" s="12" t="s">
        <v>44</v>
      </c>
      <c r="S242" s="6" t="s">
        <v>258</v>
      </c>
      <c r="T242" s="9" t="s">
        <v>43</v>
      </c>
    </row>
    <row r="243" spans="1:20" x14ac:dyDescent="0.25">
      <c r="A243" s="6" t="s">
        <v>253</v>
      </c>
      <c r="B243" s="6" t="s">
        <v>39</v>
      </c>
      <c r="C243" s="6" t="s">
        <v>255</v>
      </c>
      <c r="D243" s="6" t="s">
        <v>256</v>
      </c>
      <c r="E243" s="7" t="s">
        <v>257</v>
      </c>
      <c r="F243" s="8">
        <v>304</v>
      </c>
      <c r="G243" s="8">
        <v>565</v>
      </c>
      <c r="H243" s="9">
        <f>(F243+G243)*(1+0.4+0.466*3+0.288+0.18*2)+311</f>
        <v>3305.5739999999996</v>
      </c>
      <c r="I243" s="54">
        <f>1+0.8+0.306</f>
        <v>2.1059999999999999</v>
      </c>
      <c r="K243" s="12">
        <v>0</v>
      </c>
      <c r="L243" s="12">
        <v>0</v>
      </c>
      <c r="M243" s="13" t="s">
        <v>43</v>
      </c>
      <c r="N243" s="13" t="s">
        <v>43</v>
      </c>
      <c r="O243" s="12" t="s">
        <v>44</v>
      </c>
      <c r="P243" s="8">
        <f>0.5</f>
        <v>0.5</v>
      </c>
      <c r="Q243" s="8">
        <f>0.9</f>
        <v>0.9</v>
      </c>
      <c r="R243" s="12" t="s">
        <v>44</v>
      </c>
      <c r="S243" s="6" t="s">
        <v>258</v>
      </c>
      <c r="T243" s="9" t="s">
        <v>43</v>
      </c>
    </row>
    <row r="245" spans="1:20" x14ac:dyDescent="0.25">
      <c r="A245" s="6" t="s">
        <v>8</v>
      </c>
      <c r="B245" s="6" t="s">
        <v>9</v>
      </c>
      <c r="C245" s="6" t="s">
        <v>10</v>
      </c>
      <c r="D245" s="6" t="s">
        <v>11</v>
      </c>
      <c r="E245" s="7" t="s">
        <v>12</v>
      </c>
      <c r="F245" s="8" t="s">
        <v>13</v>
      </c>
      <c r="G245" s="8" t="s">
        <v>14</v>
      </c>
      <c r="H245" s="9" t="s">
        <v>15</v>
      </c>
      <c r="K245" s="12" t="s">
        <v>18</v>
      </c>
      <c r="L245" s="12" t="s">
        <v>19</v>
      </c>
      <c r="M245" s="13" t="s">
        <v>20</v>
      </c>
      <c r="N245" s="13" t="s">
        <v>21</v>
      </c>
      <c r="O245" s="12" t="s">
        <v>22</v>
      </c>
      <c r="P245" s="8" t="s">
        <v>23</v>
      </c>
      <c r="Q245" s="8" t="s">
        <v>24</v>
      </c>
      <c r="R245" s="12" t="s">
        <v>25</v>
      </c>
      <c r="S245" s="6" t="s">
        <v>26</v>
      </c>
      <c r="T245" s="9" t="s">
        <v>259</v>
      </c>
    </row>
    <row r="246" spans="1:20" x14ac:dyDescent="0.25">
      <c r="A246" s="6" t="s">
        <v>260</v>
      </c>
      <c r="B246" s="6" t="s">
        <v>223</v>
      </c>
      <c r="C246" s="6" t="s">
        <v>261</v>
      </c>
      <c r="D246" s="6" t="s">
        <v>262</v>
      </c>
      <c r="E246" s="7" t="s">
        <v>263</v>
      </c>
      <c r="F246" s="8">
        <v>342</v>
      </c>
      <c r="G246" s="8">
        <v>674</v>
      </c>
      <c r="H246" s="9">
        <f>(F246+G246)*(1+0.3+0.466)+311</f>
        <v>2105.2560000000003</v>
      </c>
      <c r="K246" s="12">
        <f>0.4+0.15</f>
        <v>0.55000000000000004</v>
      </c>
      <c r="L246" s="12">
        <f>38.4%+44.1%</f>
        <v>0.82499999999999996</v>
      </c>
      <c r="M246" s="13">
        <f>63.55%+K246/2+L246/4-11.68%-55%-10%</f>
        <v>0.34994999999999987</v>
      </c>
      <c r="N246" s="13">
        <f>63.55%*2+K246+L246/2+11.68%*2+20%-6.6%*2</f>
        <v>2.5350999999999999</v>
      </c>
      <c r="O246" s="12">
        <f>0.466+0.15+0.18+0.4</f>
        <v>1.1960000000000002</v>
      </c>
      <c r="P246" s="8">
        <f>0.5</f>
        <v>0.5</v>
      </c>
      <c r="Q246" s="8">
        <f>0.9</f>
        <v>0.9</v>
      </c>
      <c r="R246" s="12">
        <f>2.0214</f>
        <v>2.0213999999999999</v>
      </c>
      <c r="S246" s="6" t="s">
        <v>264</v>
      </c>
      <c r="T246" s="9">
        <f>H246*R246*(1+O246)*(1+N246)*P246*Q246</f>
        <v>14866.32860493826</v>
      </c>
    </row>
    <row r="247" spans="1:20" x14ac:dyDescent="0.25">
      <c r="A247" s="6" t="s">
        <v>260</v>
      </c>
      <c r="B247" s="6" t="s">
        <v>185</v>
      </c>
      <c r="C247" s="6" t="s">
        <v>261</v>
      </c>
      <c r="D247" s="6" t="s">
        <v>262</v>
      </c>
      <c r="E247" s="7" t="s">
        <v>263</v>
      </c>
      <c r="F247" s="8">
        <v>342</v>
      </c>
      <c r="G247" s="8">
        <v>454</v>
      </c>
      <c r="H247" s="9">
        <f>(F247+G247)*(1+0.3+0.466+0.551)+311</f>
        <v>2155.3320000000003</v>
      </c>
      <c r="K247" s="12">
        <f>0.15+0.4</f>
        <v>0.55000000000000004</v>
      </c>
      <c r="L247" s="12">
        <f>38.4%</f>
        <v>0.38400000000000001</v>
      </c>
      <c r="M247" s="13">
        <f>63.55%+K247/2+L247/4-0.65%-55%-10%</f>
        <v>0.35</v>
      </c>
      <c r="N247" s="13">
        <f>63.55%*2+K247+L247/2+0.65%*2+20%-6.6%*2</f>
        <v>2.0939999999999999</v>
      </c>
      <c r="O247" s="12">
        <f>0.466+0.15+0.18</f>
        <v>0.79600000000000004</v>
      </c>
      <c r="P247" s="8">
        <f>0.5</f>
        <v>0.5</v>
      </c>
      <c r="Q247" s="8">
        <f>0.9</f>
        <v>0.9</v>
      </c>
      <c r="R247" s="12">
        <f>2.0214</f>
        <v>2.0213999999999999</v>
      </c>
      <c r="S247" s="6" t="s">
        <v>264</v>
      </c>
      <c r="T247" s="9">
        <f>H247*R247*(1+O247)*(1+N247)*P247*Q247</f>
        <v>10894.457116650219</v>
      </c>
    </row>
    <row r="249" spans="1:20" x14ac:dyDescent="0.25">
      <c r="A249" s="6" t="s">
        <v>8</v>
      </c>
      <c r="B249" s="6" t="s">
        <v>9</v>
      </c>
      <c r="C249" s="6" t="s">
        <v>10</v>
      </c>
      <c r="D249" s="6" t="s">
        <v>11</v>
      </c>
      <c r="E249" s="7" t="s">
        <v>12</v>
      </c>
      <c r="F249" s="8" t="s">
        <v>13</v>
      </c>
      <c r="G249" s="8" t="s">
        <v>14</v>
      </c>
      <c r="H249" s="9" t="s">
        <v>15</v>
      </c>
      <c r="J249" s="14"/>
      <c r="K249" s="12" t="s">
        <v>18</v>
      </c>
      <c r="L249" s="12" t="s">
        <v>19</v>
      </c>
      <c r="M249" s="13" t="s">
        <v>20</v>
      </c>
      <c r="N249" s="13" t="s">
        <v>21</v>
      </c>
      <c r="O249" s="12" t="s">
        <v>22</v>
      </c>
      <c r="P249" s="8" t="s">
        <v>23</v>
      </c>
      <c r="Q249" s="8" t="s">
        <v>24</v>
      </c>
      <c r="R249" s="12" t="s">
        <v>25</v>
      </c>
      <c r="S249" s="6" t="s">
        <v>26</v>
      </c>
      <c r="T249" s="9" t="s">
        <v>27</v>
      </c>
    </row>
    <row r="250" spans="1:20" x14ac:dyDescent="0.25">
      <c r="A250" s="6" t="s">
        <v>265</v>
      </c>
      <c r="B250" s="6" t="s">
        <v>266</v>
      </c>
      <c r="C250" s="6" t="s">
        <v>267</v>
      </c>
      <c r="D250" s="6" t="s">
        <v>70</v>
      </c>
      <c r="E250" s="7" t="s">
        <v>263</v>
      </c>
      <c r="F250" s="8">
        <v>342</v>
      </c>
      <c r="G250" s="8">
        <v>741</v>
      </c>
      <c r="H250" s="9">
        <f>(F250+G250)*(1+0.3+0.466+0.16)+311</f>
        <v>2396.8579999999997</v>
      </c>
      <c r="K250" s="12">
        <v>0.15</v>
      </c>
      <c r="L250" s="12">
        <v>0.38400000000000001</v>
      </c>
      <c r="M250" s="13">
        <f>60.25%+K250/2+L250/4-15%</f>
        <v>0.62349999999999994</v>
      </c>
      <c r="N250" s="13">
        <f>60.25%*2+K250+L250/2</f>
        <v>1.5469999999999999</v>
      </c>
      <c r="O250" s="12">
        <f>0.583+0.5+0.207</f>
        <v>1.29</v>
      </c>
      <c r="P250" s="8">
        <f>0.5</f>
        <v>0.5</v>
      </c>
      <c r="Q250" s="8">
        <v>1.0649999999999999</v>
      </c>
      <c r="R250" s="12">
        <f>725.56%+13*148.24%</f>
        <v>26.526800000000001</v>
      </c>
      <c r="S250" s="6" t="s">
        <v>268</v>
      </c>
      <c r="T250" s="9">
        <f>((F250+G250)*(1+0.3+0.466+0.16+0.18+0.2)+311)*R250*(1+O250)*(1+N250)*P250*Q250</f>
        <v>231380.92743819082</v>
      </c>
    </row>
    <row r="251" spans="1:20" x14ac:dyDescent="0.25">
      <c r="A251" s="6" t="s">
        <v>265</v>
      </c>
      <c r="B251" s="6" t="s">
        <v>63</v>
      </c>
      <c r="C251" s="6" t="s">
        <v>267</v>
      </c>
      <c r="D251" s="6" t="s">
        <v>70</v>
      </c>
      <c r="E251" s="7" t="s">
        <v>263</v>
      </c>
      <c r="F251" s="8">
        <v>342</v>
      </c>
      <c r="G251" s="8">
        <v>608</v>
      </c>
      <c r="H251" s="9">
        <f>(F251+G251)*(1+0.3+0.466+0.2+0.496)+311</f>
        <v>2649.8999999999996</v>
      </c>
      <c r="K251" s="12">
        <v>0.15</v>
      </c>
      <c r="L251" s="12">
        <v>0.38400000000000001</v>
      </c>
      <c r="M251" s="13">
        <f>60.25%+K251/2+L251/4-15%</f>
        <v>0.62349999999999994</v>
      </c>
      <c r="N251" s="13">
        <f>60.25%*2+K251+L251/2</f>
        <v>1.5469999999999999</v>
      </c>
      <c r="O251" s="12">
        <f>0.583+0.5</f>
        <v>1.083</v>
      </c>
      <c r="P251" s="8">
        <f>0.5</f>
        <v>0.5</v>
      </c>
      <c r="Q251" s="8">
        <v>1.0649999999999999</v>
      </c>
      <c r="R251" s="12">
        <f>725.56%+13*148.24%</f>
        <v>26.526800000000001</v>
      </c>
      <c r="S251" s="6" t="s">
        <v>268</v>
      </c>
      <c r="T251" s="9">
        <f>((F251+G251)*(1+0.3+0.466+0.2+0.496+0.18)+311)*R251*(1+O251)*(1+N251)*P251*Q251</f>
        <v>211402.62753167227</v>
      </c>
    </row>
    <row r="252" spans="1:20" x14ac:dyDescent="0.25">
      <c r="A252" s="6" t="s">
        <v>265</v>
      </c>
      <c r="B252" s="6" t="s">
        <v>65</v>
      </c>
      <c r="C252" s="6" t="s">
        <v>267</v>
      </c>
      <c r="D252" s="6" t="s">
        <v>70</v>
      </c>
      <c r="E252" s="7" t="s">
        <v>263</v>
      </c>
      <c r="F252" s="8">
        <v>342</v>
      </c>
      <c r="G252" s="8">
        <v>510</v>
      </c>
      <c r="H252" s="9">
        <f>(F252+G252)*(1+0.3+0.466)+311</f>
        <v>1815.6320000000001</v>
      </c>
      <c r="K252" s="12">
        <f>15%+27.6%</f>
        <v>0.42600000000000005</v>
      </c>
      <c r="L252" s="12">
        <f t="shared" ref="L252:L264" si="24">38.4%</f>
        <v>0.38400000000000001</v>
      </c>
      <c r="M252" s="13">
        <v>0.75</v>
      </c>
      <c r="N252" s="13">
        <f>60.25%*2+K252+L252/2+1.15%*2</f>
        <v>1.8460000000000001</v>
      </c>
      <c r="O252" s="12">
        <f>0.583+0.5+0.4</f>
        <v>1.4830000000000001</v>
      </c>
      <c r="P252" s="8">
        <f>0.5</f>
        <v>0.5</v>
      </c>
      <c r="Q252" s="8">
        <v>1.0649999999999999</v>
      </c>
      <c r="R252" s="12">
        <f>725.56%+13*148.24%</f>
        <v>26.526800000000001</v>
      </c>
      <c r="S252" s="6" t="s">
        <v>268</v>
      </c>
      <c r="T252" s="9">
        <f>((F252+G252)*(1+0.3+0.466+0.18)+311)*R252*(1+O252)*(1+N252)*P252*Q252</f>
        <v>196544.11386897101</v>
      </c>
    </row>
    <row r="253" spans="1:20" x14ac:dyDescent="0.25">
      <c r="S253" s="6" t="s">
        <v>269</v>
      </c>
    </row>
    <row r="255" spans="1:20" x14ac:dyDescent="0.25">
      <c r="A255" s="6" t="s">
        <v>8</v>
      </c>
      <c r="B255" s="6" t="s">
        <v>9</v>
      </c>
      <c r="C255" s="6" t="s">
        <v>10</v>
      </c>
      <c r="E255" s="7" t="s">
        <v>12</v>
      </c>
      <c r="F255" s="8" t="s">
        <v>13</v>
      </c>
      <c r="G255" s="8" t="s">
        <v>14</v>
      </c>
      <c r="H255" s="9" t="s">
        <v>15</v>
      </c>
      <c r="J255" s="10" t="s">
        <v>17</v>
      </c>
      <c r="K255" s="12" t="s">
        <v>18</v>
      </c>
      <c r="L255" s="12" t="s">
        <v>19</v>
      </c>
      <c r="M255" s="13" t="s">
        <v>20</v>
      </c>
      <c r="N255" s="13" t="s">
        <v>21</v>
      </c>
      <c r="O255" s="12" t="s">
        <v>22</v>
      </c>
      <c r="P255" s="8" t="s">
        <v>23</v>
      </c>
      <c r="Q255" s="8" t="s">
        <v>24</v>
      </c>
      <c r="R255" s="12" t="s">
        <v>25</v>
      </c>
      <c r="S255" s="6" t="s">
        <v>26</v>
      </c>
      <c r="T255" s="9" t="s">
        <v>27</v>
      </c>
    </row>
    <row r="256" spans="1:20" x14ac:dyDescent="0.25">
      <c r="A256" s="6" t="s">
        <v>270</v>
      </c>
      <c r="B256" s="6" t="s">
        <v>84</v>
      </c>
      <c r="C256" s="6" t="s">
        <v>261</v>
      </c>
      <c r="D256" s="6" t="s">
        <v>262</v>
      </c>
      <c r="E256" s="7" t="s">
        <v>178</v>
      </c>
      <c r="F256" s="8">
        <f>335</f>
        <v>335</v>
      </c>
      <c r="G256" s="8">
        <f>608</f>
        <v>608</v>
      </c>
      <c r="H256" s="9">
        <f>(F256+G256)*(1+0.3+0.466+0.496)+311</f>
        <v>2444.0659999999998</v>
      </c>
      <c r="K256" s="12">
        <f>0.2+0.4+0.15</f>
        <v>0.75000000000000011</v>
      </c>
      <c r="L256" s="12">
        <f t="shared" si="24"/>
        <v>0.38400000000000001</v>
      </c>
      <c r="M256" s="13">
        <f>63.55%+K256/2+L256/4-10.65%-75%</f>
        <v>0.25</v>
      </c>
      <c r="N256" s="13">
        <f>63.55%*2+K256+L256/2+10.65%*2-6.6%*2</f>
        <v>2.294</v>
      </c>
      <c r="O256" s="12">
        <f>0.466+0.15+0.12+0.4</f>
        <v>1.1360000000000001</v>
      </c>
      <c r="P256" s="8">
        <f t="shared" ref="P256:P264" si="25">0.5</f>
        <v>0.5</v>
      </c>
      <c r="Q256" s="8">
        <f t="shared" ref="Q256:Q264" si="26">0.9</f>
        <v>0.9</v>
      </c>
      <c r="R256" s="12">
        <v>3.9167999999999998</v>
      </c>
      <c r="S256" s="11" t="s">
        <v>271</v>
      </c>
      <c r="T256" s="9">
        <f>H256*R256*(1+O256)*(1+N256)*P256*Q256</f>
        <v>30309.703124595053</v>
      </c>
    </row>
    <row r="257" spans="1:20" x14ac:dyDescent="0.25">
      <c r="A257" s="6" t="s">
        <v>270</v>
      </c>
      <c r="B257" s="11" t="s">
        <v>272</v>
      </c>
      <c r="C257" s="6" t="s">
        <v>261</v>
      </c>
      <c r="D257" s="6" t="s">
        <v>262</v>
      </c>
      <c r="E257" s="7" t="s">
        <v>178</v>
      </c>
      <c r="F257" s="8">
        <f>335</f>
        <v>335</v>
      </c>
      <c r="G257" s="8">
        <v>454</v>
      </c>
      <c r="H257" s="9">
        <f>(F257+G257)*(1+0.3+0.466+0.551)+311</f>
        <v>2139.1130000000003</v>
      </c>
      <c r="I257" s="55"/>
      <c r="K257" s="12">
        <f>0.2+0.4+0.15</f>
        <v>0.75000000000000011</v>
      </c>
      <c r="L257" s="12">
        <f t="shared" si="24"/>
        <v>0.38400000000000001</v>
      </c>
      <c r="M257" s="13">
        <f>63.55%+K257/2+L257/4-10.65%-75%</f>
        <v>0.25</v>
      </c>
      <c r="N257" s="13">
        <f>63.55%*2+K257+L257/2+10.65%*2-6.6%*2</f>
        <v>2.294</v>
      </c>
      <c r="O257" s="12">
        <f>0.466+0.15+0.18*2</f>
        <v>0.97599999999999998</v>
      </c>
      <c r="P257" s="8">
        <f t="shared" si="25"/>
        <v>0.5</v>
      </c>
      <c r="Q257" s="8">
        <f t="shared" si="26"/>
        <v>0.9</v>
      </c>
      <c r="R257" s="12">
        <v>3.9167999999999998</v>
      </c>
      <c r="S257" s="11" t="s">
        <v>271</v>
      </c>
      <c r="T257" s="9">
        <f>H257*R257*(1+O257)*(1+N257)*P257*Q257</f>
        <v>24540.769257763008</v>
      </c>
    </row>
    <row r="258" spans="1:20" x14ac:dyDescent="0.25">
      <c r="A258" s="6" t="s">
        <v>270</v>
      </c>
      <c r="B258" s="11" t="s">
        <v>273</v>
      </c>
      <c r="C258" s="6" t="s">
        <v>261</v>
      </c>
      <c r="D258" s="6" t="s">
        <v>262</v>
      </c>
      <c r="E258" s="7" t="s">
        <v>178</v>
      </c>
      <c r="F258" s="8">
        <f>335</f>
        <v>335</v>
      </c>
      <c r="G258" s="8">
        <v>510</v>
      </c>
      <c r="H258" s="9">
        <f>(F258+G258)*(1+0.3+0.466+0.413)+311</f>
        <v>2152.2550000000001</v>
      </c>
      <c r="I258" s="55">
        <f>(F258+G258)*(1+0.3+0.466+0.413+0.54)+311</f>
        <v>2608.5549999999998</v>
      </c>
      <c r="K258" s="12">
        <f>0.2+0.4+0.15</f>
        <v>0.75000000000000011</v>
      </c>
      <c r="L258" s="12">
        <f t="shared" si="24"/>
        <v>0.38400000000000001</v>
      </c>
      <c r="M258" s="13">
        <f>63.55%+K258/2+L258/4-10.65%-75%</f>
        <v>0.25</v>
      </c>
      <c r="N258" s="13">
        <f>63.55%*2+K258+L258/2+10.65%*2-6.6%*2</f>
        <v>2.294</v>
      </c>
      <c r="O258" s="12">
        <f>0.466+0.15</f>
        <v>0.61599999999999999</v>
      </c>
      <c r="P258" s="8">
        <f t="shared" si="25"/>
        <v>0.5</v>
      </c>
      <c r="Q258" s="8">
        <f t="shared" si="26"/>
        <v>0.9</v>
      </c>
      <c r="R258" s="12">
        <v>3.9167999999999998</v>
      </c>
      <c r="S258" s="11" t="s">
        <v>271</v>
      </c>
      <c r="T258" s="9">
        <f>I258*R258*(1+O258)*(1+N258)*P258*Q258</f>
        <v>24474.219976767286</v>
      </c>
    </row>
    <row r="259" spans="1:20" x14ac:dyDescent="0.25">
      <c r="B259" s="11"/>
      <c r="I259" s="55"/>
      <c r="S259" s="11"/>
    </row>
    <row r="260" spans="1:20" x14ac:dyDescent="0.25">
      <c r="A260" s="6" t="s">
        <v>8</v>
      </c>
      <c r="B260" s="6" t="s">
        <v>9</v>
      </c>
      <c r="C260" s="6" t="s">
        <v>10</v>
      </c>
      <c r="E260" s="7" t="s">
        <v>12</v>
      </c>
      <c r="F260" s="8" t="s">
        <v>13</v>
      </c>
      <c r="G260" s="8" t="s">
        <v>14</v>
      </c>
      <c r="H260" s="9" t="s">
        <v>15</v>
      </c>
      <c r="J260" s="10" t="s">
        <v>17</v>
      </c>
      <c r="K260" s="12" t="s">
        <v>18</v>
      </c>
      <c r="L260" s="12" t="s">
        <v>19</v>
      </c>
      <c r="M260" s="13" t="s">
        <v>20</v>
      </c>
      <c r="N260" s="13" t="s">
        <v>21</v>
      </c>
      <c r="O260" s="12" t="s">
        <v>22</v>
      </c>
      <c r="P260" s="8" t="s">
        <v>23</v>
      </c>
      <c r="Q260" s="8" t="s">
        <v>24</v>
      </c>
      <c r="R260" s="12" t="s">
        <v>25</v>
      </c>
      <c r="S260" s="6" t="s">
        <v>26</v>
      </c>
      <c r="T260" s="9" t="s">
        <v>27</v>
      </c>
    </row>
    <row r="261" spans="1:20" x14ac:dyDescent="0.25">
      <c r="A261" s="6" t="s">
        <v>270</v>
      </c>
      <c r="B261" s="6" t="s">
        <v>84</v>
      </c>
      <c r="C261" s="6" t="s">
        <v>56</v>
      </c>
      <c r="D261" s="6" t="s">
        <v>262</v>
      </c>
      <c r="E261" s="7" t="s">
        <v>178</v>
      </c>
      <c r="F261" s="8">
        <f>335</f>
        <v>335</v>
      </c>
      <c r="G261" s="8">
        <f>608</f>
        <v>608</v>
      </c>
      <c r="H261" s="9">
        <f>(F261+G261)*(1+0.3+0.466+0.496)+311</f>
        <v>2444.0659999999998</v>
      </c>
      <c r="I261" s="55"/>
      <c r="J261" s="11">
        <f>80</f>
        <v>80</v>
      </c>
      <c r="K261" s="12">
        <f>0.2+0.15</f>
        <v>0.35</v>
      </c>
      <c r="L261" s="12">
        <f t="shared" si="24"/>
        <v>0.38400000000000001</v>
      </c>
      <c r="M261" s="13">
        <f>60.25%+K261/2+L261/4-35%</f>
        <v>0.52350000000000008</v>
      </c>
      <c r="N261" s="13">
        <f t="shared" ref="N261:N268" si="27">60.25%*2+K261+L261/2</f>
        <v>1.7470000000000001</v>
      </c>
      <c r="O261" s="12">
        <f>0.466+0.35+0.12+0.4</f>
        <v>1.3360000000000001</v>
      </c>
      <c r="P261" s="8">
        <f t="shared" si="25"/>
        <v>0.5</v>
      </c>
      <c r="Q261" s="8">
        <f t="shared" si="26"/>
        <v>0.9</v>
      </c>
      <c r="R261" s="12">
        <v>3.9167999999999998</v>
      </c>
      <c r="S261" s="11" t="s">
        <v>274</v>
      </c>
      <c r="T261" s="9">
        <f>H261*R261*(1+O261)*(1+N261)*P261*Q261*1.5*(1+(2.78*J261)/(J261+1400))</f>
        <v>47695.729048067959</v>
      </c>
    </row>
    <row r="262" spans="1:20" x14ac:dyDescent="0.25">
      <c r="A262" s="6" t="s">
        <v>270</v>
      </c>
      <c r="B262" s="6" t="s">
        <v>84</v>
      </c>
      <c r="C262" s="6" t="s">
        <v>56</v>
      </c>
      <c r="D262" s="11" t="s">
        <v>275</v>
      </c>
      <c r="E262" s="7" t="s">
        <v>178</v>
      </c>
      <c r="F262" s="8">
        <f>335</f>
        <v>335</v>
      </c>
      <c r="G262" s="8">
        <f>608</f>
        <v>608</v>
      </c>
      <c r="H262" s="9">
        <f>(F262+G262)*(1+0.3+0.496)+311</f>
        <v>2004.6279999999999</v>
      </c>
      <c r="I262" s="55"/>
      <c r="J262" s="11">
        <f>80+187</f>
        <v>267</v>
      </c>
      <c r="K262" s="12">
        <f>0.2+0.15</f>
        <v>0.35</v>
      </c>
      <c r="L262" s="12">
        <f t="shared" si="24"/>
        <v>0.38400000000000001</v>
      </c>
      <c r="M262" s="13">
        <f>60.25%+K262/2+L262/4-35%</f>
        <v>0.52350000000000008</v>
      </c>
      <c r="N262" s="13">
        <f t="shared" si="27"/>
        <v>1.7470000000000001</v>
      </c>
      <c r="O262" s="12">
        <f>0.466+0.35+0.12+0.4</f>
        <v>1.3360000000000001</v>
      </c>
      <c r="P262" s="8">
        <f t="shared" si="25"/>
        <v>0.5</v>
      </c>
      <c r="Q262" s="8">
        <f t="shared" si="26"/>
        <v>0.9</v>
      </c>
      <c r="R262" s="12">
        <v>3.9167999999999998</v>
      </c>
      <c r="S262" s="11" t="s">
        <v>274</v>
      </c>
      <c r="T262" s="9">
        <f>H262*R262*(1+O262)*(1+N262)*P262*Q262*1.5*(1+(2.78*J262)/(J262+1400))</f>
        <v>49152.83020229909</v>
      </c>
    </row>
    <row r="263" spans="1:20" x14ac:dyDescent="0.25">
      <c r="A263" s="6" t="s">
        <v>270</v>
      </c>
      <c r="B263" s="11" t="s">
        <v>272</v>
      </c>
      <c r="C263" s="6" t="s">
        <v>56</v>
      </c>
      <c r="D263" s="6" t="s">
        <v>262</v>
      </c>
      <c r="E263" s="7" t="s">
        <v>178</v>
      </c>
      <c r="F263" s="8">
        <f>335</f>
        <v>335</v>
      </c>
      <c r="G263" s="8">
        <v>454</v>
      </c>
      <c r="H263" s="9">
        <f>(F263+G263)*(1+0.3+0.466+0.551)+311</f>
        <v>2139.1130000000003</v>
      </c>
      <c r="I263" s="55"/>
      <c r="J263" s="11">
        <f>80</f>
        <v>80</v>
      </c>
      <c r="K263" s="12">
        <f>0.2+0.15</f>
        <v>0.35</v>
      </c>
      <c r="L263" s="12">
        <f t="shared" si="24"/>
        <v>0.38400000000000001</v>
      </c>
      <c r="M263" s="13">
        <f>60.25%+K263/2+L263/4-35%</f>
        <v>0.52350000000000008</v>
      </c>
      <c r="N263" s="13">
        <f t="shared" si="27"/>
        <v>1.7470000000000001</v>
      </c>
      <c r="O263" s="12">
        <f>0.466+0.35+0.18*2</f>
        <v>1.1760000000000002</v>
      </c>
      <c r="P263" s="8">
        <f t="shared" si="25"/>
        <v>0.5</v>
      </c>
      <c r="Q263" s="8">
        <f t="shared" si="26"/>
        <v>0.9</v>
      </c>
      <c r="R263" s="12">
        <v>3.9167999999999998</v>
      </c>
      <c r="S263" s="11" t="s">
        <v>274</v>
      </c>
      <c r="T263" s="9">
        <f>H263*R263*(1+O263)*(1+N263)*P263*Q263*1.5*(1+(2.78*J263)/(J263+1400))</f>
        <v>38885.379490859355</v>
      </c>
    </row>
    <row r="264" spans="1:20" x14ac:dyDescent="0.25">
      <c r="A264" s="6" t="s">
        <v>270</v>
      </c>
      <c r="B264" s="6" t="s">
        <v>273</v>
      </c>
      <c r="C264" s="6" t="s">
        <v>56</v>
      </c>
      <c r="D264" s="6" t="s">
        <v>262</v>
      </c>
      <c r="E264" s="7" t="s">
        <v>178</v>
      </c>
      <c r="F264" s="8">
        <f>335</f>
        <v>335</v>
      </c>
      <c r="G264" s="8">
        <v>510</v>
      </c>
      <c r="H264" s="9">
        <f>(F264+G264)*(1+0.3+0.466+0.413)+311</f>
        <v>2152.2550000000001</v>
      </c>
      <c r="I264" s="55">
        <f>(F264+G264)*(1+0.3+0.466+0.413+0.54)+311</f>
        <v>2608.5549999999998</v>
      </c>
      <c r="J264" s="11">
        <f>80</f>
        <v>80</v>
      </c>
      <c r="K264" s="12">
        <f>0.2+0.15</f>
        <v>0.35</v>
      </c>
      <c r="L264" s="12">
        <f t="shared" si="24"/>
        <v>0.38400000000000001</v>
      </c>
      <c r="M264" s="13">
        <f>60.25%+K264/2+L264/4-35%</f>
        <v>0.52350000000000008</v>
      </c>
      <c r="N264" s="13">
        <f t="shared" si="27"/>
        <v>1.7470000000000001</v>
      </c>
      <c r="O264" s="12">
        <f>0.466+0.35</f>
        <v>0.81600000000000006</v>
      </c>
      <c r="P264" s="8">
        <f t="shared" si="25"/>
        <v>0.5</v>
      </c>
      <c r="Q264" s="8">
        <f t="shared" si="26"/>
        <v>0.9</v>
      </c>
      <c r="R264" s="12">
        <v>3.9167999999999998</v>
      </c>
      <c r="S264" s="11" t="s">
        <v>274</v>
      </c>
      <c r="T264" s="9">
        <f>I264*R264*(1+O264)*(1+N264)*P264*Q264*1.5*(1+(2.78*J264)/(J264+1400))</f>
        <v>39573.96504311762</v>
      </c>
    </row>
    <row r="266" spans="1:20" x14ac:dyDescent="0.25">
      <c r="A266" s="6" t="s">
        <v>8</v>
      </c>
      <c r="B266" s="6" t="s">
        <v>9</v>
      </c>
      <c r="C266" s="6" t="s">
        <v>10</v>
      </c>
      <c r="D266" s="6" t="s">
        <v>11</v>
      </c>
      <c r="E266" s="7" t="s">
        <v>12</v>
      </c>
      <c r="F266" s="8" t="s">
        <v>13</v>
      </c>
      <c r="G266" s="8" t="s">
        <v>14</v>
      </c>
      <c r="H266" s="9" t="s">
        <v>15</v>
      </c>
      <c r="I266" s="10" t="s">
        <v>37</v>
      </c>
      <c r="J266" s="14"/>
      <c r="K266" s="12" t="s">
        <v>18</v>
      </c>
      <c r="L266" s="12" t="s">
        <v>19</v>
      </c>
      <c r="M266" s="13" t="s">
        <v>20</v>
      </c>
      <c r="N266" s="13" t="s">
        <v>21</v>
      </c>
      <c r="O266" s="12" t="s">
        <v>22</v>
      </c>
      <c r="P266" s="8" t="s">
        <v>23</v>
      </c>
      <c r="Q266" s="8" t="s">
        <v>24</v>
      </c>
      <c r="R266" s="12" t="s">
        <v>25</v>
      </c>
      <c r="S266" s="6" t="s">
        <v>26</v>
      </c>
      <c r="T266" s="9" t="s">
        <v>27</v>
      </c>
    </row>
    <row r="267" spans="1:20" x14ac:dyDescent="0.25">
      <c r="A267" s="6" t="s">
        <v>276</v>
      </c>
      <c r="B267" s="6" t="s">
        <v>188</v>
      </c>
      <c r="C267" s="6" t="s">
        <v>88</v>
      </c>
      <c r="D267" s="6" t="s">
        <v>262</v>
      </c>
      <c r="E267" s="7" t="s">
        <v>277</v>
      </c>
      <c r="F267" s="8">
        <v>223</v>
      </c>
      <c r="G267" s="8">
        <v>454</v>
      </c>
      <c r="H267" s="9">
        <f>(G267+F267)*(1+0.3+0.466)+311</f>
        <v>1506.5820000000001</v>
      </c>
      <c r="I267" s="14">
        <f>1+0.2+0.613+0.2+0.267</f>
        <v>2.2799999999999998</v>
      </c>
      <c r="K267" s="12">
        <v>0.15</v>
      </c>
      <c r="L267" s="12">
        <v>0</v>
      </c>
      <c r="M267" s="13">
        <f t="shared" ref="M267:M272" si="28">60.25%+K267/2+L267/4-15%</f>
        <v>0.52749999999999997</v>
      </c>
      <c r="N267" s="13">
        <f t="shared" si="27"/>
        <v>1.355</v>
      </c>
      <c r="O267" s="12">
        <f>0.466+0.25*I267</f>
        <v>1.036</v>
      </c>
      <c r="P267" s="8">
        <v>0.5</v>
      </c>
      <c r="Q267" s="8">
        <v>0.9</v>
      </c>
      <c r="R267" s="12">
        <v>1.649</v>
      </c>
      <c r="S267" s="6" t="s">
        <v>237</v>
      </c>
      <c r="T267" s="9">
        <f t="shared" ref="T267:T272" si="29">H267*R267*(1+O267)*(1+N267)*P267*Q267</f>
        <v>5360.3682839964176</v>
      </c>
    </row>
    <row r="268" spans="1:20" x14ac:dyDescent="0.25">
      <c r="A268" s="6" t="s">
        <v>276</v>
      </c>
      <c r="B268" s="6" t="s">
        <v>123</v>
      </c>
      <c r="C268" s="6" t="s">
        <v>88</v>
      </c>
      <c r="D268" s="6" t="s">
        <v>278</v>
      </c>
      <c r="E268" s="7" t="s">
        <v>277</v>
      </c>
      <c r="F268" s="8">
        <v>223</v>
      </c>
      <c r="G268" s="8">
        <v>542</v>
      </c>
      <c r="H268" s="9">
        <f>(G268+F268)*(1+0.3)+311+1.2%*(11636*(1+0.2+0.2)+4780)</f>
        <v>1558.3448000000001</v>
      </c>
      <c r="I268" s="14">
        <f>1+0.2+0.518+0.2+0.267</f>
        <v>2.1850000000000001</v>
      </c>
      <c r="K268" s="12">
        <f>44.1%+15%</f>
        <v>0.59099999999999997</v>
      </c>
      <c r="L268" s="12">
        <v>0</v>
      </c>
      <c r="M268" s="13">
        <f t="shared" si="28"/>
        <v>0.748</v>
      </c>
      <c r="N268" s="13">
        <f t="shared" si="27"/>
        <v>1.796</v>
      </c>
      <c r="O268" s="12">
        <f>0.466+0.25*I268</f>
        <v>1.0122500000000001</v>
      </c>
      <c r="P268" s="8">
        <v>0.5</v>
      </c>
      <c r="Q268" s="8">
        <v>0.9</v>
      </c>
      <c r="R268" s="12">
        <v>1.649</v>
      </c>
      <c r="S268" s="6" t="s">
        <v>237</v>
      </c>
      <c r="T268" s="9">
        <f t="shared" si="29"/>
        <v>6506.0265120433096</v>
      </c>
    </row>
    <row r="270" spans="1:20" x14ac:dyDescent="0.25">
      <c r="A270" s="6" t="s">
        <v>8</v>
      </c>
      <c r="B270" s="6" t="s">
        <v>9</v>
      </c>
      <c r="C270" s="6" t="s">
        <v>10</v>
      </c>
      <c r="D270" s="6" t="s">
        <v>11</v>
      </c>
      <c r="E270" s="7" t="s">
        <v>12</v>
      </c>
      <c r="F270" s="8" t="s">
        <v>13</v>
      </c>
      <c r="G270" s="8" t="s">
        <v>14</v>
      </c>
      <c r="H270" s="9" t="s">
        <v>15</v>
      </c>
      <c r="J270" s="14"/>
      <c r="K270" s="12" t="s">
        <v>18</v>
      </c>
      <c r="L270" s="12" t="s">
        <v>19</v>
      </c>
      <c r="M270" s="13" t="s">
        <v>20</v>
      </c>
      <c r="N270" s="13" t="s">
        <v>21</v>
      </c>
      <c r="O270" s="12" t="s">
        <v>22</v>
      </c>
      <c r="P270" s="8" t="s">
        <v>23</v>
      </c>
      <c r="Q270" s="8" t="s">
        <v>24</v>
      </c>
      <c r="R270" s="12" t="s">
        <v>25</v>
      </c>
      <c r="S270" s="6" t="s">
        <v>26</v>
      </c>
      <c r="T270" s="9" t="s">
        <v>27</v>
      </c>
    </row>
    <row r="271" spans="1:20" x14ac:dyDescent="0.25">
      <c r="A271" s="6" t="s">
        <v>279</v>
      </c>
      <c r="B271" s="6" t="s">
        <v>63</v>
      </c>
      <c r="C271" s="6" t="s">
        <v>280</v>
      </c>
      <c r="D271" s="6" t="s">
        <v>262</v>
      </c>
      <c r="E271" s="7" t="s">
        <v>277</v>
      </c>
      <c r="F271" s="8">
        <v>223</v>
      </c>
      <c r="G271" s="8">
        <f>608</f>
        <v>608</v>
      </c>
      <c r="H271" s="9">
        <f>(F271+G271)*(1+0.3+0.466+0.496+0.2+0.24)+311</f>
        <v>2556.3620000000001</v>
      </c>
      <c r="K271" s="12">
        <v>0.15</v>
      </c>
      <c r="L271" s="12">
        <v>0</v>
      </c>
      <c r="M271" s="13">
        <f t="shared" si="28"/>
        <v>0.52749999999999997</v>
      </c>
      <c r="N271" s="13">
        <f>60.25%*2+K271+L271/2</f>
        <v>1.355</v>
      </c>
      <c r="O271" s="12">
        <f>0.466+0.35</f>
        <v>0.81600000000000006</v>
      </c>
      <c r="P271" s="8">
        <f t="shared" ref="P271:P277" si="30">0.5</f>
        <v>0.5</v>
      </c>
      <c r="Q271" s="8">
        <f t="shared" ref="Q271:Q277" si="31">0.9</f>
        <v>0.9</v>
      </c>
      <c r="R271" s="12">
        <v>3.0260000000000002</v>
      </c>
      <c r="S271" s="6" t="s">
        <v>237</v>
      </c>
      <c r="T271" s="9">
        <f t="shared" si="29"/>
        <v>14887.115105702473</v>
      </c>
    </row>
    <row r="272" spans="1:20" x14ac:dyDescent="0.25">
      <c r="A272" s="6" t="s">
        <v>279</v>
      </c>
      <c r="B272" s="6" t="s">
        <v>65</v>
      </c>
      <c r="C272" s="6" t="s">
        <v>280</v>
      </c>
      <c r="D272" s="6" t="s">
        <v>262</v>
      </c>
      <c r="E272" s="7" t="s">
        <v>277</v>
      </c>
      <c r="F272" s="8">
        <v>223</v>
      </c>
      <c r="G272" s="8">
        <v>510</v>
      </c>
      <c r="H272" s="9">
        <f>(F272+G272)*(1+0.3+0.466+0.24)+311</f>
        <v>1781.3980000000001</v>
      </c>
      <c r="K272" s="12">
        <f>15%+27.6%</f>
        <v>0.42600000000000005</v>
      </c>
      <c r="L272" s="12">
        <v>0</v>
      </c>
      <c r="M272" s="13">
        <f t="shared" si="28"/>
        <v>0.66550000000000009</v>
      </c>
      <c r="N272" s="13">
        <f>60.25%*2+K272+L272/2</f>
        <v>1.6310000000000002</v>
      </c>
      <c r="O272" s="12">
        <f>0.466+0.35+0.4</f>
        <v>1.2160000000000002</v>
      </c>
      <c r="P272" s="8">
        <f t="shared" si="30"/>
        <v>0.5</v>
      </c>
      <c r="Q272" s="8">
        <f t="shared" si="31"/>
        <v>0.9</v>
      </c>
      <c r="R272" s="12">
        <v>3.0260000000000002</v>
      </c>
      <c r="S272" s="6" t="s">
        <v>237</v>
      </c>
      <c r="T272" s="9">
        <f t="shared" si="29"/>
        <v>14142.721913956359</v>
      </c>
    </row>
    <row r="274" spans="1:20" x14ac:dyDescent="0.25">
      <c r="A274" s="6" t="s">
        <v>8</v>
      </c>
      <c r="B274" s="6" t="s">
        <v>9</v>
      </c>
      <c r="C274" s="6" t="s">
        <v>10</v>
      </c>
      <c r="D274" s="6" t="s">
        <v>11</v>
      </c>
      <c r="E274" s="7" t="s">
        <v>12</v>
      </c>
      <c r="F274" s="8" t="s">
        <v>13</v>
      </c>
      <c r="G274" s="8" t="s">
        <v>14</v>
      </c>
      <c r="H274" s="9" t="s">
        <v>15</v>
      </c>
      <c r="I274" s="10" t="s">
        <v>127</v>
      </c>
      <c r="J274" s="14"/>
      <c r="K274" s="12" t="s">
        <v>18</v>
      </c>
      <c r="L274" s="12" t="s">
        <v>19</v>
      </c>
      <c r="M274" s="13" t="s">
        <v>20</v>
      </c>
      <c r="N274" s="13" t="s">
        <v>21</v>
      </c>
      <c r="O274" s="12" t="s">
        <v>22</v>
      </c>
      <c r="P274" s="8" t="s">
        <v>23</v>
      </c>
      <c r="Q274" s="8" t="s">
        <v>24</v>
      </c>
      <c r="R274" s="12" t="s">
        <v>25</v>
      </c>
      <c r="S274" s="6" t="s">
        <v>26</v>
      </c>
      <c r="T274" s="9" t="s">
        <v>27</v>
      </c>
    </row>
    <row r="275" spans="1:20" x14ac:dyDescent="0.25">
      <c r="A275" s="6" t="s">
        <v>281</v>
      </c>
      <c r="B275" s="6" t="s">
        <v>148</v>
      </c>
      <c r="C275" s="6" t="s">
        <v>130</v>
      </c>
      <c r="D275" s="6" t="s">
        <v>186</v>
      </c>
      <c r="E275" s="7" t="s">
        <v>282</v>
      </c>
      <c r="F275" s="8">
        <v>287</v>
      </c>
      <c r="G275" s="8">
        <v>454</v>
      </c>
      <c r="H275" s="9">
        <f>(F275+G275)*(1+0.3+0.466*2)+311</f>
        <v>1964.9120000000003</v>
      </c>
      <c r="I275" s="14">
        <f>0.358+0.222+0.15</f>
        <v>0.73</v>
      </c>
      <c r="K275" s="12">
        <v>0</v>
      </c>
      <c r="L275" s="12">
        <v>0</v>
      </c>
      <c r="M275" s="13" t="s">
        <v>43</v>
      </c>
      <c r="N275" s="13" t="s">
        <v>43</v>
      </c>
      <c r="O275" s="12">
        <v>0</v>
      </c>
      <c r="P275" s="8">
        <f t="shared" si="30"/>
        <v>0.5</v>
      </c>
      <c r="Q275" s="8">
        <f t="shared" si="31"/>
        <v>0.9</v>
      </c>
      <c r="R275" s="12">
        <v>1.53</v>
      </c>
      <c r="S275" s="6" t="s">
        <v>283</v>
      </c>
      <c r="T275" s="9">
        <f>(H275*R275+1174)*(1+I275)</f>
        <v>7231.9455728000012</v>
      </c>
    </row>
    <row r="276" spans="1:20" x14ac:dyDescent="0.25">
      <c r="A276" s="6" t="s">
        <v>281</v>
      </c>
      <c r="B276" s="6" t="s">
        <v>95</v>
      </c>
      <c r="C276" s="6" t="s">
        <v>130</v>
      </c>
      <c r="D276" s="6" t="s">
        <v>186</v>
      </c>
      <c r="E276" s="7" t="s">
        <v>282</v>
      </c>
      <c r="F276" s="8">
        <v>287</v>
      </c>
      <c r="G276" s="8">
        <v>674</v>
      </c>
      <c r="H276" s="9">
        <f>(F276+G276)*(1+0.3+0.466*2+0.2)+311</f>
        <v>2648.1520000000005</v>
      </c>
      <c r="I276" s="14">
        <f>0.358+0.222+0.15</f>
        <v>0.73</v>
      </c>
      <c r="K276" s="12">
        <v>0</v>
      </c>
      <c r="L276" s="12">
        <v>0</v>
      </c>
      <c r="M276" s="13" t="s">
        <v>43</v>
      </c>
      <c r="N276" s="13" t="s">
        <v>43</v>
      </c>
      <c r="O276" s="12">
        <v>0</v>
      </c>
      <c r="P276" s="8">
        <f t="shared" si="30"/>
        <v>0.5</v>
      </c>
      <c r="Q276" s="8">
        <f t="shared" si="31"/>
        <v>0.9</v>
      </c>
      <c r="R276" s="12">
        <v>1.53</v>
      </c>
      <c r="S276" s="6" t="s">
        <v>283</v>
      </c>
      <c r="T276" s="9">
        <f>(H276*R276+1174)*(1+I276)</f>
        <v>9040.4135288000016</v>
      </c>
    </row>
    <row r="277" spans="1:20" x14ac:dyDescent="0.25">
      <c r="A277" s="6" t="s">
        <v>281</v>
      </c>
      <c r="B277" s="6" t="s">
        <v>284</v>
      </c>
      <c r="C277" s="6" t="s">
        <v>130</v>
      </c>
      <c r="D277" s="6" t="s">
        <v>186</v>
      </c>
      <c r="E277" s="7" t="s">
        <v>282</v>
      </c>
      <c r="F277" s="8">
        <v>287</v>
      </c>
      <c r="G277" s="8">
        <v>510</v>
      </c>
      <c r="H277" s="9">
        <f>(F277+G277)*(1+0.3+0.466*2+0.413)+311</f>
        <v>2419.0650000000001</v>
      </c>
      <c r="I277" s="14">
        <f>0.358+0.222+0.15</f>
        <v>0.73</v>
      </c>
      <c r="K277" s="12">
        <v>0</v>
      </c>
      <c r="L277" s="12">
        <v>0</v>
      </c>
      <c r="M277" s="13" t="s">
        <v>43</v>
      </c>
      <c r="N277" s="13" t="s">
        <v>43</v>
      </c>
      <c r="O277" s="12">
        <v>0</v>
      </c>
      <c r="P277" s="8">
        <f t="shared" si="30"/>
        <v>0.5</v>
      </c>
      <c r="Q277" s="8">
        <f t="shared" si="31"/>
        <v>0.9</v>
      </c>
      <c r="R277" s="12">
        <v>1.53</v>
      </c>
      <c r="S277" s="6" t="s">
        <v>283</v>
      </c>
      <c r="T277" s="9">
        <f>(H277*R277+1174)*(1+I277)</f>
        <v>8434.0431485000008</v>
      </c>
    </row>
    <row r="279" spans="1:20" x14ac:dyDescent="0.25">
      <c r="A279" s="6" t="s">
        <v>8</v>
      </c>
      <c r="B279" s="6" t="s">
        <v>9</v>
      </c>
      <c r="C279" s="6" t="s">
        <v>10</v>
      </c>
      <c r="D279" s="6" t="s">
        <v>11</v>
      </c>
      <c r="E279" s="7" t="s">
        <v>12</v>
      </c>
      <c r="F279" s="8" t="s">
        <v>13</v>
      </c>
      <c r="G279" s="8" t="s">
        <v>14</v>
      </c>
      <c r="H279" s="9" t="s">
        <v>15</v>
      </c>
      <c r="I279" s="10" t="s">
        <v>97</v>
      </c>
      <c r="J279" s="14"/>
      <c r="K279" s="12" t="s">
        <v>18</v>
      </c>
      <c r="L279" s="12" t="s">
        <v>19</v>
      </c>
      <c r="M279" s="13" t="s">
        <v>20</v>
      </c>
      <c r="N279" s="13" t="s">
        <v>21</v>
      </c>
      <c r="O279" s="12" t="s">
        <v>22</v>
      </c>
      <c r="P279" s="8" t="s">
        <v>23</v>
      </c>
      <c r="Q279" s="8" t="s">
        <v>24</v>
      </c>
      <c r="R279" s="12" t="s">
        <v>25</v>
      </c>
      <c r="S279" s="6" t="s">
        <v>26</v>
      </c>
      <c r="T279" s="9" t="s">
        <v>27</v>
      </c>
    </row>
    <row r="280" spans="1:20" x14ac:dyDescent="0.25">
      <c r="A280" s="6" t="s">
        <v>285</v>
      </c>
      <c r="B280" s="6" t="s">
        <v>221</v>
      </c>
      <c r="C280" s="6" t="s">
        <v>286</v>
      </c>
      <c r="D280" s="6" t="s">
        <v>106</v>
      </c>
      <c r="E280" s="7" t="s">
        <v>219</v>
      </c>
      <c r="F280" s="8">
        <v>212</v>
      </c>
      <c r="G280" s="8">
        <v>565</v>
      </c>
      <c r="H280" s="9">
        <f>(F280+G280)*(1+0.2)+311</f>
        <v>1243.4000000000001</v>
      </c>
      <c r="I280" s="10">
        <f>9570*(1+0.466*3+0.048*14+0.2)</f>
        <v>31293.900000000005</v>
      </c>
      <c r="K280" s="12">
        <v>0</v>
      </c>
      <c r="L280" s="12">
        <v>0</v>
      </c>
      <c r="M280" s="13" t="s">
        <v>43</v>
      </c>
      <c r="N280" s="13" t="s">
        <v>43</v>
      </c>
      <c r="O280" s="12">
        <v>0</v>
      </c>
      <c r="P280" s="8">
        <f>0.5</f>
        <v>0.5</v>
      </c>
      <c r="Q280" s="8">
        <f>0.9</f>
        <v>0.9</v>
      </c>
      <c r="R280" s="12">
        <v>0.153</v>
      </c>
      <c r="S280" s="6" t="s">
        <v>287</v>
      </c>
      <c r="T280" s="9">
        <f>(R280*I280+1905)*1.9</f>
        <v>12716.63673</v>
      </c>
    </row>
    <row r="283" spans="1:20" x14ac:dyDescent="0.25">
      <c r="A283" s="6" t="s">
        <v>8</v>
      </c>
      <c r="B283" s="6" t="s">
        <v>9</v>
      </c>
      <c r="C283" s="6" t="s">
        <v>10</v>
      </c>
      <c r="D283" s="6" t="s">
        <v>11</v>
      </c>
      <c r="E283" s="7" t="s">
        <v>12</v>
      </c>
      <c r="F283" s="8" t="s">
        <v>13</v>
      </c>
      <c r="G283" s="8" t="s">
        <v>14</v>
      </c>
      <c r="H283" s="9" t="s">
        <v>15</v>
      </c>
      <c r="J283" s="14"/>
      <c r="K283" s="12" t="s">
        <v>18</v>
      </c>
      <c r="L283" s="12" t="s">
        <v>19</v>
      </c>
      <c r="M283" s="13" t="s">
        <v>20</v>
      </c>
      <c r="N283" s="13" t="s">
        <v>21</v>
      </c>
      <c r="O283" s="12" t="s">
        <v>22</v>
      </c>
      <c r="P283" s="8" t="s">
        <v>23</v>
      </c>
      <c r="Q283" s="8" t="s">
        <v>24</v>
      </c>
      <c r="R283" s="12" t="s">
        <v>25</v>
      </c>
      <c r="S283" s="6" t="s">
        <v>26</v>
      </c>
      <c r="T283" s="9" t="s">
        <v>27</v>
      </c>
    </row>
    <row r="284" spans="1:20" x14ac:dyDescent="0.25">
      <c r="A284" s="6" t="s">
        <v>288</v>
      </c>
      <c r="B284" s="6" t="s">
        <v>39</v>
      </c>
      <c r="C284" s="6" t="s">
        <v>81</v>
      </c>
      <c r="D284" s="6" t="s">
        <v>262</v>
      </c>
      <c r="E284" s="7" t="s">
        <v>156</v>
      </c>
      <c r="F284" s="8">
        <v>240</v>
      </c>
      <c r="G284" s="8">
        <v>565</v>
      </c>
      <c r="H284" s="9">
        <f>(F284+G284)*(1+0.3+0.466+0.24)+311</f>
        <v>1925.8300000000002</v>
      </c>
      <c r="K284" s="12">
        <v>0.15</v>
      </c>
      <c r="L284" s="12">
        <v>0</v>
      </c>
      <c r="M284" s="13">
        <v>0.7</v>
      </c>
      <c r="N284" s="13">
        <f>63.55%*2+K284+L284/2-13.95%*2-6.6%*2</f>
        <v>1.0099999999999998</v>
      </c>
      <c r="O284" s="12">
        <f>0.466+0.2</f>
        <v>0.66600000000000004</v>
      </c>
      <c r="P284" s="8">
        <f>0.5</f>
        <v>0.5</v>
      </c>
      <c r="Q284" s="8">
        <f>0.9</f>
        <v>0.9</v>
      </c>
      <c r="R284" s="12">
        <v>2.64</v>
      </c>
      <c r="S284" s="6" t="s">
        <v>237</v>
      </c>
      <c r="T284" s="9">
        <f>H284*R284*(1+O284)*(1+N284)*P284*Q284</f>
        <v>7661.3524667063984</v>
      </c>
    </row>
    <row r="286" spans="1:20" x14ac:dyDescent="0.25">
      <c r="A286" s="6" t="s">
        <v>8</v>
      </c>
      <c r="B286" s="6" t="s">
        <v>9</v>
      </c>
      <c r="C286" s="6" t="s">
        <v>10</v>
      </c>
      <c r="D286" s="6" t="s">
        <v>11</v>
      </c>
      <c r="E286" s="7" t="s">
        <v>12</v>
      </c>
      <c r="F286" s="8" t="s">
        <v>13</v>
      </c>
      <c r="G286" s="8" t="s">
        <v>14</v>
      </c>
      <c r="H286" s="9" t="s">
        <v>15</v>
      </c>
      <c r="J286" s="14"/>
      <c r="K286" s="12" t="s">
        <v>18</v>
      </c>
      <c r="L286" s="12" t="s">
        <v>19</v>
      </c>
      <c r="M286" s="13" t="s">
        <v>20</v>
      </c>
      <c r="N286" s="13" t="s">
        <v>21</v>
      </c>
      <c r="O286" s="12" t="s">
        <v>22</v>
      </c>
      <c r="P286" s="8" t="s">
        <v>23</v>
      </c>
      <c r="Q286" s="8" t="s">
        <v>24</v>
      </c>
      <c r="R286" s="12" t="s">
        <v>25</v>
      </c>
      <c r="S286" s="6" t="s">
        <v>26</v>
      </c>
      <c r="T286" s="9" t="s">
        <v>27</v>
      </c>
    </row>
    <row r="287" spans="1:20" x14ac:dyDescent="0.25">
      <c r="A287" s="6" t="s">
        <v>289</v>
      </c>
      <c r="B287" s="6" t="s">
        <v>115</v>
      </c>
      <c r="C287" s="6" t="s">
        <v>290</v>
      </c>
      <c r="D287" s="6" t="s">
        <v>262</v>
      </c>
      <c r="E287" s="7" t="s">
        <v>32</v>
      </c>
      <c r="F287" s="8">
        <v>234</v>
      </c>
      <c r="G287" s="8">
        <v>454</v>
      </c>
      <c r="H287" s="9">
        <f>(F287+G287)*(1+0.3+0.466+0.18)+311</f>
        <v>1649.848</v>
      </c>
      <c r="K287" s="12">
        <v>0.15</v>
      </c>
      <c r="L287" s="12">
        <v>0</v>
      </c>
      <c r="M287" s="13">
        <f>60.25%+K287/2+L287/4-15%</f>
        <v>0.52749999999999997</v>
      </c>
      <c r="N287" s="13">
        <f>60.25%*2+K287+L287/2</f>
        <v>1.355</v>
      </c>
      <c r="O287" s="12">
        <f>0.466+0.288+0.15+0.35</f>
        <v>1.254</v>
      </c>
      <c r="P287" s="8">
        <f t="shared" ref="P287:P293" si="32">0.5</f>
        <v>0.5</v>
      </c>
      <c r="Q287" s="8">
        <f t="shared" ref="Q287:Q293" si="33">0.9</f>
        <v>0.9</v>
      </c>
      <c r="R287" s="12">
        <v>5.4272</v>
      </c>
      <c r="S287" s="6" t="s">
        <v>291</v>
      </c>
      <c r="T287" s="9">
        <f>H287*R287*(1+O287)*(1+N287)*P287*Q287</f>
        <v>21388.340914904678</v>
      </c>
    </row>
    <row r="289" spans="1:2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</row>
    <row r="290" spans="1:21" x14ac:dyDescent="0.25">
      <c r="A290" s="6" t="s">
        <v>8</v>
      </c>
      <c r="B290" s="6" t="s">
        <v>9</v>
      </c>
      <c r="C290" s="6" t="s">
        <v>10</v>
      </c>
      <c r="D290" s="6" t="s">
        <v>11</v>
      </c>
      <c r="E290" s="7" t="s">
        <v>12</v>
      </c>
      <c r="F290" s="8" t="s">
        <v>13</v>
      </c>
      <c r="G290" s="8" t="s">
        <v>14</v>
      </c>
      <c r="H290" s="9" t="s">
        <v>15</v>
      </c>
      <c r="I290" s="10" t="s">
        <v>66</v>
      </c>
      <c r="J290" s="14" t="s">
        <v>37</v>
      </c>
      <c r="K290" s="12" t="s">
        <v>18</v>
      </c>
      <c r="L290" s="12" t="s">
        <v>19</v>
      </c>
      <c r="M290" s="13" t="s">
        <v>20</v>
      </c>
      <c r="N290" s="13" t="s">
        <v>21</v>
      </c>
      <c r="O290" s="12" t="s">
        <v>22</v>
      </c>
      <c r="P290" s="8" t="s">
        <v>23</v>
      </c>
      <c r="Q290" s="8" t="s">
        <v>24</v>
      </c>
      <c r="R290" s="12" t="s">
        <v>25</v>
      </c>
      <c r="S290" s="6" t="s">
        <v>26</v>
      </c>
      <c r="T290" s="9" t="s">
        <v>27</v>
      </c>
    </row>
    <row r="291" spans="1:21" x14ac:dyDescent="0.25">
      <c r="A291" s="6" t="s">
        <v>292</v>
      </c>
      <c r="B291" s="6" t="s">
        <v>293</v>
      </c>
      <c r="C291" s="6" t="s">
        <v>294</v>
      </c>
      <c r="D291" s="6" t="s">
        <v>295</v>
      </c>
      <c r="E291" s="7" t="s">
        <v>178</v>
      </c>
      <c r="F291" s="8">
        <v>227</v>
      </c>
      <c r="G291" s="8">
        <v>542</v>
      </c>
      <c r="H291" s="9">
        <f>(F291+G291)*(1+0.2)+311</f>
        <v>1233.8</v>
      </c>
      <c r="I291" s="56">
        <f>959*(1+0.583+0.062*6+0.3+0.28)</f>
        <v>2431.0650000000001</v>
      </c>
      <c r="J291" s="14">
        <f>1+5.5%*4</f>
        <v>1.22</v>
      </c>
      <c r="K291" s="12">
        <v>0.192</v>
      </c>
      <c r="L291" s="12">
        <v>0.88200000000000001</v>
      </c>
      <c r="M291" s="13">
        <v>0.8</v>
      </c>
      <c r="N291" s="13">
        <f>60.25%*2+K291+L291/2+11.9%*2</f>
        <v>2.0760000000000001</v>
      </c>
      <c r="O291" s="12">
        <f>0.466+0.24</f>
        <v>0.70599999999999996</v>
      </c>
      <c r="P291" s="8">
        <f t="shared" si="32"/>
        <v>0.5</v>
      </c>
      <c r="Q291" s="8">
        <f t="shared" si="33"/>
        <v>0.9</v>
      </c>
      <c r="R291" s="12">
        <v>1.8019999999999998</v>
      </c>
      <c r="S291" s="6" t="s">
        <v>296</v>
      </c>
      <c r="T291" s="9">
        <f>((H291+97.92%*2662)*R291+0.75*2662)*(1+O291)*(1+N291)*P291*Q291</f>
        <v>21056.901954893372</v>
      </c>
    </row>
    <row r="292" spans="1:21" x14ac:dyDescent="0.25">
      <c r="A292" s="6" t="s">
        <v>292</v>
      </c>
      <c r="B292" s="6" t="s">
        <v>65</v>
      </c>
      <c r="C292" s="6" t="s">
        <v>294</v>
      </c>
      <c r="D292" s="6" t="s">
        <v>295</v>
      </c>
      <c r="E292" s="7" t="s">
        <v>178</v>
      </c>
      <c r="F292" s="8">
        <v>227</v>
      </c>
      <c r="G292" s="8">
        <v>510</v>
      </c>
      <c r="H292" s="9">
        <f>(F292+G292)*(1+0.2)+311</f>
        <v>1195.4000000000001</v>
      </c>
      <c r="I292" s="56">
        <f>959*(1+0.583+0.062*6+0.3)</f>
        <v>2162.5450000000001</v>
      </c>
      <c r="J292" s="14">
        <f>1+5.5%*4</f>
        <v>1.22</v>
      </c>
      <c r="K292" s="12">
        <f>27.6%+19.2%</f>
        <v>0.46800000000000003</v>
      </c>
      <c r="L292" s="12">
        <v>0</v>
      </c>
      <c r="M292" s="13">
        <v>0.8</v>
      </c>
      <c r="N292" s="13">
        <f>60.25%*2+K292+L292/2+3.65%*2</f>
        <v>1.746</v>
      </c>
      <c r="O292" s="12">
        <f>0.466+0.4+0.24</f>
        <v>1.1060000000000001</v>
      </c>
      <c r="P292" s="8">
        <f t="shared" si="32"/>
        <v>0.5</v>
      </c>
      <c r="Q292" s="8">
        <f t="shared" si="33"/>
        <v>0.9</v>
      </c>
      <c r="R292" s="12">
        <v>1.8019999999999998</v>
      </c>
      <c r="S292" s="6" t="s">
        <v>296</v>
      </c>
      <c r="T292" s="9">
        <f>((H292+97.92%*2394)*R292+0.35*2394)*(1+O292)*(1+N292)*P292*Q292</f>
        <v>18779.501434767011</v>
      </c>
    </row>
    <row r="293" spans="1:21" x14ac:dyDescent="0.25">
      <c r="A293" s="6" t="s">
        <v>292</v>
      </c>
      <c r="B293" s="6" t="s">
        <v>73</v>
      </c>
      <c r="C293" s="6" t="s">
        <v>294</v>
      </c>
      <c r="D293" s="6" t="s">
        <v>295</v>
      </c>
      <c r="E293" s="7" t="s">
        <v>178</v>
      </c>
      <c r="F293" s="8">
        <v>227</v>
      </c>
      <c r="G293" s="8">
        <v>510</v>
      </c>
      <c r="H293" s="9">
        <f>(F293+G293)*(1+0.2)+311</f>
        <v>1195.4000000000001</v>
      </c>
      <c r="I293" s="56">
        <f>959*(1+0.583+0.062*6+0.3+0.517)</f>
        <v>2658.348</v>
      </c>
      <c r="J293" s="14">
        <f>1+5.5%*4</f>
        <v>1.22</v>
      </c>
      <c r="K293" s="12">
        <f>19.2%</f>
        <v>0.192</v>
      </c>
      <c r="L293" s="12">
        <v>0</v>
      </c>
      <c r="M293" s="13">
        <f>60.25%+K293/2+L293/4</f>
        <v>0.69850000000000001</v>
      </c>
      <c r="N293" s="13">
        <f>60.25%*2+K293+L293/2</f>
        <v>1.397</v>
      </c>
      <c r="O293" s="12">
        <f>0.466+0.24</f>
        <v>0.70599999999999996</v>
      </c>
      <c r="P293" s="8">
        <f t="shared" si="32"/>
        <v>0.5</v>
      </c>
      <c r="Q293" s="8">
        <f t="shared" si="33"/>
        <v>0.9</v>
      </c>
      <c r="R293" s="12">
        <v>1.8019999999999998</v>
      </c>
      <c r="S293" s="6" t="s">
        <v>296</v>
      </c>
      <c r="T293" s="9">
        <f>((1461+97.92%*3234)*R293+0.35*3234)*(1+O293)*(1+N293)*P293*Q293</f>
        <v>17428.45252338404</v>
      </c>
    </row>
    <row r="295" spans="1:21" x14ac:dyDescent="0.25">
      <c r="A295" s="6" t="s">
        <v>8</v>
      </c>
      <c r="B295" s="6" t="s">
        <v>9</v>
      </c>
      <c r="C295" s="6" t="s">
        <v>10</v>
      </c>
      <c r="D295" s="6" t="s">
        <v>11</v>
      </c>
      <c r="E295" s="7" t="s">
        <v>12</v>
      </c>
      <c r="F295" s="8" t="s">
        <v>13</v>
      </c>
      <c r="G295" s="8" t="s">
        <v>14</v>
      </c>
      <c r="H295" s="9" t="s">
        <v>15</v>
      </c>
      <c r="I295" s="10" t="s">
        <v>66</v>
      </c>
      <c r="J295" s="14" t="s">
        <v>37</v>
      </c>
      <c r="K295" s="12" t="s">
        <v>18</v>
      </c>
      <c r="L295" s="12" t="s">
        <v>19</v>
      </c>
      <c r="M295" s="13" t="s">
        <v>20</v>
      </c>
      <c r="N295" s="13" t="s">
        <v>21</v>
      </c>
      <c r="O295" s="12" t="s">
        <v>22</v>
      </c>
      <c r="P295" s="8" t="s">
        <v>23</v>
      </c>
      <c r="Q295" s="8" t="s">
        <v>24</v>
      </c>
      <c r="R295" s="12" t="s">
        <v>25</v>
      </c>
      <c r="S295" s="6" t="s">
        <v>26</v>
      </c>
      <c r="T295" s="9" t="s">
        <v>27</v>
      </c>
    </row>
    <row r="296" spans="1:21" x14ac:dyDescent="0.25">
      <c r="A296" s="6" t="s">
        <v>297</v>
      </c>
      <c r="B296" s="6" t="s">
        <v>115</v>
      </c>
      <c r="C296" s="6" t="s">
        <v>298</v>
      </c>
      <c r="D296" s="6" t="s">
        <v>299</v>
      </c>
      <c r="E296" s="7" t="s">
        <v>230</v>
      </c>
      <c r="F296" s="8">
        <v>183</v>
      </c>
      <c r="G296" s="8">
        <v>454</v>
      </c>
      <c r="H296" s="9">
        <f>(F296+G296)*(1+0.2)+311</f>
        <v>1075.4000000000001</v>
      </c>
      <c r="I296" s="56">
        <f>648*(1+0.062*6+0.3)</f>
        <v>1083.4559999999999</v>
      </c>
      <c r="J296" s="14">
        <f>1+0.518+0.2+0.2+0.613</f>
        <v>2.5309999999999997</v>
      </c>
      <c r="K296" s="12">
        <v>0</v>
      </c>
      <c r="L296" s="12">
        <v>0</v>
      </c>
      <c r="M296" s="13">
        <f>60.25%+K296/2+L296/4</f>
        <v>0.60250000000000004</v>
      </c>
      <c r="N296" s="13" t="s">
        <v>43</v>
      </c>
      <c r="O296" s="12" t="s">
        <v>44</v>
      </c>
      <c r="P296" s="8">
        <f>0.5</f>
        <v>0.5</v>
      </c>
      <c r="Q296" s="8">
        <f>0.9</f>
        <v>0.9</v>
      </c>
      <c r="R296" s="12" t="s">
        <v>44</v>
      </c>
      <c r="S296" s="6" t="s">
        <v>300</v>
      </c>
      <c r="T296" s="9" t="s">
        <v>43</v>
      </c>
    </row>
    <row r="298" spans="1:21" x14ac:dyDescent="0.25">
      <c r="A298" s="6" t="s">
        <v>8</v>
      </c>
      <c r="B298" s="6" t="s">
        <v>9</v>
      </c>
      <c r="C298" s="6" t="s">
        <v>10</v>
      </c>
      <c r="D298" s="6" t="s">
        <v>11</v>
      </c>
      <c r="E298" s="7" t="s">
        <v>12</v>
      </c>
      <c r="F298" s="8" t="s">
        <v>13</v>
      </c>
      <c r="G298" s="8" t="s">
        <v>14</v>
      </c>
      <c r="H298" s="9" t="s">
        <v>15</v>
      </c>
      <c r="I298" s="10" t="s">
        <v>66</v>
      </c>
      <c r="J298" s="14"/>
      <c r="K298" s="12" t="s">
        <v>18</v>
      </c>
      <c r="L298" s="12" t="s">
        <v>19</v>
      </c>
      <c r="M298" s="13" t="s">
        <v>20</v>
      </c>
      <c r="N298" s="13" t="s">
        <v>21</v>
      </c>
      <c r="O298" s="12" t="s">
        <v>22</v>
      </c>
      <c r="P298" s="8" t="s">
        <v>23</v>
      </c>
      <c r="Q298" s="8" t="s">
        <v>24</v>
      </c>
      <c r="R298" s="12" t="s">
        <v>301</v>
      </c>
      <c r="S298" s="6" t="s">
        <v>26</v>
      </c>
      <c r="T298" s="9" t="s">
        <v>27</v>
      </c>
    </row>
    <row r="299" spans="1:21" x14ac:dyDescent="0.25">
      <c r="A299" s="6" t="s">
        <v>302</v>
      </c>
      <c r="B299" s="6" t="s">
        <v>303</v>
      </c>
      <c r="C299" s="6" t="s">
        <v>294</v>
      </c>
      <c r="D299" s="6" t="s">
        <v>295</v>
      </c>
      <c r="E299" s="7" t="s">
        <v>304</v>
      </c>
      <c r="F299" s="8">
        <v>251</v>
      </c>
      <c r="G299" s="8">
        <v>454</v>
      </c>
      <c r="H299" s="9">
        <f>(F299+G299)*(1+0.2)+311</f>
        <v>1157</v>
      </c>
      <c r="I299" s="56">
        <f>876*(1+0.583+0.062*6+0.3+0.69)</f>
        <v>2579.8199999999997</v>
      </c>
      <c r="K299" s="12">
        <v>0</v>
      </c>
      <c r="L299" s="12">
        <v>0</v>
      </c>
      <c r="M299" s="13">
        <f>60.25%+K299/2+L299/4</f>
        <v>0.60250000000000004</v>
      </c>
      <c r="N299" s="13">
        <f>60.25%*2+K299+L299/2</f>
        <v>1.2050000000000001</v>
      </c>
      <c r="O299" s="12">
        <f>0.466+0.288+0.24</f>
        <v>0.99399999999999999</v>
      </c>
      <c r="P299" s="8">
        <f>0.5</f>
        <v>0.5</v>
      </c>
      <c r="Q299" s="8">
        <f>0.9</f>
        <v>0.9</v>
      </c>
      <c r="R299" s="12">
        <v>3.2048000000000001</v>
      </c>
      <c r="S299" s="6" t="s">
        <v>305</v>
      </c>
      <c r="T299" s="9">
        <f>876*(1+0.584+0.062*6+0.3+0.69+0.24)*R299*(1+O299)*(1+N299)*P299*Q299</f>
        <v>17696.894878418516</v>
      </c>
    </row>
    <row r="300" spans="1:21" x14ac:dyDescent="0.25">
      <c r="A300" s="6" t="s">
        <v>302</v>
      </c>
      <c r="B300" s="60" t="s">
        <v>402</v>
      </c>
      <c r="C300" s="6" t="s">
        <v>294</v>
      </c>
      <c r="D300" s="6" t="s">
        <v>295</v>
      </c>
      <c r="E300" s="7" t="s">
        <v>304</v>
      </c>
      <c r="F300" s="8">
        <v>251</v>
      </c>
      <c r="G300" s="8">
        <v>401</v>
      </c>
      <c r="H300" s="9">
        <f>(F300+G300)*(1+0.2)+311</f>
        <v>1093.4000000000001</v>
      </c>
      <c r="I300" s="56">
        <f>876*(1+0.583+0.062*6+0.3)</f>
        <v>1975.3799999999999</v>
      </c>
      <c r="K300" s="12">
        <v>0.28000000000000003</v>
      </c>
      <c r="L300" s="12">
        <v>0.46899999999999997</v>
      </c>
      <c r="M300" s="13">
        <f>60.25%+K300/2+L300/4-5.98%</f>
        <v>0.79995000000000005</v>
      </c>
      <c r="N300" s="13">
        <f>60.25%*2+K300+L300/2+8.98%*2</f>
        <v>1.8991</v>
      </c>
      <c r="O300" s="12">
        <f>0.466+0.288+0.24</f>
        <v>0.99399999999999999</v>
      </c>
      <c r="P300" s="8">
        <f>0.5</f>
        <v>0.5</v>
      </c>
      <c r="Q300" s="8">
        <f>0.9</f>
        <v>0.9</v>
      </c>
      <c r="R300" s="12">
        <v>2.4047999999999998</v>
      </c>
      <c r="S300" s="6" t="s">
        <v>305</v>
      </c>
      <c r="T300" s="9">
        <f>U300*R300*(1+O300)*(1+N300)*P300*Q300</f>
        <v>13672.706241036269</v>
      </c>
      <c r="U300">
        <f>876*(1+0.583+0.062*6+0.3+0.24)</f>
        <v>2185.62</v>
      </c>
    </row>
    <row r="301" spans="1:21" x14ac:dyDescent="0.25">
      <c r="A301" s="6" t="s">
        <v>302</v>
      </c>
      <c r="B301" s="6" t="s">
        <v>303</v>
      </c>
      <c r="C301" s="6" t="s">
        <v>306</v>
      </c>
      <c r="D301" s="6" t="s">
        <v>295</v>
      </c>
      <c r="E301" s="7" t="s">
        <v>304</v>
      </c>
      <c r="F301" s="8">
        <v>251</v>
      </c>
      <c r="G301" s="8">
        <v>454</v>
      </c>
      <c r="H301" s="9">
        <f>(F301+G301)*(1+0.2)+311</f>
        <v>1157</v>
      </c>
      <c r="I301" s="56">
        <f>876*(1+0.583+0.062*6+0.69)</f>
        <v>2317.02</v>
      </c>
      <c r="K301" s="12">
        <v>0</v>
      </c>
      <c r="L301" s="12">
        <v>0</v>
      </c>
      <c r="M301" s="13">
        <f>60.25%+K301/2+L301/4</f>
        <v>0.60250000000000004</v>
      </c>
      <c r="N301" s="13">
        <f>60.25%*2+K301+L301/2</f>
        <v>1.2050000000000001</v>
      </c>
      <c r="O301" s="12">
        <f>0.466+0.288+0.15</f>
        <v>0.90400000000000003</v>
      </c>
      <c r="P301" s="8">
        <f>0.5</f>
        <v>0.5</v>
      </c>
      <c r="Q301" s="8">
        <f>0.9</f>
        <v>0.9</v>
      </c>
      <c r="R301" s="12">
        <v>3.2048000000000001</v>
      </c>
      <c r="S301" s="6" t="s">
        <v>305</v>
      </c>
      <c r="T301" s="9">
        <f>876*(1+0.584+0.062*6+0.69)*R301*(1+O301)*(1+N301)*P301*Q301</f>
        <v>14034.047095327793</v>
      </c>
    </row>
    <row r="302" spans="1:21" x14ac:dyDescent="0.25">
      <c r="A302" s="6" t="s">
        <v>302</v>
      </c>
      <c r="B302" s="6" t="s">
        <v>303</v>
      </c>
      <c r="C302" s="6" t="s">
        <v>75</v>
      </c>
      <c r="D302" s="6" t="s">
        <v>295</v>
      </c>
      <c r="E302" s="7" t="s">
        <v>304</v>
      </c>
      <c r="F302" s="8">
        <v>251</v>
      </c>
      <c r="G302" s="8">
        <v>454</v>
      </c>
      <c r="H302" s="9">
        <f>(F302+G302)*(1+0.2)+311</f>
        <v>1157</v>
      </c>
      <c r="I302" s="56">
        <f>876*(1+0.583+0.062*6+0.69)</f>
        <v>2317.02</v>
      </c>
      <c r="K302" s="12">
        <v>0</v>
      </c>
      <c r="L302" s="12">
        <v>0</v>
      </c>
      <c r="M302" s="13">
        <f>60.25%+K302/2+L302/4</f>
        <v>0.60250000000000004</v>
      </c>
      <c r="N302" s="13">
        <f>60.25%*2+K302+L302/2</f>
        <v>1.2050000000000001</v>
      </c>
      <c r="O302" s="12">
        <f>0.466+0.288</f>
        <v>0.754</v>
      </c>
      <c r="P302" s="8">
        <f>0.5</f>
        <v>0.5</v>
      </c>
      <c r="Q302" s="8">
        <f>0.9</f>
        <v>0.9</v>
      </c>
      <c r="R302" s="12">
        <v>3.2048000000000001</v>
      </c>
      <c r="S302" s="6" t="s">
        <v>305</v>
      </c>
      <c r="T302" s="9">
        <f>876*(1+0.584+0.062*6+0.69)*R302*(1+O302)*(1+N302)*P302*Q302</f>
        <v>12928.423637187472</v>
      </c>
    </row>
    <row r="304" spans="1:21" x14ac:dyDescent="0.25">
      <c r="A304" s="6" t="s">
        <v>8</v>
      </c>
      <c r="B304" s="6" t="s">
        <v>9</v>
      </c>
      <c r="C304" s="6" t="s">
        <v>10</v>
      </c>
      <c r="D304" s="6" t="s">
        <v>11</v>
      </c>
      <c r="E304" s="7" t="s">
        <v>12</v>
      </c>
      <c r="F304" s="8" t="s">
        <v>13</v>
      </c>
      <c r="G304" s="8" t="s">
        <v>14</v>
      </c>
      <c r="H304" s="9" t="s">
        <v>15</v>
      </c>
      <c r="I304" s="10" t="s">
        <v>97</v>
      </c>
      <c r="J304" s="14"/>
      <c r="K304" s="12" t="s">
        <v>18</v>
      </c>
      <c r="L304" s="12" t="s">
        <v>19</v>
      </c>
      <c r="M304" s="13" t="s">
        <v>20</v>
      </c>
      <c r="N304" s="13" t="s">
        <v>21</v>
      </c>
      <c r="O304" s="12" t="s">
        <v>22</v>
      </c>
      <c r="P304" s="8" t="s">
        <v>23</v>
      </c>
      <c r="Q304" s="8" t="s">
        <v>24</v>
      </c>
      <c r="R304" s="12" t="s">
        <v>25</v>
      </c>
      <c r="S304" s="6" t="s">
        <v>26</v>
      </c>
      <c r="T304" s="9" t="s">
        <v>27</v>
      </c>
    </row>
    <row r="305" spans="1:20" x14ac:dyDescent="0.25">
      <c r="A305" s="6" t="s">
        <v>307</v>
      </c>
      <c r="B305" s="6" t="s">
        <v>46</v>
      </c>
      <c r="C305" s="6" t="s">
        <v>75</v>
      </c>
      <c r="D305" s="6" t="s">
        <v>106</v>
      </c>
      <c r="E305" s="7" t="s">
        <v>121</v>
      </c>
      <c r="F305" s="8">
        <v>251</v>
      </c>
      <c r="G305" s="8">
        <v>354</v>
      </c>
      <c r="H305" s="9">
        <f>(F305+G305)*(1+0.2)+311</f>
        <v>1037</v>
      </c>
      <c r="I305" s="56">
        <f>14695*(1+0.466*3+0.469+0.4+0.2)+4780</f>
        <v>55727.565000000002</v>
      </c>
      <c r="K305" s="12">
        <v>0</v>
      </c>
      <c r="L305" s="12">
        <v>0</v>
      </c>
      <c r="M305" s="13" t="s">
        <v>43</v>
      </c>
      <c r="N305" s="13" t="s">
        <v>43</v>
      </c>
      <c r="O305" s="12">
        <v>0.28800000000000003</v>
      </c>
      <c r="P305" s="8">
        <f>0.5</f>
        <v>0.5</v>
      </c>
      <c r="Q305" s="8">
        <v>1.05</v>
      </c>
      <c r="R305" s="12">
        <v>0.21760000000000002</v>
      </c>
      <c r="S305" s="6" t="s">
        <v>308</v>
      </c>
      <c r="T305" s="9">
        <f>(2506+R305*I305)*1.5*1.3</f>
        <v>28533.020380800001</v>
      </c>
    </row>
    <row r="306" spans="1:20" x14ac:dyDescent="0.25">
      <c r="A306" s="6" t="s">
        <v>307</v>
      </c>
      <c r="B306" s="6" t="s">
        <v>29</v>
      </c>
      <c r="C306" s="6" t="s">
        <v>75</v>
      </c>
      <c r="D306" s="6" t="s">
        <v>106</v>
      </c>
      <c r="E306" s="7" t="s">
        <v>121</v>
      </c>
      <c r="F306" s="8">
        <v>251</v>
      </c>
      <c r="G306" s="8">
        <v>608</v>
      </c>
      <c r="H306" s="9">
        <f>(F306+G306)*(1+0.2)+311+0.8%*I306</f>
        <v>1738.3628800000001</v>
      </c>
      <c r="I306" s="56">
        <f>14695*(1+0.466*3+0.25+0.2+0.2)+4780</f>
        <v>49570.360000000008</v>
      </c>
      <c r="K306" s="12">
        <v>-0.311</v>
      </c>
      <c r="L306" s="12">
        <v>0.66200000000000003</v>
      </c>
      <c r="M306" s="13">
        <f t="shared" ref="M306:M312" si="34">60.25%+K306/2+L306/4</f>
        <v>0.61250000000000004</v>
      </c>
      <c r="N306" s="13">
        <f t="shared" ref="N306:N312" si="35">60.25%*2+K306+L306/2</f>
        <v>1.2250000000000001</v>
      </c>
      <c r="O306" s="12">
        <v>0.28800000000000003</v>
      </c>
      <c r="P306" s="8">
        <f>0.5</f>
        <v>0.5</v>
      </c>
      <c r="Q306" s="8">
        <v>1.05</v>
      </c>
      <c r="R306" s="12">
        <v>8.3468</v>
      </c>
      <c r="S306" s="6" t="s">
        <v>309</v>
      </c>
      <c r="T306" s="9">
        <f>(H306*R306+0.33*I306)*(1+O306)*(1+N306)*P306*Q306</f>
        <v>46442.274126940443</v>
      </c>
    </row>
    <row r="307" spans="1:20" x14ac:dyDescent="0.25">
      <c r="A307" s="6" t="s">
        <v>307</v>
      </c>
      <c r="B307" s="6" t="s">
        <v>29</v>
      </c>
      <c r="C307" s="6" t="s">
        <v>310</v>
      </c>
      <c r="D307" s="6" t="s">
        <v>311</v>
      </c>
      <c r="E307" s="7" t="s">
        <v>187</v>
      </c>
      <c r="F307" s="8">
        <v>251</v>
      </c>
      <c r="G307" s="8">
        <v>608</v>
      </c>
      <c r="H307" s="9">
        <f>(F307+G307)*(1+0.2)+311+0.8%*I307</f>
        <v>1611.1629599999999</v>
      </c>
      <c r="I307" s="56">
        <f>14695*(1+0.466*1+0.3+0.2)+4780</f>
        <v>33670.369999999995</v>
      </c>
      <c r="K307" s="12">
        <v>0</v>
      </c>
      <c r="L307" s="12">
        <v>0.66200000000000003</v>
      </c>
      <c r="M307" s="13">
        <f t="shared" si="34"/>
        <v>0.76800000000000002</v>
      </c>
      <c r="N307" s="13">
        <f t="shared" si="35"/>
        <v>1.536</v>
      </c>
      <c r="O307" s="12">
        <f>0.466+0.288+0.15+0.2</f>
        <v>1.1040000000000001</v>
      </c>
      <c r="P307" s="8">
        <f>0.5</f>
        <v>0.5</v>
      </c>
      <c r="Q307" s="8">
        <v>1.05</v>
      </c>
      <c r="R307" s="12">
        <v>8.9971999999999994</v>
      </c>
      <c r="S307" s="6" t="s">
        <v>309</v>
      </c>
      <c r="T307" s="9">
        <f>(H307*R307+0.33*I307)*(1+O307)*(1+N307)*P307*Q307</f>
        <v>71732.505398216977</v>
      </c>
    </row>
    <row r="309" spans="1:20" x14ac:dyDescent="0.25">
      <c r="A309" s="6" t="s">
        <v>8</v>
      </c>
      <c r="B309" s="6" t="s">
        <v>9</v>
      </c>
      <c r="C309" s="6" t="s">
        <v>10</v>
      </c>
      <c r="D309" s="6" t="s">
        <v>11</v>
      </c>
      <c r="E309" s="7" t="s">
        <v>12</v>
      </c>
      <c r="F309" s="8" t="s">
        <v>13</v>
      </c>
      <c r="G309" s="8" t="s">
        <v>14</v>
      </c>
      <c r="H309" s="9" t="s">
        <v>15</v>
      </c>
      <c r="I309" s="10" t="s">
        <v>66</v>
      </c>
      <c r="J309" s="14"/>
      <c r="K309" s="12" t="s">
        <v>18</v>
      </c>
      <c r="L309" s="12" t="s">
        <v>19</v>
      </c>
      <c r="M309" s="13" t="s">
        <v>20</v>
      </c>
      <c r="N309" s="13" t="s">
        <v>21</v>
      </c>
      <c r="O309" s="12" t="s">
        <v>22</v>
      </c>
      <c r="P309" s="8" t="s">
        <v>23</v>
      </c>
      <c r="Q309" s="8" t="s">
        <v>24</v>
      </c>
      <c r="R309" s="12" t="s">
        <v>25</v>
      </c>
      <c r="S309" s="6" t="s">
        <v>26</v>
      </c>
      <c r="T309" s="9" t="s">
        <v>27</v>
      </c>
    </row>
    <row r="310" spans="1:20" x14ac:dyDescent="0.25">
      <c r="A310" s="6" t="s">
        <v>312</v>
      </c>
      <c r="B310" s="6" t="s">
        <v>293</v>
      </c>
      <c r="C310" s="6" t="s">
        <v>294</v>
      </c>
      <c r="D310" s="6" t="s">
        <v>295</v>
      </c>
      <c r="E310" s="7" t="s">
        <v>82</v>
      </c>
      <c r="F310" s="8">
        <v>191</v>
      </c>
      <c r="G310" s="8">
        <v>542</v>
      </c>
      <c r="H310" s="9">
        <f>(F310+G310)*(1+0.2)+311</f>
        <v>1190.5999999999999</v>
      </c>
      <c r="I310" s="56">
        <f>799*(1+0.583+0.248+0.3+0.28+0.3)</f>
        <v>2166.0889999999995</v>
      </c>
      <c r="K310" s="12">
        <v>0</v>
      </c>
      <c r="L310" s="12">
        <v>0.88200000000000001</v>
      </c>
      <c r="M310" s="13">
        <v>0.7</v>
      </c>
      <c r="N310" s="13">
        <f>60.25%*2+K310+L310/2+12.3%*2</f>
        <v>1.8920000000000001</v>
      </c>
      <c r="O310" s="12">
        <f>0.466+0.24</f>
        <v>0.70599999999999996</v>
      </c>
      <c r="P310" s="8">
        <f>0.5</f>
        <v>0.5</v>
      </c>
      <c r="Q310" s="8">
        <f>0.9</f>
        <v>0.9</v>
      </c>
      <c r="R310" s="12">
        <v>1.5640000000000001</v>
      </c>
      <c r="S310" s="6" t="s">
        <v>313</v>
      </c>
      <c r="T310" s="9">
        <f>((H310+1.3*2358)*R310+0.4*2358)*(1+O310)*(1+N310)*P310*Q310</f>
        <v>16872.508241625601</v>
      </c>
    </row>
    <row r="311" spans="1:20" x14ac:dyDescent="0.25">
      <c r="A311" s="6" t="s">
        <v>312</v>
      </c>
      <c r="B311" s="6" t="s">
        <v>65</v>
      </c>
      <c r="C311" s="6" t="s">
        <v>294</v>
      </c>
      <c r="D311" s="6" t="s">
        <v>295</v>
      </c>
      <c r="E311" s="7" t="s">
        <v>82</v>
      </c>
      <c r="F311" s="8">
        <v>191</v>
      </c>
      <c r="G311" s="8">
        <v>510</v>
      </c>
      <c r="H311" s="9">
        <f>(F311+G311)*(1+0.2)+311</f>
        <v>1152.1999999999998</v>
      </c>
      <c r="I311" s="56">
        <f>799*(1+0.583+0.062*6+0.3+0.3)</f>
        <v>2041.4449999999997</v>
      </c>
      <c r="K311" s="12">
        <v>0.27600000000000002</v>
      </c>
      <c r="L311" s="12">
        <v>0</v>
      </c>
      <c r="M311" s="13">
        <f t="shared" si="34"/>
        <v>0.74050000000000005</v>
      </c>
      <c r="N311" s="13">
        <f t="shared" si="35"/>
        <v>1.4810000000000001</v>
      </c>
      <c r="O311" s="12">
        <f>0.466+0.4+0.24</f>
        <v>1.1060000000000001</v>
      </c>
      <c r="P311" s="8">
        <f>0.5</f>
        <v>0.5</v>
      </c>
      <c r="Q311" s="8">
        <f>0.9</f>
        <v>0.9</v>
      </c>
      <c r="R311" s="12">
        <v>1.5640000000000001</v>
      </c>
      <c r="S311" s="6" t="s">
        <v>313</v>
      </c>
      <c r="T311" s="9">
        <f>(H311+1.3*2223)*R311*(1+O311)*(1+N311)*P311*Q311</f>
        <v>14864.19681788028</v>
      </c>
    </row>
    <row r="312" spans="1:20" x14ac:dyDescent="0.25">
      <c r="A312" s="6" t="s">
        <v>312</v>
      </c>
      <c r="B312" s="6" t="s">
        <v>73</v>
      </c>
      <c r="C312" s="6" t="s">
        <v>294</v>
      </c>
      <c r="D312" s="6" t="s">
        <v>295</v>
      </c>
      <c r="E312" s="7" t="s">
        <v>82</v>
      </c>
      <c r="F312" s="8">
        <v>191</v>
      </c>
      <c r="G312" s="8">
        <v>510</v>
      </c>
      <c r="H312" s="9">
        <f>(F312+G312)*(1+0.2)+311</f>
        <v>1152.1999999999998</v>
      </c>
      <c r="I312" s="56">
        <f>799*(1+0.583+0.062*6+0.3+0.517+0.3)</f>
        <v>2454.5279999999998</v>
      </c>
      <c r="K312" s="12">
        <v>0</v>
      </c>
      <c r="L312" s="12">
        <v>0</v>
      </c>
      <c r="M312" s="13">
        <f t="shared" si="34"/>
        <v>0.60250000000000004</v>
      </c>
      <c r="N312" s="13">
        <f t="shared" si="35"/>
        <v>1.2050000000000001</v>
      </c>
      <c r="O312" s="12">
        <f>0.466+0.24</f>
        <v>0.70599999999999996</v>
      </c>
      <c r="P312" s="8">
        <f>0.5</f>
        <v>0.5</v>
      </c>
      <c r="Q312" s="8">
        <f>0.9</f>
        <v>0.9</v>
      </c>
      <c r="R312" s="12">
        <v>1.5640000000000001</v>
      </c>
      <c r="S312" s="6" t="s">
        <v>313</v>
      </c>
      <c r="T312" s="9">
        <f>(1320+1.3*2934)*R312*(1+O312)*(1+N312)*P312*Q312</f>
        <v>13592.823118030803</v>
      </c>
    </row>
    <row r="314" spans="1:20" x14ac:dyDescent="0.25">
      <c r="A314" s="6" t="s">
        <v>8</v>
      </c>
      <c r="B314" s="6" t="s">
        <v>9</v>
      </c>
      <c r="C314" s="6" t="s">
        <v>10</v>
      </c>
      <c r="D314" s="6" t="s">
        <v>11</v>
      </c>
      <c r="E314" s="7" t="s">
        <v>12</v>
      </c>
      <c r="F314" s="8" t="s">
        <v>13</v>
      </c>
      <c r="G314" s="8" t="s">
        <v>14</v>
      </c>
      <c r="H314" s="9" t="s">
        <v>15</v>
      </c>
      <c r="J314" s="14"/>
      <c r="K314" s="12" t="s">
        <v>18</v>
      </c>
      <c r="L314" s="12" t="s">
        <v>19</v>
      </c>
      <c r="M314" s="13" t="s">
        <v>20</v>
      </c>
      <c r="N314" s="13" t="s">
        <v>21</v>
      </c>
      <c r="O314" s="12" t="s">
        <v>22</v>
      </c>
      <c r="P314" s="8" t="s">
        <v>23</v>
      </c>
      <c r="Q314" s="8" t="s">
        <v>24</v>
      </c>
      <c r="R314" s="12" t="s">
        <v>25</v>
      </c>
      <c r="S314" s="6" t="s">
        <v>26</v>
      </c>
      <c r="T314" s="9" t="s">
        <v>27</v>
      </c>
    </row>
    <row r="315" spans="1:20" x14ac:dyDescent="0.25">
      <c r="A315" s="6" t="s">
        <v>314</v>
      </c>
      <c r="B315" s="6" t="s">
        <v>55</v>
      </c>
      <c r="C315" s="6" t="s">
        <v>315</v>
      </c>
      <c r="D315" s="6" t="s">
        <v>316</v>
      </c>
      <c r="E315" s="7" t="s">
        <v>317</v>
      </c>
      <c r="F315" s="8">
        <v>212</v>
      </c>
      <c r="G315" s="8">
        <v>608</v>
      </c>
      <c r="H315" s="9">
        <f>(F315+G315)*(1+0.3+0.466+0.18)+311</f>
        <v>1906.72</v>
      </c>
      <c r="K315" s="12">
        <v>0.33100000000000002</v>
      </c>
      <c r="L315" s="12">
        <v>0</v>
      </c>
      <c r="M315" s="13">
        <f>60.25%+K315/2+L315/4</f>
        <v>0.76800000000000002</v>
      </c>
      <c r="N315" s="13">
        <f>60.25%*2+K315+L315/2</f>
        <v>1.536</v>
      </c>
      <c r="O315" s="12">
        <f>0.466+0.15+0.24+0.12</f>
        <v>0.97599999999999998</v>
      </c>
      <c r="P315" s="8">
        <f>190/(190*(1)+190)</f>
        <v>0.5</v>
      </c>
      <c r="Q315" s="8">
        <v>0.9</v>
      </c>
      <c r="R315" s="12">
        <f>184.79%</f>
        <v>1.8478999999999999</v>
      </c>
      <c r="S315" s="6" t="s">
        <v>318</v>
      </c>
      <c r="T315" s="9">
        <f>H315*R315*(1+O315)*(1+N315*M315)*P315*Q315</f>
        <v>6828.9071027694681</v>
      </c>
    </row>
    <row r="316" spans="1:20" x14ac:dyDescent="0.25">
      <c r="A316" s="6" t="s">
        <v>314</v>
      </c>
      <c r="B316" s="6" t="s">
        <v>319</v>
      </c>
      <c r="C316" s="6" t="s">
        <v>315</v>
      </c>
      <c r="D316" s="6" t="s">
        <v>316</v>
      </c>
      <c r="E316" s="7" t="s">
        <v>317</v>
      </c>
      <c r="F316" s="8">
        <v>212</v>
      </c>
      <c r="G316" s="8">
        <v>608</v>
      </c>
      <c r="H316" s="9">
        <f>(F316+G316)*(1+0.3+0.466+0.18+0.496)+311</f>
        <v>2313.44</v>
      </c>
      <c r="K316" s="12">
        <v>0</v>
      </c>
      <c r="L316" s="12">
        <v>0</v>
      </c>
      <c r="M316" s="13">
        <f>60.25%+K316/2+L316/4</f>
        <v>0.60250000000000004</v>
      </c>
      <c r="N316" s="13">
        <f>60.25%*2+K316+L316/2</f>
        <v>1.2050000000000001</v>
      </c>
      <c r="O316" s="12">
        <f>0.466+0.15+0.24+0.12</f>
        <v>0.97599999999999998</v>
      </c>
      <c r="P316" s="8">
        <f>190/(190*(1)+190)</f>
        <v>0.5</v>
      </c>
      <c r="Q316" s="8">
        <v>0.9</v>
      </c>
      <c r="R316" s="12">
        <f>184.79%</f>
        <v>1.8478999999999999</v>
      </c>
      <c r="S316" s="6" t="s">
        <v>318</v>
      </c>
      <c r="T316" s="9">
        <f>2559*R316*(1+O316)*(1+N316*M316)*P316*Q316</f>
        <v>7257.5851845614716</v>
      </c>
    </row>
    <row r="317" spans="1:20" x14ac:dyDescent="0.25">
      <c r="A317" s="6" t="s">
        <v>314</v>
      </c>
      <c r="B317" s="6" t="s">
        <v>59</v>
      </c>
      <c r="C317" s="6" t="s">
        <v>315</v>
      </c>
      <c r="D317" s="6" t="s">
        <v>316</v>
      </c>
      <c r="E317" s="7" t="s">
        <v>317</v>
      </c>
      <c r="F317" s="8">
        <v>212</v>
      </c>
      <c r="G317" s="8">
        <v>510</v>
      </c>
      <c r="H317" s="9">
        <f>(F317+G317)*(1+0.3+0.466+0.18)+311</f>
        <v>1716.0119999999999</v>
      </c>
      <c r="K317" s="12">
        <v>0</v>
      </c>
      <c r="L317" s="12">
        <v>0.55100000000000005</v>
      </c>
      <c r="M317" s="13">
        <v>0.7</v>
      </c>
      <c r="N317" s="13">
        <f>60.25%*2+K317+L317/2+4.03%*2</f>
        <v>1.5611000000000002</v>
      </c>
      <c r="O317" s="12">
        <f>0.466+0.15+0.24+0.12+0.96</f>
        <v>1.9359999999999999</v>
      </c>
      <c r="P317" s="8">
        <f>190/(190*(1)+190)</f>
        <v>0.5</v>
      </c>
      <c r="Q317" s="8">
        <v>0.9</v>
      </c>
      <c r="R317" s="12">
        <f>184.79%</f>
        <v>1.8478999999999999</v>
      </c>
      <c r="S317" s="6" t="s">
        <v>318</v>
      </c>
      <c r="T317" s="9">
        <f>H317*R317*(1+O317)*(1+N317*M317)*P317*Q317</f>
        <v>8767.7640115264785</v>
      </c>
    </row>
    <row r="319" spans="1:20" x14ac:dyDescent="0.25">
      <c r="A319" s="6" t="s">
        <v>8</v>
      </c>
      <c r="B319" s="6" t="s">
        <v>9</v>
      </c>
      <c r="C319" s="6" t="s">
        <v>10</v>
      </c>
      <c r="D319" s="6" t="s">
        <v>11</v>
      </c>
      <c r="E319" s="7" t="s">
        <v>12</v>
      </c>
      <c r="F319" s="8" t="s">
        <v>13</v>
      </c>
      <c r="G319" s="8" t="s">
        <v>14</v>
      </c>
      <c r="H319" s="9" t="s">
        <v>15</v>
      </c>
      <c r="J319" s="14"/>
      <c r="K319" s="12" t="s">
        <v>18</v>
      </c>
      <c r="L319" s="12" t="s">
        <v>19</v>
      </c>
      <c r="M319" s="13" t="s">
        <v>20</v>
      </c>
      <c r="N319" s="13" t="s">
        <v>21</v>
      </c>
      <c r="O319" s="12" t="s">
        <v>22</v>
      </c>
      <c r="P319" s="8" t="s">
        <v>23</v>
      </c>
      <c r="Q319" s="8" t="s">
        <v>24</v>
      </c>
      <c r="R319" s="12" t="s">
        <v>25</v>
      </c>
      <c r="S319" s="6" t="s">
        <v>26</v>
      </c>
      <c r="T319" s="9" t="s">
        <v>27</v>
      </c>
    </row>
    <row r="320" spans="1:20" x14ac:dyDescent="0.25">
      <c r="A320" s="6" t="s">
        <v>320</v>
      </c>
      <c r="B320" s="6" t="s">
        <v>223</v>
      </c>
      <c r="C320" s="6" t="s">
        <v>315</v>
      </c>
      <c r="D320" s="6" t="s">
        <v>316</v>
      </c>
      <c r="E320" s="7" t="s">
        <v>239</v>
      </c>
      <c r="F320" s="8">
        <v>212</v>
      </c>
      <c r="G320" s="8">
        <v>674</v>
      </c>
      <c r="H320" s="9">
        <f>(F320+G320)*(1+0.3+0.466+0.18+0.24)+311</f>
        <v>2247.7960000000003</v>
      </c>
      <c r="K320" s="12">
        <v>0</v>
      </c>
      <c r="L320" s="12">
        <v>0.441</v>
      </c>
      <c r="M320" s="13">
        <f>60.25%+K320/2+L320/4</f>
        <v>0.71274999999999999</v>
      </c>
      <c r="N320" s="13">
        <f>60.25%*2+K320+L320/2</f>
        <v>1.4255</v>
      </c>
      <c r="O320" s="12">
        <f>0.466+0.15+0.4</f>
        <v>1.016</v>
      </c>
      <c r="P320" s="8">
        <f t="shared" ref="P320:P326" si="36">190/(190*(1)+190)</f>
        <v>0.5</v>
      </c>
      <c r="Q320" s="8">
        <v>0.9</v>
      </c>
      <c r="R320" s="12">
        <v>3.145</v>
      </c>
      <c r="S320" s="6" t="s">
        <v>321</v>
      </c>
      <c r="T320" s="9">
        <f>H320*R320*(1+O320)*(1+N320)*P320*Q320</f>
        <v>15555.424394098514</v>
      </c>
    </row>
    <row r="321" spans="1:20" x14ac:dyDescent="0.25">
      <c r="A321" s="6" t="s">
        <v>320</v>
      </c>
      <c r="B321" s="6" t="s">
        <v>123</v>
      </c>
      <c r="C321" s="6" t="s">
        <v>315</v>
      </c>
      <c r="D321" s="6" t="s">
        <v>316</v>
      </c>
      <c r="E321" s="7" t="s">
        <v>239</v>
      </c>
      <c r="F321" s="8">
        <v>212</v>
      </c>
      <c r="G321" s="8">
        <v>542</v>
      </c>
      <c r="H321" s="9">
        <f>(F321+G321)*(1+0.3+0.466+0.18+0.24)+311+1.2%*(10875*(1+0.2+0.2)+4780)</f>
        <v>2199.3040000000001</v>
      </c>
      <c r="K321" s="12">
        <v>0.441</v>
      </c>
      <c r="L321" s="12">
        <v>0</v>
      </c>
      <c r="M321" s="13">
        <v>0.8</v>
      </c>
      <c r="N321" s="13">
        <f>60.25%*2+K321+L321/2+2.3%*2</f>
        <v>1.6920000000000002</v>
      </c>
      <c r="O321" s="12">
        <f>0.466+0.15</f>
        <v>0.61599999999999999</v>
      </c>
      <c r="P321" s="8">
        <f t="shared" si="36"/>
        <v>0.5</v>
      </c>
      <c r="Q321" s="8">
        <v>0.9</v>
      </c>
      <c r="R321" s="12">
        <v>3.145</v>
      </c>
      <c r="S321" s="6" t="s">
        <v>321</v>
      </c>
      <c r="T321" s="9">
        <f>H321*R321*(1+O321)*(1+N321)*P321*Q321</f>
        <v>13540.504306776194</v>
      </c>
    </row>
    <row r="322" spans="1:20" x14ac:dyDescent="0.25">
      <c r="A322" s="6" t="s">
        <v>320</v>
      </c>
      <c r="B322" s="6" t="s">
        <v>126</v>
      </c>
      <c r="C322" s="6" t="s">
        <v>315</v>
      </c>
      <c r="D322" s="6" t="s">
        <v>316</v>
      </c>
      <c r="E322" s="7" t="s">
        <v>239</v>
      </c>
      <c r="F322" s="8">
        <v>212</v>
      </c>
      <c r="G322" s="8">
        <v>510</v>
      </c>
      <c r="H322" s="9">
        <f>(F322+G322)*(1+0.3+0.466+0.18+0.24)+311</f>
        <v>1889.2919999999999</v>
      </c>
      <c r="K322" s="12">
        <v>0.27600000000000002</v>
      </c>
      <c r="L322" s="12">
        <v>0</v>
      </c>
      <c r="M322" s="13">
        <f>60.25%+K322/2+L322/4</f>
        <v>0.74050000000000005</v>
      </c>
      <c r="N322" s="13">
        <f>60.25%*2+K322+L322/2</f>
        <v>1.4810000000000001</v>
      </c>
      <c r="O322" s="12">
        <f>0.466+0.15</f>
        <v>0.61599999999999999</v>
      </c>
      <c r="P322" s="8">
        <f t="shared" si="36"/>
        <v>0.5</v>
      </c>
      <c r="Q322" s="8">
        <v>0.9</v>
      </c>
      <c r="R322" s="12">
        <v>3.145</v>
      </c>
      <c r="S322" s="6" t="s">
        <v>321</v>
      </c>
      <c r="T322" s="9">
        <f>H322*R322*(1+O322)*(1+N322)*P322*Q322</f>
        <v>10720.137847395887</v>
      </c>
    </row>
    <row r="324" spans="1:20" x14ac:dyDescent="0.25">
      <c r="A324" s="6" t="s">
        <v>8</v>
      </c>
      <c r="B324" s="6" t="s">
        <v>9</v>
      </c>
      <c r="C324" s="6" t="s">
        <v>10</v>
      </c>
      <c r="D324" s="6" t="s">
        <v>11</v>
      </c>
      <c r="E324" s="7" t="s">
        <v>12</v>
      </c>
      <c r="F324" s="8" t="s">
        <v>13</v>
      </c>
      <c r="G324" s="8" t="s">
        <v>14</v>
      </c>
      <c r="H324" s="9" t="s">
        <v>15</v>
      </c>
      <c r="I324" s="10" t="s">
        <v>37</v>
      </c>
      <c r="J324" s="14" t="s">
        <v>322</v>
      </c>
      <c r="K324" s="12" t="s">
        <v>18</v>
      </c>
      <c r="L324" s="12" t="s">
        <v>19</v>
      </c>
      <c r="M324" s="13" t="s">
        <v>20</v>
      </c>
      <c r="N324" s="13" t="s">
        <v>21</v>
      </c>
      <c r="O324" s="12" t="s">
        <v>22</v>
      </c>
      <c r="P324" s="8" t="s">
        <v>23</v>
      </c>
      <c r="Q324" s="8" t="s">
        <v>24</v>
      </c>
      <c r="R324" s="12" t="s">
        <v>25</v>
      </c>
      <c r="S324" s="6" t="s">
        <v>26</v>
      </c>
      <c r="T324" s="9" t="s">
        <v>27</v>
      </c>
    </row>
    <row r="325" spans="1:20" x14ac:dyDescent="0.25">
      <c r="A325" s="6" t="s">
        <v>323</v>
      </c>
      <c r="B325" s="6" t="s">
        <v>39</v>
      </c>
      <c r="C325" s="6" t="s">
        <v>294</v>
      </c>
      <c r="D325" s="6" t="s">
        <v>324</v>
      </c>
      <c r="E325" s="7" t="s">
        <v>90</v>
      </c>
      <c r="F325" s="8">
        <v>191</v>
      </c>
      <c r="G325" s="8">
        <v>565</v>
      </c>
      <c r="H325" s="9">
        <f>(F325+G325)*(1+0.2)+311</f>
        <v>1218.1999999999998</v>
      </c>
      <c r="I325" s="19">
        <f>1+0.306+0.6+0.267</f>
        <v>2.173</v>
      </c>
      <c r="J325" s="10">
        <f>734*(1+0.062*6+0.3+0.583*2)</f>
        <v>2083.0920000000001</v>
      </c>
      <c r="K325" s="12">
        <v>0</v>
      </c>
      <c r="L325" s="12">
        <v>0</v>
      </c>
      <c r="M325" s="13">
        <v>0.6</v>
      </c>
      <c r="N325" s="13" t="s">
        <v>43</v>
      </c>
      <c r="O325" s="12" t="s">
        <v>44</v>
      </c>
      <c r="P325" s="8">
        <f t="shared" si="36"/>
        <v>0.5</v>
      </c>
      <c r="Q325" s="8">
        <v>0.9</v>
      </c>
      <c r="R325" s="12" t="s">
        <v>44</v>
      </c>
      <c r="S325" s="6" t="s">
        <v>44</v>
      </c>
      <c r="T325" s="9" t="s">
        <v>43</v>
      </c>
    </row>
    <row r="326" spans="1:20" x14ac:dyDescent="0.25">
      <c r="A326" s="6" t="s">
        <v>323</v>
      </c>
      <c r="B326" s="6" t="s">
        <v>105</v>
      </c>
      <c r="C326" s="6" t="s">
        <v>294</v>
      </c>
      <c r="D326" s="6" t="s">
        <v>76</v>
      </c>
      <c r="E326" s="7" t="s">
        <v>90</v>
      </c>
      <c r="F326" s="8">
        <v>191</v>
      </c>
      <c r="G326" s="8">
        <v>565</v>
      </c>
      <c r="H326" s="9">
        <f>(F326+G326)*(1+0.2)+311</f>
        <v>1218.1999999999998</v>
      </c>
      <c r="I326" s="19">
        <f>1+0.7+0.267</f>
        <v>1.9670000000000001</v>
      </c>
      <c r="J326" s="10">
        <f>734*(1+0.062*6+0.3+0.583*3)</f>
        <v>2511.0139999999997</v>
      </c>
      <c r="K326" s="12">
        <v>0</v>
      </c>
      <c r="L326" s="12">
        <v>0</v>
      </c>
      <c r="M326" s="13" t="s">
        <v>43</v>
      </c>
      <c r="N326" s="13" t="s">
        <v>43</v>
      </c>
      <c r="O326" s="12" t="s">
        <v>44</v>
      </c>
      <c r="P326" s="8">
        <f t="shared" si="36"/>
        <v>0.5</v>
      </c>
      <c r="Q326" s="8">
        <v>0.9</v>
      </c>
      <c r="R326" s="12" t="s">
        <v>44</v>
      </c>
      <c r="S326" s="6" t="s">
        <v>44</v>
      </c>
      <c r="T326" s="9" t="s">
        <v>43</v>
      </c>
    </row>
  </sheetData>
  <mergeCells count="14">
    <mergeCell ref="A68:T68"/>
    <mergeCell ref="A117:T117"/>
    <mergeCell ref="A155:T155"/>
    <mergeCell ref="A289:T289"/>
    <mergeCell ref="A7:E9"/>
    <mergeCell ref="F7:I9"/>
    <mergeCell ref="J7:N9"/>
    <mergeCell ref="O7:T9"/>
    <mergeCell ref="A2:E6"/>
    <mergeCell ref="F2:I6"/>
    <mergeCell ref="J2:N6"/>
    <mergeCell ref="O2:T6"/>
    <mergeCell ref="A1:T1"/>
    <mergeCell ref="A10:T10"/>
  </mergeCells>
  <phoneticPr fontId="6" type="noConversion"/>
  <pageMargins left="0.75" right="0.75" top="1" bottom="1" header="0.51180555555555551" footer="0.511805555555555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topLeftCell="A55" zoomScaleSheetLayoutView="100" workbookViewId="0">
      <selection activeCell="D88" sqref="D88"/>
    </sheetView>
  </sheetViews>
  <sheetFormatPr defaultColWidth="9" defaultRowHeight="15" x14ac:dyDescent="0.25"/>
  <sheetData>
    <row r="1" spans="1:1" x14ac:dyDescent="0.25">
      <c r="A1" t="s">
        <v>325</v>
      </c>
    </row>
    <row r="2" spans="1:1" x14ac:dyDescent="0.25">
      <c r="A2" t="s">
        <v>326</v>
      </c>
    </row>
    <row r="3" spans="1:1" x14ac:dyDescent="0.25">
      <c r="A3" t="s">
        <v>327</v>
      </c>
    </row>
    <row r="4" spans="1:1" x14ac:dyDescent="0.25">
      <c r="A4" t="s">
        <v>328</v>
      </c>
    </row>
    <row r="5" spans="1:1" x14ac:dyDescent="0.25">
      <c r="A5" t="s">
        <v>329</v>
      </c>
    </row>
    <row r="6" spans="1:1" x14ac:dyDescent="0.25">
      <c r="A6" t="s">
        <v>330</v>
      </c>
    </row>
    <row r="7" spans="1:1" x14ac:dyDescent="0.25">
      <c r="A7" t="s">
        <v>331</v>
      </c>
    </row>
    <row r="9" spans="1:1" x14ac:dyDescent="0.25">
      <c r="A9" t="s">
        <v>332</v>
      </c>
    </row>
    <row r="10" spans="1:1" x14ac:dyDescent="0.25">
      <c r="A10" s="1" t="s">
        <v>333</v>
      </c>
    </row>
    <row r="11" spans="1:1" x14ac:dyDescent="0.25">
      <c r="A11" s="1" t="s">
        <v>334</v>
      </c>
    </row>
    <row r="12" spans="1:1" x14ac:dyDescent="0.25">
      <c r="A12" s="2" t="s">
        <v>335</v>
      </c>
    </row>
    <row r="13" spans="1:1" x14ac:dyDescent="0.25">
      <c r="A13" s="2" t="s">
        <v>336</v>
      </c>
    </row>
    <row r="14" spans="1:1" x14ac:dyDescent="0.25">
      <c r="A14" s="2" t="s">
        <v>337</v>
      </c>
    </row>
    <row r="15" spans="1:1" x14ac:dyDescent="0.25">
      <c r="A15" s="2" t="s">
        <v>338</v>
      </c>
    </row>
    <row r="16" spans="1:1" x14ac:dyDescent="0.25">
      <c r="A16" s="2" t="s">
        <v>339</v>
      </c>
    </row>
    <row r="17" spans="1:1" x14ac:dyDescent="0.25">
      <c r="A17" s="2" t="s">
        <v>340</v>
      </c>
    </row>
    <row r="19" spans="1:1" x14ac:dyDescent="0.25">
      <c r="A19" t="s">
        <v>341</v>
      </c>
    </row>
    <row r="20" spans="1:1" x14ac:dyDescent="0.25">
      <c r="A20" t="s">
        <v>342</v>
      </c>
    </row>
    <row r="23" spans="1:1" x14ac:dyDescent="0.25">
      <c r="A23" s="1" t="s">
        <v>343</v>
      </c>
    </row>
    <row r="24" spans="1:1" x14ac:dyDescent="0.25">
      <c r="A24" s="1" t="s">
        <v>344</v>
      </c>
    </row>
    <row r="25" spans="1:1" x14ac:dyDescent="0.25">
      <c r="A25" s="1" t="s">
        <v>345</v>
      </c>
    </row>
    <row r="26" spans="1:1" x14ac:dyDescent="0.25">
      <c r="A26" s="1" t="s">
        <v>346</v>
      </c>
    </row>
    <row r="29" spans="1:1" x14ac:dyDescent="0.25">
      <c r="A29" s="1" t="s">
        <v>347</v>
      </c>
    </row>
    <row r="30" spans="1:1" x14ac:dyDescent="0.25">
      <c r="A30" s="1" t="s">
        <v>348</v>
      </c>
    </row>
    <row r="31" spans="1:1" x14ac:dyDescent="0.25">
      <c r="A31" s="1" t="s">
        <v>349</v>
      </c>
    </row>
    <row r="32" spans="1:1" x14ac:dyDescent="0.25">
      <c r="A32" s="1" t="s">
        <v>350</v>
      </c>
    </row>
    <row r="33" spans="1:1" x14ac:dyDescent="0.25">
      <c r="A33" s="1" t="s">
        <v>351</v>
      </c>
    </row>
    <row r="34" spans="1:1" x14ac:dyDescent="0.25">
      <c r="A34" s="1" t="s">
        <v>352</v>
      </c>
    </row>
    <row r="35" spans="1:1" x14ac:dyDescent="0.25">
      <c r="A35" s="1" t="s">
        <v>353</v>
      </c>
    </row>
    <row r="38" spans="1:1" x14ac:dyDescent="0.25">
      <c r="A38" s="1" t="s">
        <v>354</v>
      </c>
    </row>
    <row r="39" spans="1:1" x14ac:dyDescent="0.25">
      <c r="A39" s="1" t="s">
        <v>355</v>
      </c>
    </row>
    <row r="40" spans="1:1" x14ac:dyDescent="0.25">
      <c r="A40" s="1" t="s">
        <v>356</v>
      </c>
    </row>
    <row r="41" spans="1:1" x14ac:dyDescent="0.25">
      <c r="A41" s="1" t="s">
        <v>357</v>
      </c>
    </row>
    <row r="42" spans="1:1" x14ac:dyDescent="0.25">
      <c r="A42" s="1" t="s">
        <v>358</v>
      </c>
    </row>
    <row r="43" spans="1:1" x14ac:dyDescent="0.25">
      <c r="A43" s="1" t="s">
        <v>359</v>
      </c>
    </row>
    <row r="44" spans="1:1" x14ac:dyDescent="0.25">
      <c r="A44" s="1" t="s">
        <v>360</v>
      </c>
    </row>
    <row r="45" spans="1:1" x14ac:dyDescent="0.25">
      <c r="A45" s="1" t="s">
        <v>361</v>
      </c>
    </row>
    <row r="46" spans="1:1" x14ac:dyDescent="0.25">
      <c r="A46" s="1" t="s">
        <v>362</v>
      </c>
    </row>
    <row r="48" spans="1:1" x14ac:dyDescent="0.25">
      <c r="A48" s="1" t="s">
        <v>363</v>
      </c>
    </row>
    <row r="49" spans="1:1" x14ac:dyDescent="0.25">
      <c r="A49" s="1" t="s">
        <v>364</v>
      </c>
    </row>
    <row r="50" spans="1:1" x14ac:dyDescent="0.25">
      <c r="A50" s="1" t="s">
        <v>365</v>
      </c>
    </row>
    <row r="51" spans="1:1" x14ac:dyDescent="0.25">
      <c r="A51" s="1" t="s">
        <v>366</v>
      </c>
    </row>
    <row r="53" spans="1:1" x14ac:dyDescent="0.25">
      <c r="A53" s="1" t="s">
        <v>367</v>
      </c>
    </row>
    <row r="54" spans="1:1" x14ac:dyDescent="0.25">
      <c r="A54" s="1" t="s">
        <v>368</v>
      </c>
    </row>
    <row r="55" spans="1:1" x14ac:dyDescent="0.25">
      <c r="A55" s="1" t="s">
        <v>369</v>
      </c>
    </row>
    <row r="56" spans="1:1" x14ac:dyDescent="0.25">
      <c r="A56" s="1" t="s">
        <v>370</v>
      </c>
    </row>
    <row r="57" spans="1:1" x14ac:dyDescent="0.25">
      <c r="A57" s="1" t="s">
        <v>371</v>
      </c>
    </row>
    <row r="58" spans="1:1" x14ac:dyDescent="0.25">
      <c r="A58" s="1" t="s">
        <v>372</v>
      </c>
    </row>
    <row r="59" spans="1:1" x14ac:dyDescent="0.25">
      <c r="A59" s="1" t="s">
        <v>373</v>
      </c>
    </row>
    <row r="60" spans="1:1" x14ac:dyDescent="0.25">
      <c r="A60" s="1" t="s">
        <v>374</v>
      </c>
    </row>
    <row r="61" spans="1:1" x14ac:dyDescent="0.25">
      <c r="A61" s="1" t="s">
        <v>375</v>
      </c>
    </row>
    <row r="62" spans="1:1" x14ac:dyDescent="0.25">
      <c r="A62" s="1" t="s">
        <v>376</v>
      </c>
    </row>
    <row r="63" spans="1:1" x14ac:dyDescent="0.25">
      <c r="A63" s="1" t="s">
        <v>377</v>
      </c>
    </row>
    <row r="64" spans="1:1" x14ac:dyDescent="0.25">
      <c r="A64" s="1" t="s">
        <v>378</v>
      </c>
    </row>
    <row r="66" spans="1:1" x14ac:dyDescent="0.25">
      <c r="A66" t="s">
        <v>379</v>
      </c>
    </row>
    <row r="67" spans="1:1" x14ac:dyDescent="0.25">
      <c r="A67" s="1" t="s">
        <v>380</v>
      </c>
    </row>
    <row r="68" spans="1:1" x14ac:dyDescent="0.25">
      <c r="A68" s="1" t="s">
        <v>381</v>
      </c>
    </row>
    <row r="69" spans="1:1" x14ac:dyDescent="0.25">
      <c r="A69" s="2" t="s">
        <v>382</v>
      </c>
    </row>
    <row r="70" spans="1:1" x14ac:dyDescent="0.25">
      <c r="A70" s="2" t="s">
        <v>383</v>
      </c>
    </row>
    <row r="71" spans="1:1" x14ac:dyDescent="0.25">
      <c r="A71" s="1" t="s">
        <v>384</v>
      </c>
    </row>
    <row r="72" spans="1:1" x14ac:dyDescent="0.25">
      <c r="A72" s="1" t="s">
        <v>385</v>
      </c>
    </row>
    <row r="74" spans="1:1" x14ac:dyDescent="0.25">
      <c r="A74" s="3">
        <v>3.1</v>
      </c>
    </row>
    <row r="75" spans="1:1" x14ac:dyDescent="0.25">
      <c r="A75" s="61" t="s">
        <v>404</v>
      </c>
    </row>
    <row r="76" spans="1:1" x14ac:dyDescent="0.25">
      <c r="A76" t="s">
        <v>386</v>
      </c>
    </row>
    <row r="77" spans="1:1" x14ac:dyDescent="0.25">
      <c r="A77" t="s">
        <v>387</v>
      </c>
    </row>
    <row r="78" spans="1:1" x14ac:dyDescent="0.25">
      <c r="A78" s="61" t="s">
        <v>399</v>
      </c>
    </row>
    <row r="79" spans="1:1" x14ac:dyDescent="0.25">
      <c r="A79" s="61" t="s">
        <v>403</v>
      </c>
    </row>
    <row r="80" spans="1:1" x14ac:dyDescent="0.25">
      <c r="A80" s="61" t="s">
        <v>405</v>
      </c>
    </row>
    <row r="81" spans="1:1" x14ac:dyDescent="0.25">
      <c r="A81" s="61" t="s">
        <v>407</v>
      </c>
    </row>
    <row r="83" spans="1:1" x14ac:dyDescent="0.25">
      <c r="A83">
        <v>3.2</v>
      </c>
    </row>
    <row r="84" spans="1:1" x14ac:dyDescent="0.25">
      <c r="A84" s="61" t="s">
        <v>416</v>
      </c>
    </row>
    <row r="85" spans="1:1" x14ac:dyDescent="0.25">
      <c r="A85" s="61" t="s">
        <v>420</v>
      </c>
    </row>
    <row r="86" spans="1:1" x14ac:dyDescent="0.25">
      <c r="A86" s="61" t="s">
        <v>419</v>
      </c>
    </row>
  </sheetData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2022-11-06T07:37:57Z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F407ECE881A546CD98760BC1B2D32BB7</vt:lpwstr>
  </property>
</Properties>
</file>