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<sst xmlns="http://schemas.openxmlformats.org/spreadsheetml/2006/main" count="8" uniqueCount="8">
  <si>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Ames</t>
  </si>
  <si>
    <t>Cedar Rapids</t>
  </si>
  <si>
    <t>Davenport</t>
  </si>
  <si>
    <t>Des Moines</t>
  </si>
  <si>
    <t>Iowa City</t>
  </si>
  <si>
    <t>Mt. Pisgah</t>
  </si>
  <si>
    <t>Nauvoo</t>
  </si>
  <si>
    <t>Peoria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</si>
</sst>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 Narrow"/>
    </font>
    <font>
      <sz val="8.0"/>
      <color theme="1"/>
      <name val="Arial Narrow"/>
    </font>
  </fonts>
  <fills count="2">
    <fill>
      <patternFill patternType="none"/>
    </fill>
    <fill>
      <patternFill patternType="lightGray"/>
    </fill>
  </fills>
  <borders count="24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textRotation="0" vertical="center" wrapText="0"/>
    </xf>
    <xf borderId="1" fillId="0" fontId="2" numFmtId="0" xfId="0" applyBorder="1" applyFont="1"/>
    <xf borderId="2" fillId="0" fontId="3" numFmtId="0" xfId="0" applyAlignment="1" applyBorder="1" applyFont="1">
      <alignment horizontal="center" readingOrder="0" textRotation="90" vertical="center"/>
    </xf>
    <xf borderId="3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4" numFmtId="0" xfId="0" applyAlignment="1" applyBorder="1" applyFont="1">
      <alignment horizontal="center" vertical="center"/>
    </xf>
    <xf borderId="6" fillId="0" fontId="2" numFmtId="0" xfId="0" applyBorder="1" applyFont="1"/>
    <xf borderId="7" fillId="0" fontId="5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vertical="center"/>
    </xf>
    <xf borderId="14" fillId="0" fontId="2" numFmtId="0" xfId="0" applyBorder="1" applyFont="1"/>
    <xf borderId="15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17" fillId="0" fontId="2" numFmtId="0" xfId="0" applyBorder="1" applyFont="1"/>
    <xf borderId="18" fillId="0" fontId="5" numFmtId="0" xfId="0" applyAlignment="1" applyBorder="1" applyFont="1">
      <alignment horizontal="center" vertical="center"/>
    </xf>
    <xf borderId="19" fillId="0" fontId="5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5" numFmtId="0" xfId="0" applyAlignment="1" applyBorder="1" applyFont="1">
      <alignment horizontal="center" vertical="center"/>
    </xf>
    <xf borderId="22" fillId="0" fontId="2" numFmtId="0" xfId="0" applyBorder="1" applyFont="1"/>
    <xf borderId="23" fillId="0" fontId="3" numFmtId="0" xfId="0" applyAlignment="1" applyBorder="1" applyFont="1">
      <alignment horizontal="center" readingOrder="0" textRotation="90" vertical="center"/>
    </xf>
  </cellXfs>
  <cellStyles count="1">
    <cellStyle xfId="0" name="Normal" builtinId="0"/>
  </cellStyles>
  <dxfs count="11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CCE6"/>
          <bgColor rgb="FFFFCCE6"/>
        </patternFill>
      </fill>
      <border/>
    </dxf>
    <dxf>
      <font/>
      <fill>
        <patternFill patternType="solid">
          <fgColor rgb="FFBCE9FF"/>
          <bgColor rgb="FFBCE9FF"/>
        </patternFill>
      </fill>
      <border/>
    </dxf>
    <dxf>
      <font/>
      <fill>
        <patternFill patternType="solid">
          <fgColor rgb="FFFF8A42"/>
          <bgColor rgb="FFFF8A42"/>
        </patternFill>
      </fill>
      <border/>
    </dxf>
    <dxf>
      <font>
        <color rgb="FF000000"/>
      </font>
      <fill>
        <patternFill patternType="solid">
          <fgColor rgb="FFD1AED6"/>
          <bgColor rgb="FFD1AED6"/>
        </patternFill>
      </fill>
      <border/>
    </dxf>
    <dxf>
      <font>
        <color rgb="FF000000"/>
      </font>
      <fill>
        <patternFill patternType="solid">
          <fgColor rgb="FF6EC961"/>
          <bgColor rgb="FF6EC961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7CE2DC"/>
          <bgColor rgb="FF7CE2DC"/>
        </patternFill>
      </fill>
      <border/>
    </dxf>
    <dxf>
      <font/>
      <fill>
        <patternFill patternType="solid">
          <fgColor rgb="FFCA6D94"/>
          <bgColor rgb="FFCA6D94"/>
        </patternFill>
      </fill>
      <border/>
    </dxf>
    <dxf>
      <font/>
      <fill>
        <patternFill patternType="solid">
          <fgColor rgb="FFD0F881"/>
          <bgColor rgb="FFD0F88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.29"/>
    <col customWidth="1" min="2" max="2" width="4.14"/>
    <col customWidth="1" min="3" max="3" width="13.86"/>
    <col customWidth="1" min="4" max="4" width="4.14"/>
    <col customWidth="1" min="5" max="5" width="13.86"/>
    <col customWidth="1" min="6" max="6" width="4.14"/>
    <col customWidth="1" min="7" max="7" width="13.86"/>
    <col customWidth="1" min="8" max="8" width="4.14"/>
    <col customWidth="1" min="9" max="9" width="13.86"/>
    <col customWidth="1" min="10" max="10" width="4.14"/>
    <col customWidth="1" min="11" max="11" width="13.86"/>
    <col customWidth="1" min="12" max="12" width="4.14"/>
    <col customWidth="1" min="13" max="13" width="13.86"/>
    <col customWidth="1" min="14" max="14" width="4.14"/>
    <col customWidth="1" min="15" max="15" width="13.86"/>
  </cols>
  <sheetData>
    <row r="1" ht="27.0" customHeight="1">
      <c r="A1" s="1" t="str">
        <f>"IICM Directory - "&amp;TEXT(today(),"MMM DD, YYYY")</f>
        <v>IICM Directory - Sep 08, 2020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0.5" customHeight="1">
      <c r="A2" s="3" t="s">
        <v>0</v>
      </c>
      <c r="B2" s="4" t="str">
        <f>IFERROR(__xludf.DUMMYFUNCTION("spillArrayByArea(""Ames 1"",IMPORTRANGE(""https://docs.google.com/spreadsheets/d/1kxPf4UHMcRerizZzfL8mTPSKpdGTJRWtz7_Z2hDQmcQ/edit#gid=615767414"",""'Contacts'!A1:Q""))"),"Ames 1")</f>
        <v>Ames 1</v>
      </c>
      <c r="C2" s="5"/>
      <c r="D2" s="6" t="str">
        <f>IFERROR(__xludf.DUMMYFUNCTION("spillArrayByArea(""Ames 2"",IMPORTRANGE(""https://docs.google.com/spreadsheets/d/1kxPf4UHMcRerizZzfL8mTPSKpdGTJRWtz7_Z2hDQmcQ/edit#gid=615767414"",""'Contacts'!A1:Q""))"),"Ames 2")</f>
        <v>Ames 2</v>
      </c>
      <c r="E2" s="5"/>
      <c r="F2" s="6" t="str">
        <f>IFERROR(__xludf.DUMMYFUNCTION("spillArrayByArea(""Boone"",IMPORTRANGE(""https://docs.google.com/spreadsheets/d/1kxPf4UHMcRerizZzfL8mTPSKpdGTJRWtz7_Z2hDQmcQ/edit#gid=615767414"",""'Contacts'!A1:Q""))"),"Boone")</f>
        <v>Boone</v>
      </c>
      <c r="G2" s="5"/>
      <c r="H2" s="6" t="str">
        <f>IFERROR(__xludf.DUMMYFUNCTION("spillArrayByArea(""Carroll"",IMPORTRANGE(""https://docs.google.com/spreadsheets/d/1kxPf4UHMcRerizZzfL8mTPSKpdGTJRWtz7_Z2hDQmcQ/edit#gid=615767414"",""'Contacts'!A1:Q""))"),"Carroll")</f>
        <v>Carroll</v>
      </c>
      <c r="I2" s="5"/>
      <c r="J2" s="6" t="str">
        <f>IFERROR(__xludf.DUMMYFUNCTION("spillArrayByArea(""Fort Dodge (A)"",IMPORTRANGE(""https://docs.google.com/spreadsheets/d/1kxPf4UHMcRerizZzfL8mTPSKpdGTJRWtz7_Z2hDQmcQ/edit#gid=615767414"",""'Contacts'!A1:Q""))"),"Fort Dodge (A)")</f>
        <v>Fort Dodge (A)</v>
      </c>
      <c r="K2" s="5"/>
      <c r="L2" s="6" t="str">
        <f>IFERROR(__xludf.DUMMYFUNCTION("spillArrayByArea(""Fort Dodge (B)"",IMPORTRANGE(""https://docs.google.com/spreadsheets/d/1kxPf4UHMcRerizZzfL8mTPSKpdGTJRWtz7_Z2hDQmcQ/edit#gid=615767414"",""'Contacts'!A1:Q""))"),"Fort Dodge (B)")</f>
        <v>Fort Dodge (B)</v>
      </c>
      <c r="M2" s="5"/>
      <c r="N2" s="6" t="str">
        <f>IFERROR(__xludf.DUMMYFUNCTION("spillArrayByArea(""Marshalltown (A)"",IMPORTRANGE(""https://docs.google.com/spreadsheets/d/1kxPf4UHMcRerizZzfL8mTPSKpdGTJRWtz7_Z2hDQmcQ/edit#gid=615767414"",""'Contacts'!A1:Q""))"),"Marshalltown (A)")</f>
        <v>Marshalltown (A)</v>
      </c>
      <c r="O2" s="5"/>
    </row>
    <row r="3" ht="10.5" customHeight="1">
      <c r="A3" s="7"/>
      <c r="B3" s="8" t="str">
        <f>IFERROR(__xludf.DUMMYFUNCTION("""COMPUTED_VALUE"""),"ZL2")</f>
        <v>ZL2</v>
      </c>
      <c r="C3" s="9" t="str">
        <f>IFERROR(__xludf.DUMMYFUNCTION("""COMPUTED_VALUE"""),"Coffey")</f>
        <v>Coffey</v>
      </c>
      <c r="D3" s="10" t="str">
        <f>IFERROR(__xludf.DUMMYFUNCTION("""COMPUTED_VALUE""")," JC ")</f>
        <v> JC </v>
      </c>
      <c r="E3" s="9" t="str">
        <f>IFERROR(__xludf.DUMMYFUNCTION("""COMPUTED_VALUE"""),"Baker")</f>
        <v>Baker</v>
      </c>
      <c r="F3" s="10" t="str">
        <f>IFERROR(__xludf.DUMMYFUNCTION("""COMPUTED_VALUE""")," JC ")</f>
        <v> JC </v>
      </c>
      <c r="G3" s="9" t="str">
        <f>IFERROR(__xludf.DUMMYFUNCTION("""COMPUTED_VALUE"""),"Fiame")</f>
        <v>Fiame</v>
      </c>
      <c r="H3" s="10" t="str">
        <f>IFERROR(__xludf.DUMMYFUNCTION("""COMPUTED_VALUE"""),"DL")</f>
        <v>DL</v>
      </c>
      <c r="I3" s="9" t="str">
        <f>IFERROR(__xludf.DUMMYFUNCTION("""COMPUTED_VALUE"""),"Hinckley")</f>
        <v>Hinckley</v>
      </c>
      <c r="J3" s="10" t="str">
        <f>IFERROR(__xludf.DUMMYFUNCTION("""COMPUTED_VALUE"""),"JC")</f>
        <v>JC</v>
      </c>
      <c r="K3" s="9" t="str">
        <f>IFERROR(__xludf.DUMMYFUNCTION("""COMPUTED_VALUE"""),"Bronson")</f>
        <v>Bronson</v>
      </c>
      <c r="L3" s="10" t="str">
        <f>IFERROR(__xludf.DUMMYFUNCTION("""COMPUTED_VALUE"""),"DT")</f>
        <v>DT</v>
      </c>
      <c r="M3" s="9" t="str">
        <f>IFERROR(__xludf.DUMMYFUNCTION("""COMPUTED_VALUE"""),"Ireland")</f>
        <v>Ireland</v>
      </c>
      <c r="N3" s="10" t="str">
        <f>IFERROR(__xludf.DUMMYFUNCTION("""COMPUTED_VALUE""")," STL2 ")</f>
        <v> STL2 </v>
      </c>
      <c r="O3" s="9" t="str">
        <f>IFERROR(__xludf.DUMMYFUNCTION("""COMPUTED_VALUE"""),"Heiner")</f>
        <v>Heiner</v>
      </c>
    </row>
    <row r="4" ht="10.5" customHeight="1">
      <c r="A4" s="7"/>
      <c r="B4" s="11" t="str">
        <f>IFERROR(__xludf.DUMMYFUNCTION("""COMPUTED_VALUE"""),"JC")</f>
        <v>JC</v>
      </c>
      <c r="C4" s="12" t="str">
        <f>IFERROR(__xludf.DUMMYFUNCTION("""COMPUTED_VALUE"""),"Haupeakui")</f>
        <v>Haupeakui</v>
      </c>
      <c r="D4" s="13" t="str">
        <f>IFERROR(__xludf.DUMMYFUNCTION("""COMPUTED_VALUE""")," TR ")</f>
        <v> TR </v>
      </c>
      <c r="E4" s="12" t="str">
        <f>IFERROR(__xludf.DUMMYFUNCTION("""COMPUTED_VALUE"""),"Hill")</f>
        <v>Hill</v>
      </c>
      <c r="F4" s="13" t="str">
        <f>IFERROR(__xludf.DUMMYFUNCTION("""COMPUTED_VALUE""")," TR ")</f>
        <v> TR </v>
      </c>
      <c r="G4" s="12" t="str">
        <f>IFERROR(__xludf.DUMMYFUNCTION("""COMPUTED_VALUE"""),"Merrill")</f>
        <v>Merrill</v>
      </c>
      <c r="H4" s="13" t="str">
        <f>IFERROR(__xludf.DUMMYFUNCTION("""COMPUTED_VALUE"""),"JC")</f>
        <v>JC</v>
      </c>
      <c r="I4" s="12" t="str">
        <f>IFERROR(__xludf.DUMMYFUNCTION("""COMPUTED_VALUE"""),"Robbins")</f>
        <v>Robbins</v>
      </c>
      <c r="J4" s="13" t="str">
        <f>IFERROR(__xludf.DUMMYFUNCTION("""COMPUTED_VALUE"""),"DL")</f>
        <v>DL</v>
      </c>
      <c r="K4" s="12" t="str">
        <f>IFERROR(__xludf.DUMMYFUNCTION("""COMPUTED_VALUE"""),"Steed")</f>
        <v>Steed</v>
      </c>
      <c r="L4" s="13" t="str">
        <f>IFERROR(__xludf.DUMMYFUNCTION("""COMPUTED_VALUE"""),"JC")</f>
        <v>JC</v>
      </c>
      <c r="M4" s="12" t="str">
        <f>IFERROR(__xludf.DUMMYFUNCTION("""COMPUTED_VALUE"""),"Lombard")</f>
        <v>Lombard</v>
      </c>
      <c r="N4" s="13" t="str">
        <f>IFERROR(__xludf.DUMMYFUNCTION("""COMPUTED_VALUE""")," STL1 ")</f>
        <v> STL1 </v>
      </c>
      <c r="O4" s="12" t="str">
        <f>IFERROR(__xludf.DUMMYFUNCTION("""COMPUTED_VALUE"""),"Johnston")</f>
        <v>Johnston</v>
      </c>
    </row>
    <row r="5" ht="10.5" customHeight="1">
      <c r="A5" s="7"/>
      <c r="B5" s="11"/>
      <c r="C5" s="12"/>
      <c r="D5" s="14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</row>
    <row r="6" ht="10.5" customHeight="1">
      <c r="A6" s="7"/>
      <c r="B6" s="15" t="str">
        <f>IFERROR(__xludf.DUMMYFUNCTION("""COMPUTED_VALUE"""),"1305 Duff Ave.")</f>
        <v>1305 Duff Ave.</v>
      </c>
      <c r="C6" s="16"/>
      <c r="D6" s="17" t="str">
        <f>IFERROR(__xludf.DUMMYFUNCTION("""COMPUTED_VALUE"""),"3132 Briarhaven Rd. #267")</f>
        <v>3132 Briarhaven Rd. #267</v>
      </c>
      <c r="E6" s="16"/>
      <c r="F6" s="17" t="str">
        <f>IFERROR(__xludf.DUMMYFUNCTION("""COMPUTED_VALUE"""),"1026 Hancock Dr. #12")</f>
        <v>1026 Hancock Dr. #12</v>
      </c>
      <c r="G6" s="16"/>
      <c r="H6" s="17" t="str">
        <f>IFERROR(__xludf.DUMMYFUNCTION("""COMPUTED_VALUE"""),"714 N Clark St. #1")</f>
        <v>714 N Clark St. #1</v>
      </c>
      <c r="I6" s="16"/>
      <c r="J6" s="17" t="str">
        <f>IFERROR(__xludf.DUMMYFUNCTION("""COMPUTED_VALUE"""),"520 S 12th St.")</f>
        <v>520 S 12th St.</v>
      </c>
      <c r="K6" s="16"/>
      <c r="L6" s="17" t="str">
        <f>IFERROR(__xludf.DUMMYFUNCTION("""COMPUTED_VALUE"""),"520 S 12th St.")</f>
        <v>520 S 12th St.</v>
      </c>
      <c r="M6" s="16"/>
      <c r="N6" s="17" t="str">
        <f>IFERROR(__xludf.DUMMYFUNCTION("""COMPUTED_VALUE"""),"1606 W Lincoln Way")</f>
        <v>1606 W Lincoln Way</v>
      </c>
      <c r="O6" s="16"/>
    </row>
    <row r="7" ht="10.5" customHeight="1">
      <c r="A7" s="7"/>
      <c r="B7" s="18" t="str">
        <f>IFERROR(__xludf.DUMMYFUNCTION("""COMPUTED_VALUE"""),"Ames, IA 50010")</f>
        <v>Ames, IA 50010</v>
      </c>
      <c r="C7" s="19"/>
      <c r="D7" s="20" t="str">
        <f>IFERROR(__xludf.DUMMYFUNCTION("""COMPUTED_VALUE"""),"Ames, IA 50014")</f>
        <v>Ames, IA 50014</v>
      </c>
      <c r="E7" s="19"/>
      <c r="F7" s="20" t="str">
        <f>IFERROR(__xludf.DUMMYFUNCTION("""COMPUTED_VALUE"""),"Boone, IA 50036")</f>
        <v>Boone, IA 50036</v>
      </c>
      <c r="G7" s="19"/>
      <c r="H7" s="20" t="str">
        <f>IFERROR(__xludf.DUMMYFUNCTION("""COMPUTED_VALUE"""),"Carroll, IA 51401")</f>
        <v>Carroll, IA 51401</v>
      </c>
      <c r="I7" s="19"/>
      <c r="J7" s="20" t="str">
        <f>IFERROR(__xludf.DUMMYFUNCTION("""COMPUTED_VALUE"""),"Fort Dodge, IA 50501")</f>
        <v>Fort Dodge, IA 50501</v>
      </c>
      <c r="K7" s="19"/>
      <c r="L7" s="20" t="str">
        <f>IFERROR(__xludf.DUMMYFUNCTION("""COMPUTED_VALUE"""),"Fort Dodge, IA 50501")</f>
        <v>Fort Dodge, IA 50501</v>
      </c>
      <c r="M7" s="19"/>
      <c r="N7" s="20" t="str">
        <f>IFERROR(__xludf.DUMMYFUNCTION("""COMPUTED_VALUE"""),"Marshalltown, IA 50158")</f>
        <v>Marshalltown, IA 50158</v>
      </c>
      <c r="O7" s="19"/>
    </row>
    <row r="8" ht="10.5" customHeight="1">
      <c r="A8" s="7"/>
      <c r="B8" s="21" t="str">
        <f>IFERROR(__xludf.DUMMYFUNCTION("""COMPUTED_VALUE"""),"+1 515-451-9490")</f>
        <v>+1 515-451-9490</v>
      </c>
      <c r="C8" s="22"/>
      <c r="D8" s="23" t="str">
        <f>IFERROR(__xludf.DUMMYFUNCTION("""COMPUTED_VALUE"""),"+1 515-451-7980")</f>
        <v>+1 515-451-7980</v>
      </c>
      <c r="E8" s="22"/>
      <c r="F8" s="23" t="str">
        <f>IFERROR(__xludf.DUMMYFUNCTION("""COMPUTED_VALUE"""),"+1 515-212-9747")</f>
        <v>+1 515-212-9747</v>
      </c>
      <c r="G8" s="22"/>
      <c r="H8" s="23" t="str">
        <f>IFERROR(__xludf.DUMMYFUNCTION("""COMPUTED_VALUE"""),"+1 712-204-7112")</f>
        <v>+1 712-204-7112</v>
      </c>
      <c r="I8" s="22"/>
      <c r="J8" s="23" t="str">
        <f>IFERROR(__xludf.DUMMYFUNCTION("""COMPUTED_VALUE"""),"+1 515-556-2224")</f>
        <v>+1 515-556-2224</v>
      </c>
      <c r="K8" s="22"/>
      <c r="L8" s="23" t="str">
        <f>IFERROR(__xludf.DUMMYFUNCTION("""COMPUTED_VALUE"""),"+1 515-227-1330")</f>
        <v>+1 515-227-1330</v>
      </c>
      <c r="M8" s="22"/>
      <c r="N8" s="23" t="str">
        <f>IFERROR(__xludf.DUMMYFUNCTION("""COMPUTED_VALUE"""),"+1 641-351-8337")</f>
        <v>+1 641-351-8337</v>
      </c>
      <c r="O8" s="22"/>
    </row>
    <row r="9" ht="10.5" customHeight="1">
      <c r="A9" s="7"/>
      <c r="B9" s="4" t="str">
        <f>IFERROR(__xludf.DUMMYFUNCTION("spillArrayByArea(""Marshalltown (B)"",IMPORTRANGE(""https://docs.google.com/spreadsheets/d/1kxPf4UHMcRerizZzfL8mTPSKpdGTJRWtz7_Z2hDQmcQ/edit#gid=615767414"",""'Contacts'!A1:Q""))"),"Marshalltown (B)")</f>
        <v>Marshalltown (B)</v>
      </c>
      <c r="C9" s="5"/>
      <c r="D9" s="6" t="str">
        <f>IFERROR(__xludf.DUMMYFUNCTION("spillArrayByArea(""Mason City (A)"",IMPORTRANGE(""https://docs.google.com/spreadsheets/d/1kxPf4UHMcRerizZzfL8mTPSKpdGTJRWtz7_Z2hDQmcQ/edit#gid=615767414"",""'Contacts'!A1:Q""))"),"Mason City (A)")</f>
        <v>Mason City (A)</v>
      </c>
      <c r="E9" s="5"/>
      <c r="F9" s="6" t="str">
        <f>IFERROR(__xludf.DUMMYFUNCTION("spillArrayByArea(""Mason City (B)"",IMPORTRANGE(""https://docs.google.com/spreadsheets/d/1kxPf4UHMcRerizZzfL8mTPSKpdGTJRWtz7_Z2hDQmcQ/edit#gid=615767414"",""'Contacts'!A1:Q""))"),"Mason City (B)")</f>
        <v>Mason City (B)</v>
      </c>
      <c r="G9" s="5"/>
      <c r="H9" s="6" t="str">
        <f>IFERROR(__xludf.DUMMYFUNCTION("spillArrayByArea(""Story City"",IMPORTRANGE(""https://docs.google.com/spreadsheets/d/1kxPf4UHMcRerizZzfL8mTPSKpdGTJRWtz7_Z2hDQmcQ/edit#gid=615767414"",""'Contacts'!A1:Q""))"),"Story City")</f>
        <v>Story City</v>
      </c>
      <c r="I9" s="5"/>
      <c r="J9" s="6"/>
      <c r="K9" s="5"/>
      <c r="L9" s="6"/>
      <c r="M9" s="5"/>
      <c r="N9" s="6"/>
      <c r="O9" s="5"/>
    </row>
    <row r="10" ht="10.5" customHeight="1">
      <c r="A10" s="7"/>
      <c r="B10" s="8" t="str">
        <f>IFERROR(__xludf.DUMMYFUNCTION("""COMPUTED_VALUE"""),"JC")</f>
        <v>JC</v>
      </c>
      <c r="C10" s="9" t="str">
        <f>IFERROR(__xludf.DUMMYFUNCTION("""COMPUTED_VALUE"""),"Campbell")</f>
        <v>Campbell</v>
      </c>
      <c r="D10" s="10" t="str">
        <f>IFERROR(__xludf.DUMMYFUNCTION("""COMPUTED_VALUE"""),"JC")</f>
        <v>JC</v>
      </c>
      <c r="E10" s="9" t="str">
        <f>IFERROR(__xludf.DUMMYFUNCTION("""COMPUTED_VALUE"""),"Alleman")</f>
        <v>Alleman</v>
      </c>
      <c r="F10" s="10" t="str">
        <f>IFERROR(__xludf.DUMMYFUNCTION("""COMPUTED_VALUE"""),"SC")</f>
        <v>SC</v>
      </c>
      <c r="G10" s="9" t="str">
        <f>IFERROR(__xludf.DUMMYFUNCTION("""COMPUTED_VALUE"""),"Kelley")</f>
        <v>Kelley</v>
      </c>
      <c r="H10" s="10" t="str">
        <f>IFERROR(__xludf.DUMMYFUNCTION("""COMPUTED_VALUE"""),"JC")</f>
        <v>JC</v>
      </c>
      <c r="I10" s="9" t="str">
        <f>IFERROR(__xludf.DUMMYFUNCTION("""COMPUTED_VALUE"""),"Free")</f>
        <v>Free</v>
      </c>
      <c r="J10" s="10"/>
      <c r="K10" s="9"/>
      <c r="L10" s="10"/>
      <c r="M10" s="9"/>
      <c r="N10" s="10"/>
      <c r="O10" s="9"/>
    </row>
    <row r="11" ht="10.5" customHeight="1">
      <c r="A11" s="7"/>
      <c r="B11" s="11" t="str">
        <f>IFERROR(__xludf.DUMMYFUNCTION("""COMPUTED_VALUE"""),"TR")</f>
        <v>TR</v>
      </c>
      <c r="C11" s="12" t="str">
        <f>IFERROR(__xludf.DUMMYFUNCTION("""COMPUTED_VALUE"""),"Johnson")</f>
        <v>Johnson</v>
      </c>
      <c r="D11" s="13" t="str">
        <f>IFERROR(__xludf.DUMMYFUNCTION("""COMPUTED_VALUE"""),"TR")</f>
        <v>TR</v>
      </c>
      <c r="E11" s="12" t="str">
        <f>IFERROR(__xludf.DUMMYFUNCTION("""COMPUTED_VALUE"""),"Bookwalter")</f>
        <v>Bookwalter</v>
      </c>
      <c r="F11" s="13" t="str">
        <f>IFERROR(__xludf.DUMMYFUNCTION("""COMPUTED_VALUE"""),"JC")</f>
        <v>JC</v>
      </c>
      <c r="G11" s="12" t="str">
        <f>IFERROR(__xludf.DUMMYFUNCTION("""COMPUTED_VALUE"""),"Shill")</f>
        <v>Shill</v>
      </c>
      <c r="H11" s="13" t="str">
        <f>IFERROR(__xludf.DUMMYFUNCTION("""COMPUTED_VALUE"""),"ZL1")</f>
        <v>ZL1</v>
      </c>
      <c r="I11" s="12" t="str">
        <f>IFERROR(__xludf.DUMMYFUNCTION("""COMPUTED_VALUE"""),"Morales")</f>
        <v>Morales</v>
      </c>
      <c r="J11" s="13"/>
      <c r="K11" s="12"/>
      <c r="L11" s="13"/>
      <c r="M11" s="12"/>
      <c r="N11" s="13"/>
      <c r="O11" s="12"/>
    </row>
    <row r="12" ht="10.5" customHeight="1">
      <c r="A12" s="7"/>
      <c r="B12" s="11"/>
      <c r="C12" s="12"/>
      <c r="D12" s="13"/>
      <c r="E12" s="12"/>
      <c r="F12" s="13"/>
      <c r="G12" s="12"/>
      <c r="H12" s="13" t="str">
        <f>IFERROR(__xludf.DUMMYFUNCTION("""COMPUTED_VALUE"""),"SC")</f>
        <v>SC</v>
      </c>
      <c r="I12" s="12" t="str">
        <f>IFERROR(__xludf.DUMMYFUNCTION("""COMPUTED_VALUE"""),"Taylor")</f>
        <v>Taylor</v>
      </c>
      <c r="J12" s="13"/>
      <c r="K12" s="12"/>
      <c r="L12" s="13"/>
      <c r="M12" s="12"/>
      <c r="N12" s="13"/>
      <c r="O12" s="12"/>
    </row>
    <row r="13" ht="10.5" customHeight="1">
      <c r="A13" s="7"/>
      <c r="B13" s="15" t="str">
        <f>IFERROR(__xludf.DUMMYFUNCTION("""COMPUTED_VALUE"""),"2510 S 6th St. #A26")</f>
        <v>2510 S 6th St. #A26</v>
      </c>
      <c r="C13" s="16"/>
      <c r="D13" s="17" t="str">
        <f>IFERROR(__xludf.DUMMYFUNCTION("""COMPUTED_VALUE"""),"651 6th St. SE #33")</f>
        <v>651 6th St. SE #33</v>
      </c>
      <c r="E13" s="16"/>
      <c r="F13" s="17" t="str">
        <f>IFERROR(__xludf.DUMMYFUNCTION("""COMPUTED_VALUE"""),"651 6th St. SE #33")</f>
        <v>651 6th St. SE #33</v>
      </c>
      <c r="G13" s="16"/>
      <c r="H13" s="17" t="str">
        <f>IFERROR(__xludf.DUMMYFUNCTION("""COMPUTED_VALUE"""),"410 Washington St. #2")</f>
        <v>410 Washington St. #2</v>
      </c>
      <c r="I13" s="16"/>
      <c r="J13" s="17"/>
      <c r="K13" s="16"/>
      <c r="L13" s="17"/>
      <c r="M13" s="16"/>
      <c r="N13" s="17"/>
      <c r="O13" s="16"/>
    </row>
    <row r="14" ht="10.5" customHeight="1">
      <c r="A14" s="7"/>
      <c r="B14" s="18" t="str">
        <f>IFERROR(__xludf.DUMMYFUNCTION("""COMPUTED_VALUE"""),"Marshalltown, IA 50158")</f>
        <v>Marshalltown, IA 50158</v>
      </c>
      <c r="C14" s="19"/>
      <c r="D14" s="20" t="str">
        <f>IFERROR(__xludf.DUMMYFUNCTION("""COMPUTED_VALUE"""),"Mason City, IA 50401")</f>
        <v>Mason City, IA 50401</v>
      </c>
      <c r="E14" s="19"/>
      <c r="F14" s="20" t="str">
        <f>IFERROR(__xludf.DUMMYFUNCTION("""COMPUTED_VALUE"""),"Mason City, IA 50401")</f>
        <v>Mason City, IA 50401</v>
      </c>
      <c r="G14" s="19"/>
      <c r="H14" s="20" t="str">
        <f>IFERROR(__xludf.DUMMYFUNCTION("""COMPUTED_VALUE"""),"Story City, IA 50248")</f>
        <v>Story City, IA 50248</v>
      </c>
      <c r="I14" s="19"/>
      <c r="J14" s="20"/>
      <c r="K14" s="19"/>
      <c r="L14" s="20"/>
      <c r="M14" s="19"/>
      <c r="N14" s="20"/>
      <c r="O14" s="19"/>
    </row>
    <row r="15" ht="10.5" customHeight="1">
      <c r="A15" s="24"/>
      <c r="B15" s="21" t="str">
        <f>IFERROR(__xludf.DUMMYFUNCTION("""COMPUTED_VALUE"""),"+1 641-758-5818")</f>
        <v>+1 641-758-5818</v>
      </c>
      <c r="C15" s="22"/>
      <c r="D15" s="23" t="str">
        <f>IFERROR(__xludf.DUMMYFUNCTION("""COMPUTED_VALUE"""),"+1 641-455-2380")</f>
        <v>+1 641-455-2380</v>
      </c>
      <c r="E15" s="22"/>
      <c r="F15" s="23" t="str">
        <f>IFERROR(__xludf.DUMMYFUNCTION("""COMPUTED_VALUE"""),"+1 641-903-0200")</f>
        <v>+1 641-903-0200</v>
      </c>
      <c r="G15" s="22"/>
      <c r="H15" s="23" t="str">
        <f>IFERROR(__xludf.DUMMYFUNCTION("""COMPUTED_VALUE"""),"+1 515-209-9281")</f>
        <v>+1 515-209-9281</v>
      </c>
      <c r="I15" s="22"/>
      <c r="J15" s="23"/>
      <c r="K15" s="22"/>
      <c r="L15" s="23"/>
      <c r="M15" s="22"/>
      <c r="N15" s="23"/>
      <c r="O15" s="22"/>
    </row>
    <row r="16" ht="10.5" customHeight="1">
      <c r="A16" s="3" t="s">
        <v>1</v>
      </c>
      <c r="B16" s="4" t="str">
        <f>IFERROR(__xludf.DUMMYFUNCTION("spillArrayByArea(""Bowman (A)"",IMPORTRANGE(""https://docs.google.com/spreadsheets/d/1kxPf4UHMcRerizZzfL8mTPSKpdGTJRWtz7_Z2hDQmcQ/edit#gid=615767414"",""'Contacts'!A1:Q""))"),"Bowman (A)")</f>
        <v>Bowman (A)</v>
      </c>
      <c r="C16" s="5"/>
      <c r="D16" s="6" t="str">
        <f>IFERROR(__xludf.DUMMYFUNCTION("spillArrayByArea(""Bowman (B)"",IMPORTRANGE(""https://docs.google.com/spreadsheets/d/1kxPf4UHMcRerizZzfL8mTPSKpdGTJRWtz7_Z2hDQmcQ/edit#gid=615767414"",""'Contacts'!A1:Q""))"),"Bowman (B)")</f>
        <v>Bowman (B)</v>
      </c>
      <c r="E16" s="5"/>
      <c r="F16" s="6" t="str">
        <f>IFERROR(__xludf.DUMMYFUNCTION("spillArrayByArea(""Bowman (C)"",IMPORTRANGE(""https://docs.google.com/spreadsheets/d/1kxPf4UHMcRerizZzfL8mTPSKpdGTJRWtz7_Z2hDQmcQ/edit#gid=615767414"",""'Contacts'!A1:Q""))"),"Bowman (C)")</f>
        <v>Bowman (C)</v>
      </c>
      <c r="G16" s="5"/>
      <c r="H16" s="6" t="str">
        <f>IFERROR(__xludf.DUMMYFUNCTION("spillArrayByArea(""Cedar Falls"",IMPORTRANGE(""https://docs.google.com/spreadsheets/d/1kxPf4UHMcRerizZzfL8mTPSKpdGTJRWtz7_Z2hDQmcQ/edit#gid=615767414"",""'Contacts'!A1:Q""))"),"Cedar Falls")</f>
        <v>Cedar Falls</v>
      </c>
      <c r="I16" s="5"/>
      <c r="J16" s="6" t="str">
        <f>IFERROR(__xludf.DUMMYFUNCTION("spillArrayByArea(""Cedar River (A)"",IMPORTRANGE(""https://docs.google.com/spreadsheets/d/1kxPf4UHMcRerizZzfL8mTPSKpdGTJRWtz7_Z2hDQmcQ/edit#gid=615767414"",""'Contacts'!A1:Q""))"),"Cedar River (A)")</f>
        <v>Cedar River (A)</v>
      </c>
      <c r="K16" s="5"/>
      <c r="L16" s="6" t="str">
        <f>IFERROR(__xludf.DUMMYFUNCTION("spillArrayByArea(""Cedar River (B)"",IMPORTRANGE(""https://docs.google.com/spreadsheets/d/1kxPf4UHMcRerizZzfL8mTPSKpdGTJRWtz7_Z2hDQmcQ/edit#gid=615767414"",""'Contacts'!A1:Q""))"),"Cedar River (B)")</f>
        <v>Cedar River (B)</v>
      </c>
      <c r="M16" s="5"/>
      <c r="N16" s="6" t="str">
        <f>IFERROR(__xludf.DUMMYFUNCTION("spillArrayByArea(""Fayette (A)"",IMPORTRANGE(""https://docs.google.com/spreadsheets/d/1kxPf4UHMcRerizZzfL8mTPSKpdGTJRWtz7_Z2hDQmcQ/edit#gid=615767414"",""'Contacts'!A1:Q""))"),"Fayette (A)")</f>
        <v>Fayette (A)</v>
      </c>
      <c r="O16" s="5"/>
    </row>
    <row r="17" ht="10.5" customHeight="1">
      <c r="A17" s="7"/>
      <c r="B17" s="8" t="str">
        <f>IFERROR(__xludf.DUMMYFUNCTION("""COMPUTED_VALUE""")," STL1 ")</f>
        <v> STL1 </v>
      </c>
      <c r="C17" s="9" t="str">
        <f>IFERROR(__xludf.DUMMYFUNCTION("""COMPUTED_VALUE"""),"Fielden")</f>
        <v>Fielden</v>
      </c>
      <c r="D17" s="10" t="str">
        <f>IFERROR(__xludf.DUMMYFUNCTION("""COMPUTED_VALUE"""),"DL")</f>
        <v>DL</v>
      </c>
      <c r="E17" s="9" t="str">
        <f>IFERROR(__xludf.DUMMYFUNCTION("""COMPUTED_VALUE"""),"Kennington")</f>
        <v>Kennington</v>
      </c>
      <c r="F17" s="10" t="str">
        <f>IFERROR(__xludf.DUMMYFUNCTION("""COMPUTED_VALUE""")," JC ")</f>
        <v> JC </v>
      </c>
      <c r="G17" s="9" t="str">
        <f>IFERROR(__xludf.DUMMYFUNCTION("""COMPUTED_VALUE"""),"Chase")</f>
        <v>Chase</v>
      </c>
      <c r="H17" s="10" t="str">
        <f>IFERROR(__xludf.DUMMYFUNCTION("""COMPUTED_VALUE""")," JC ")</f>
        <v> JC </v>
      </c>
      <c r="I17" s="9" t="str">
        <f>IFERROR(__xludf.DUMMYFUNCTION("""COMPUTED_VALUE"""),"Kimber")</f>
        <v>Kimber</v>
      </c>
      <c r="J17" s="10" t="str">
        <f>IFERROR(__xludf.DUMMYFUNCTION("""COMPUTED_VALUE"""),"ZL2")</f>
        <v>ZL2</v>
      </c>
      <c r="K17" s="9" t="str">
        <f>IFERROR(__xludf.DUMMYFUNCTION("""COMPUTED_VALUE"""),"Tanner")</f>
        <v>Tanner</v>
      </c>
      <c r="L17" s="10" t="str">
        <f>IFERROR(__xludf.DUMMYFUNCTION("""COMPUTED_VALUE""")," JC ")</f>
        <v> JC </v>
      </c>
      <c r="M17" s="9" t="str">
        <f>IFERROR(__xludf.DUMMYFUNCTION("""COMPUTED_VALUE"""),"Reynolds")</f>
        <v>Reynolds</v>
      </c>
      <c r="N17" s="10" t="str">
        <f>IFERROR(__xludf.DUMMYFUNCTION("""COMPUTED_VALUE"""),"DT")</f>
        <v>DT</v>
      </c>
      <c r="O17" s="9" t="str">
        <f>IFERROR(__xludf.DUMMYFUNCTION("""COMPUTED_VALUE"""),"Robinson")</f>
        <v>Robinson</v>
      </c>
    </row>
    <row r="18" ht="10.5" customHeight="1">
      <c r="A18" s="7"/>
      <c r="B18" s="11" t="str">
        <f>IFERROR(__xludf.DUMMYFUNCTION("""COMPUTED_VALUE""")," STL2 ")</f>
        <v> STL2 </v>
      </c>
      <c r="C18" s="12" t="str">
        <f>IFERROR(__xludf.DUMMYFUNCTION("""COMPUTED_VALUE"""),"Udy")</f>
        <v>Udy</v>
      </c>
      <c r="D18" s="13" t="str">
        <f>IFERROR(__xludf.DUMMYFUNCTION("""COMPUTED_VALUE"""),"JC")</f>
        <v>JC</v>
      </c>
      <c r="E18" s="12" t="str">
        <f>IFERROR(__xludf.DUMMYFUNCTION("""COMPUTED_VALUE"""),"Raoelina")</f>
        <v>Raoelina</v>
      </c>
      <c r="F18" s="13" t="str">
        <f>IFERROR(__xludf.DUMMYFUNCTION("""COMPUTED_VALUE""")," TR ")</f>
        <v> TR </v>
      </c>
      <c r="G18" s="12" t="str">
        <f>IFERROR(__xludf.DUMMYFUNCTION("""COMPUTED_VALUE"""),"Vezzani")</f>
        <v>Vezzani</v>
      </c>
      <c r="H18" s="13" t="str">
        <f>IFERROR(__xludf.DUMMYFUNCTION("""COMPUTED_VALUE""")," TR ")</f>
        <v> TR </v>
      </c>
      <c r="I18" s="12" t="str">
        <f>IFERROR(__xludf.DUMMYFUNCTION("""COMPUTED_VALUE"""),"Moeai")</f>
        <v>Moeai</v>
      </c>
      <c r="J18" s="13" t="str">
        <f>IFERROR(__xludf.DUMMYFUNCTION("""COMPUTED_VALUE"""),"ZL1")</f>
        <v>ZL1</v>
      </c>
      <c r="K18" s="12" t="str">
        <f>IFERROR(__xludf.DUMMYFUNCTION("""COMPUTED_VALUE"""),"Wilkes")</f>
        <v>Wilkes</v>
      </c>
      <c r="L18" s="13" t="str">
        <f>IFERROR(__xludf.DUMMYFUNCTION("""COMPUTED_VALUE""")," TR ")</f>
        <v> TR </v>
      </c>
      <c r="M18" s="12" t="str">
        <f>IFERROR(__xludf.DUMMYFUNCTION("""COMPUTED_VALUE"""),"Richey")</f>
        <v>Richey</v>
      </c>
      <c r="N18" s="13" t="str">
        <f>IFERROR(__xludf.DUMMYFUNCTION("""COMPUTED_VALUE"""),"JC")</f>
        <v>JC</v>
      </c>
      <c r="O18" s="12" t="str">
        <f>IFERROR(__xludf.DUMMYFUNCTION("""COMPUTED_VALUE"""),"Whitmore")</f>
        <v>Whitmore</v>
      </c>
    </row>
    <row r="19" ht="10.5" customHeight="1">
      <c r="A19" s="7"/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</row>
    <row r="20" ht="10.5" customHeight="1">
      <c r="A20" s="7"/>
      <c r="B20" s="15" t="str">
        <f>IFERROR(__xludf.DUMMYFUNCTION("""COMPUTED_VALUE"""),"125 E Boyson Rd. #104")</f>
        <v>125 E Boyson Rd. #104</v>
      </c>
      <c r="C20" s="16"/>
      <c r="D20" s="17" t="str">
        <f>IFERROR(__xludf.DUMMYFUNCTION("""COMPUTED_VALUE"""),"1501 Grand Ave. #6")</f>
        <v>1501 Grand Ave. #6</v>
      </c>
      <c r="E20" s="16"/>
      <c r="F20" s="17" t="str">
        <f>IFERROR(__xludf.DUMMYFUNCTION("""COMPUTED_VALUE"""),"125 E Boyson Rd. #602")</f>
        <v>125 E Boyson Rd. #602</v>
      </c>
      <c r="G20" s="16"/>
      <c r="H20" s="17" t="str">
        <f>IFERROR(__xludf.DUMMYFUNCTION("""COMPUTED_VALUE"""),"2207 Thunder Ridge Blvd. #4C")</f>
        <v>2207 Thunder Ridge Blvd. #4C</v>
      </c>
      <c r="I20" s="16"/>
      <c r="J20" s="17" t="str">
        <f>IFERROR(__xludf.DUMMYFUNCTION("""COMPUTED_VALUE"""),"3125 Michelle Ct. SW #3")</f>
        <v>3125 Michelle Ct. SW #3</v>
      </c>
      <c r="K20" s="16"/>
      <c r="L20" s="17" t="str">
        <f>IFERROR(__xludf.DUMMYFUNCTION("""COMPUTED_VALUE"""),"4131 31st Ave. SW #12")</f>
        <v>4131 31st Ave. SW #12</v>
      </c>
      <c r="M20" s="16"/>
      <c r="N20" s="17" t="str">
        <f>IFERROR(__xludf.DUMMYFUNCTION("""COMPUTED_VALUE"""),"200 Bolger Dr. #4D")</f>
        <v>200 Bolger Dr. #4D</v>
      </c>
      <c r="O20" s="16"/>
    </row>
    <row r="21" ht="10.5" customHeight="1">
      <c r="A21" s="7"/>
      <c r="B21" s="18" t="str">
        <f>IFERROR(__xludf.DUMMYFUNCTION("""COMPUTED_VALUE"""),"Hiawatha, IA 52233")</f>
        <v>Hiawatha, IA 52233</v>
      </c>
      <c r="C21" s="19"/>
      <c r="D21" s="20" t="str">
        <f>IFERROR(__xludf.DUMMYFUNCTION("""COMPUTED_VALUE"""),"Marion, IA 52302")</f>
        <v>Marion, IA 52302</v>
      </c>
      <c r="E21" s="19"/>
      <c r="F21" s="20" t="str">
        <f>IFERROR(__xludf.DUMMYFUNCTION("""COMPUTED_VALUE"""),"Hiawatha, IA 52233")</f>
        <v>Hiawatha, IA 52233</v>
      </c>
      <c r="G21" s="19"/>
      <c r="H21" s="20" t="str">
        <f>IFERROR(__xludf.DUMMYFUNCTION("""COMPUTED_VALUE"""),"Cedar Falls, IA 50613")</f>
        <v>Cedar Falls, IA 50613</v>
      </c>
      <c r="I21" s="19"/>
      <c r="J21" s="20" t="str">
        <f>IFERROR(__xludf.DUMMYFUNCTION("""COMPUTED_VALUE"""),"Cedar Rapids, IA 52404")</f>
        <v>Cedar Rapids, IA 52404</v>
      </c>
      <c r="K21" s="19"/>
      <c r="L21" s="20" t="str">
        <f>IFERROR(__xludf.DUMMYFUNCTION("""COMPUTED_VALUE"""),"Cedar Rapids, IA 52404")</f>
        <v>Cedar Rapids, IA 52404</v>
      </c>
      <c r="M21" s="19"/>
      <c r="N21" s="20" t="str">
        <f>IFERROR(__xludf.DUMMYFUNCTION("""COMPUTED_VALUE"""),"Fayette, IA 52142")</f>
        <v>Fayette, IA 52142</v>
      </c>
      <c r="O21" s="19"/>
    </row>
    <row r="22" ht="10.5" customHeight="1">
      <c r="A22" s="7"/>
      <c r="B22" s="21" t="str">
        <f>IFERROR(__xludf.DUMMYFUNCTION("""COMPUTED_VALUE"""),"+1 563-676-3837")</f>
        <v>+1 563-676-3837</v>
      </c>
      <c r="C22" s="22"/>
      <c r="D22" s="23" t="str">
        <f>IFERROR(__xludf.DUMMYFUNCTION("""COMPUTED_VALUE"""),"+1 319-504-7731")</f>
        <v>+1 319-504-7731</v>
      </c>
      <c r="E22" s="22"/>
      <c r="F22" s="23" t="str">
        <f>IFERROR(__xludf.DUMMYFUNCTION("""COMPUTED_VALUE"""),"+1 319-450-4555")</f>
        <v>+1 319-450-4555</v>
      </c>
      <c r="G22" s="22"/>
      <c r="H22" s="23" t="str">
        <f>IFERROR(__xludf.DUMMYFUNCTION("""COMPUTED_VALUE"""),"+1 319-693-8515")</f>
        <v>+1 319-693-8515</v>
      </c>
      <c r="I22" s="22"/>
      <c r="J22" s="23" t="str">
        <f>IFERROR(__xludf.DUMMYFUNCTION("""COMPUTED_VALUE"""),"+1 319-883-5782")</f>
        <v>+1 319-883-5782</v>
      </c>
      <c r="K22" s="22"/>
      <c r="L22" s="23" t="str">
        <f>IFERROR(__xludf.DUMMYFUNCTION("""COMPUTED_VALUE"""),"+1 319-651-6747")</f>
        <v>+1 319-651-6747</v>
      </c>
      <c r="M22" s="22"/>
      <c r="N22" s="23" t="str">
        <f>IFERROR(__xludf.DUMMYFUNCTION("""COMPUTED_VALUE"""),"+1 319-504-3645")</f>
        <v>+1 319-504-3645</v>
      </c>
      <c r="O22" s="22"/>
    </row>
    <row r="23" ht="10.5" customHeight="1">
      <c r="A23" s="7"/>
      <c r="B23" s="4" t="str">
        <f>IFERROR(__xludf.DUMMYFUNCTION("spillArrayByArea(""Fayette (B)"",IMPORTRANGE(""https://docs.google.com/spreadsheets/d/1kxPf4UHMcRerizZzfL8mTPSKpdGTJRWtz7_Z2hDQmcQ/edit#gid=615767414"",""'Contacts'!A1:Q""))"),"Fayette (B)")</f>
        <v>Fayette (B)</v>
      </c>
      <c r="C23" s="5"/>
      <c r="D23" s="6" t="str">
        <f>IFERROR(__xludf.DUMMYFUNCTION("spillArrayByArea(""Manchester"",IMPORTRANGE(""https://docs.google.com/spreadsheets/d/1kxPf4UHMcRerizZzfL8mTPSKpdGTJRWtz7_Z2hDQmcQ/edit#gid=615767414"",""'Contacts'!A1:Q""))"),"Manchester")</f>
        <v>Manchester</v>
      </c>
      <c r="E23" s="5"/>
      <c r="F23" s="6" t="str">
        <f>IFERROR(__xludf.DUMMYFUNCTION("spillArrayByArea(""Trailridge"",IMPORTRANGE(""https://docs.google.com/spreadsheets/d/1kxPf4UHMcRerizZzfL8mTPSKpdGTJRWtz7_Z2hDQmcQ/edit#gid=615767414"",""'Contacts'!A1:Q""))"),"Trailridge")</f>
        <v>Trailridge</v>
      </c>
      <c r="G23" s="5"/>
      <c r="H23" s="6" t="str">
        <f>IFERROR(__xludf.DUMMYFUNCTION("spillArrayByArea(""Waterloo (A) - M"",IMPORTRANGE(""https://docs.google.com/spreadsheets/d/1kxPf4UHMcRerizZzfL8mTPSKpdGTJRWtz7_Z2hDQmcQ/edit#gid=615767414"",""'Contacts'!A1:Q""))"),"Waterloo (A) - M")</f>
        <v>Waterloo (A) - M</v>
      </c>
      <c r="I23" s="5"/>
      <c r="J23" s="6" t="str">
        <f>IFERROR(__xludf.DUMMYFUNCTION("spillArrayByArea(""Waterloo (B)"",IMPORTRANGE(""https://docs.google.com/spreadsheets/d/1kxPf4UHMcRerizZzfL8mTPSKpdGTJRWtz7_Z2hDQmcQ/edit#gid=615767414"",""'Contacts'!A1:Q""))"),"Waterloo (B)")</f>
        <v>Waterloo (B)</v>
      </c>
      <c r="K23" s="5"/>
      <c r="L23" s="6"/>
      <c r="M23" s="5"/>
      <c r="N23" s="6"/>
      <c r="O23" s="5"/>
    </row>
    <row r="24" ht="10.5" customHeight="1">
      <c r="A24" s="7"/>
      <c r="B24" s="8" t="str">
        <f>IFERROR(__xludf.DUMMYFUNCTION("""COMPUTED_VALUE"""),"JC")</f>
        <v>JC</v>
      </c>
      <c r="C24" s="9" t="str">
        <f>IFERROR(__xludf.DUMMYFUNCTION("""COMPUTED_VALUE"""),"LeBaron")</f>
        <v>LeBaron</v>
      </c>
      <c r="D24" s="10" t="str">
        <f>IFERROR(__xludf.DUMMYFUNCTION("""COMPUTED_VALUE""")," TR ")</f>
        <v> TR </v>
      </c>
      <c r="E24" s="9" t="str">
        <f>IFERROR(__xludf.DUMMYFUNCTION("""COMPUTED_VALUE"""),"Bliss")</f>
        <v>Bliss</v>
      </c>
      <c r="F24" s="10" t="str">
        <f>IFERROR(__xludf.DUMMYFUNCTION("""COMPUTED_VALUE"""),"JC")</f>
        <v>JC</v>
      </c>
      <c r="G24" s="9" t="str">
        <f>IFERROR(__xludf.DUMMYFUNCTION("""COMPUTED_VALUE"""),"Cloward")</f>
        <v>Cloward</v>
      </c>
      <c r="H24" s="10" t="str">
        <f>IFERROR(__xludf.DUMMYFUNCTION("""COMPUTED_VALUE"""),"SC")</f>
        <v>SC</v>
      </c>
      <c r="I24" s="9" t="str">
        <f>IFERROR(__xludf.DUMMYFUNCTION("""COMPUTED_VALUE"""),"Halliday")</f>
        <v>Halliday</v>
      </c>
      <c r="J24" s="10" t="str">
        <f>IFERROR(__xludf.DUMMYFUNCTION("""COMPUTED_VALUE"""),"JC")</f>
        <v>JC</v>
      </c>
      <c r="K24" s="9" t="str">
        <f>IFERROR(__xludf.DUMMYFUNCTION("""COMPUTED_VALUE"""),"Jones")</f>
        <v>Jones</v>
      </c>
      <c r="L24" s="10"/>
      <c r="M24" s="9"/>
      <c r="N24" s="10"/>
      <c r="O24" s="9"/>
    </row>
    <row r="25" ht="10.5" customHeight="1">
      <c r="A25" s="7"/>
      <c r="B25" s="11" t="str">
        <f>IFERROR(__xludf.DUMMYFUNCTION("""COMPUTED_VALUE"""),"TR")</f>
        <v>TR</v>
      </c>
      <c r="C25" s="12" t="str">
        <f>IFERROR(__xludf.DUMMYFUNCTION("""COMPUTED_VALUE"""),"Meeves")</f>
        <v>Meeves</v>
      </c>
      <c r="D25" s="13" t="str">
        <f>IFERROR(__xludf.DUMMYFUNCTION("""COMPUTED_VALUE""")," TR ")</f>
        <v> TR </v>
      </c>
      <c r="E25" s="12" t="str">
        <f>IFERROR(__xludf.DUMMYFUNCTION("""COMPUTED_VALUE"""),"Moreira")</f>
        <v>Moreira</v>
      </c>
      <c r="F25" s="13" t="str">
        <f>IFERROR(__xludf.DUMMYFUNCTION("""COMPUTED_VALUE"""),"DT")</f>
        <v>DT</v>
      </c>
      <c r="G25" s="12" t="str">
        <f>IFERROR(__xludf.DUMMYFUNCTION("""COMPUTED_VALUE"""),"Evans")</f>
        <v>Evans</v>
      </c>
      <c r="H25" s="13" t="str">
        <f>IFERROR(__xludf.DUMMYFUNCTION("""COMPUTED_VALUE"""),"JC")</f>
        <v>JC</v>
      </c>
      <c r="I25" s="12" t="str">
        <f>IFERROR(__xludf.DUMMYFUNCTION("""COMPUTED_VALUE"""),"Linford")</f>
        <v>Linford</v>
      </c>
      <c r="J25" s="13" t="str">
        <f>IFERROR(__xludf.DUMMYFUNCTION("""COMPUTED_VALUE"""),"SC")</f>
        <v>SC</v>
      </c>
      <c r="K25" s="12" t="str">
        <f>IFERROR(__xludf.DUMMYFUNCTION("""COMPUTED_VALUE"""),"Startup")</f>
        <v>Startup</v>
      </c>
      <c r="L25" s="13"/>
      <c r="M25" s="12"/>
      <c r="N25" s="13"/>
      <c r="O25" s="12"/>
    </row>
    <row r="26" ht="10.5" customHeight="1">
      <c r="A26" s="7"/>
      <c r="B26" s="11"/>
      <c r="C26" s="12"/>
      <c r="D26" s="13" t="str">
        <f>IFERROR(__xludf.DUMMYFUNCTION("""COMPUTED_VALUE""")," JC ")</f>
        <v> JC </v>
      </c>
      <c r="E26" s="12" t="str">
        <f>IFERROR(__xludf.DUMMYFUNCTION("""COMPUTED_VALUE"""),"Price")</f>
        <v>Price</v>
      </c>
      <c r="F26" s="13"/>
      <c r="G26" s="12"/>
      <c r="H26" s="13"/>
      <c r="I26" s="12"/>
      <c r="J26" s="13"/>
      <c r="K26" s="12"/>
      <c r="L26" s="13"/>
      <c r="M26" s="12"/>
      <c r="N26" s="13"/>
      <c r="O26" s="12"/>
    </row>
    <row r="27" ht="10.5" customHeight="1">
      <c r="A27" s="7"/>
      <c r="B27" s="15" t="str">
        <f>IFERROR(__xludf.DUMMYFUNCTION("""COMPUTED_VALUE"""),"")</f>
        <v/>
      </c>
      <c r="C27" s="16"/>
      <c r="D27" s="17" t="str">
        <f>IFERROR(__xludf.DUMMYFUNCTION("""COMPUTED_VALUE"""),"109 W Fayette St.")</f>
        <v>109 W Fayette St.</v>
      </c>
      <c r="E27" s="16"/>
      <c r="F27" s="17" t="str">
        <f>IFERROR(__xludf.DUMMYFUNCTION("""COMPUTED_VALUE"""),"1501 Grand Ave. #6")</f>
        <v>1501 Grand Ave. #6</v>
      </c>
      <c r="G27" s="16"/>
      <c r="H27" s="17" t="str">
        <f>IFERROR(__xludf.DUMMYFUNCTION("""COMPUTED_VALUE"""),"415 Linden Ave. #A")</f>
        <v>415 Linden Ave. #A</v>
      </c>
      <c r="I27" s="16"/>
      <c r="J27" s="17" t="str">
        <f>IFERROR(__xludf.DUMMYFUNCTION("""COMPUTED_VALUE"""),"415 Linden Ave. #A")</f>
        <v>415 Linden Ave. #A</v>
      </c>
      <c r="K27" s="16"/>
      <c r="L27" s="17"/>
      <c r="M27" s="16"/>
      <c r="N27" s="17"/>
      <c r="O27" s="16"/>
    </row>
    <row r="28" ht="10.5" customHeight="1">
      <c r="A28" s="7"/>
      <c r="B28" s="18" t="str">
        <f>IFERROR(__xludf.DUMMYFUNCTION("""COMPUTED_VALUE"""),",  ")</f>
        <v>,  </v>
      </c>
      <c r="C28" s="19"/>
      <c r="D28" s="20" t="str">
        <f>IFERROR(__xludf.DUMMYFUNCTION("""COMPUTED_VALUE"""),"Manchester, IA 52057")</f>
        <v>Manchester, IA 52057</v>
      </c>
      <c r="E28" s="19"/>
      <c r="F28" s="20" t="str">
        <f>IFERROR(__xludf.DUMMYFUNCTION("""COMPUTED_VALUE"""),"Marion, IA 52302")</f>
        <v>Marion, IA 52302</v>
      </c>
      <c r="G28" s="19"/>
      <c r="H28" s="20" t="str">
        <f>IFERROR(__xludf.DUMMYFUNCTION("""COMPUTED_VALUE"""),"Waterloo, IA 50703")</f>
        <v>Waterloo, IA 50703</v>
      </c>
      <c r="I28" s="19"/>
      <c r="J28" s="20" t="str">
        <f>IFERROR(__xludf.DUMMYFUNCTION("""COMPUTED_VALUE"""),"Waterloo, IA 50703")</f>
        <v>Waterloo, IA 50703</v>
      </c>
      <c r="K28" s="19"/>
      <c r="L28" s="20"/>
      <c r="M28" s="19"/>
      <c r="N28" s="20"/>
      <c r="O28" s="19"/>
    </row>
    <row r="29" ht="10.5" customHeight="1">
      <c r="A29" s="24"/>
      <c r="B29" s="21" t="str">
        <f>IFERROR(__xludf.DUMMYFUNCTION("""COMPUTED_VALUE"""),"+1 563-800-9266")</f>
        <v>+1 563-800-9266</v>
      </c>
      <c r="C29" s="22"/>
      <c r="D29" s="23" t="str">
        <f>IFERROR(__xludf.DUMMYFUNCTION("""COMPUTED_VALUE"""),"+1 319-529-8173")</f>
        <v>+1 319-529-8173</v>
      </c>
      <c r="E29" s="22"/>
      <c r="F29" s="23" t="str">
        <f>IFERROR(__xludf.DUMMYFUNCTION("""COMPUTED_VALUE"""),"+1 641-295-8504")</f>
        <v>+1 641-295-8504</v>
      </c>
      <c r="G29" s="22"/>
      <c r="H29" s="23" t="str">
        <f>IFERROR(__xludf.DUMMYFUNCTION("""COMPUTED_VALUE"""),"+1 319-883-5568")</f>
        <v>+1 319-883-5568</v>
      </c>
      <c r="I29" s="22"/>
      <c r="J29" s="23" t="str">
        <f>IFERROR(__xludf.DUMMYFUNCTION("""COMPUTED_VALUE"""),"+1 319-883-7423")</f>
        <v>+1 319-883-7423</v>
      </c>
      <c r="K29" s="22"/>
      <c r="L29" s="23"/>
      <c r="M29" s="22"/>
      <c r="N29" s="23"/>
      <c r="O29" s="22"/>
    </row>
    <row r="30" ht="10.5" customHeight="1">
      <c r="A30" s="3" t="s">
        <v>2</v>
      </c>
      <c r="B30" s="4" t="str">
        <f>IFERROR(__xludf.DUMMYFUNCTION("spillArrayByArea(""Centennial"",IMPORTRANGE(""https://docs.google.com/spreadsheets/d/1kxPf4UHMcRerizZzfL8mTPSKpdGTJRWtz7_Z2hDQmcQ/edit#gid=615767414"",""'Contacts'!A1:Q""))"),"Centennial")</f>
        <v>Centennial</v>
      </c>
      <c r="C30" s="5"/>
      <c r="D30" s="6" t="str">
        <f>IFERROR(__xludf.DUMMYFUNCTION("spillArrayByArea(""Clinton"",IMPORTRANGE(""https://docs.google.com/spreadsheets/d/1kxPf4UHMcRerizZzfL8mTPSKpdGTJRWtz7_Z2hDQmcQ/edit#gid=615767414"",""'Contacts'!A1:Q""))"),"Clinton")</f>
        <v>Clinton</v>
      </c>
      <c r="E30" s="5"/>
      <c r="F30" s="6" t="str">
        <f>IFERROR(__xludf.DUMMYFUNCTION("spillArrayByArea(""DeWitt"",IMPORTRANGE(""https://docs.google.com/spreadsheets/d/1kxPf4UHMcRerizZzfL8mTPSKpdGTJRWtz7_Z2hDQmcQ/edit#gid=615767414"",""'Contacts'!A1:Q""))"),"DeWitt")</f>
        <v>DeWitt</v>
      </c>
      <c r="G30" s="5"/>
      <c r="H30" s="6" t="str">
        <f>IFERROR(__xludf.DUMMYFUNCTION("spillArrayByArea(""Dubuque 1 (A) - M"",IMPORTRANGE(""https://docs.google.com/spreadsheets/d/1kxPf4UHMcRerizZzfL8mTPSKpdGTJRWtz7_Z2hDQmcQ/edit#gid=615767414"",""'Contacts'!A1:Q""))"),"Dubuque 1 (A) - M")</f>
        <v>Dubuque 1 (A) - M</v>
      </c>
      <c r="I30" s="5"/>
      <c r="J30" s="6" t="str">
        <f>IFERROR(__xludf.DUMMYFUNCTION("spillArrayByArea(""Dubuque 1 (B)"",IMPORTRANGE(""https://docs.google.com/spreadsheets/d/1kxPf4UHMcRerizZzfL8mTPSKpdGTJRWtz7_Z2hDQmcQ/edit#gid=615767414"",""'Contacts'!A1:Q""))"),"Dubuque 1 (B)")</f>
        <v>Dubuque 1 (B)</v>
      </c>
      <c r="K30" s="5"/>
      <c r="L30" s="6" t="str">
        <f>IFERROR(__xludf.DUMMYFUNCTION("spillArrayByArea(""Dubuque 2"",IMPORTRANGE(""https://docs.google.com/spreadsheets/d/1kxPf4UHMcRerizZzfL8mTPSKpdGTJRWtz7_Z2hDQmcQ/edit#gid=615767414"",""'Contacts'!A1:Q""))"),"Dubuque 2")</f>
        <v>Dubuque 2</v>
      </c>
      <c r="M30" s="5"/>
      <c r="N30" s="6" t="str">
        <f>IFERROR(__xludf.DUMMYFUNCTION("spillArrayByArea(""Quad Cities (A) - SP"",IMPORTRANGE(""https://docs.google.com/spreadsheets/d/1kxPf4UHMcRerizZzfL8mTPSKpdGTJRWtz7_Z2hDQmcQ/edit#gid=615767414"",""'Contacts'!A1:Q""))"),"Quad Cities (A) - SP")</f>
        <v>Quad Cities (A) - SP</v>
      </c>
      <c r="O30" s="5"/>
    </row>
    <row r="31" ht="10.5" customHeight="1">
      <c r="A31" s="7"/>
      <c r="B31" s="8" t="str">
        <f>IFERROR(__xludf.DUMMYFUNCTION("""COMPUTED_VALUE"""),"ZL1")</f>
        <v>ZL1</v>
      </c>
      <c r="C31" s="9" t="str">
        <f>IFERROR(__xludf.DUMMYFUNCTION("""COMPUTED_VALUE"""),"Jensen")</f>
        <v>Jensen</v>
      </c>
      <c r="D31" s="10" t="str">
        <f>IFERROR(__xludf.DUMMYFUNCTION("""COMPUTED_VALUE"""),"SC")</f>
        <v>SC</v>
      </c>
      <c r="E31" s="9" t="str">
        <f>IFERROR(__xludf.DUMMYFUNCTION("""COMPUTED_VALUE"""),"Beals")</f>
        <v>Beals</v>
      </c>
      <c r="F31" s="10" t="str">
        <f>IFERROR(__xludf.DUMMYFUNCTION("""COMPUTED_VALUE"""),"TR")</f>
        <v>TR</v>
      </c>
      <c r="G31" s="9" t="str">
        <f>IFERROR(__xludf.DUMMYFUNCTION("""COMPUTED_VALUE"""),"Mardis")</f>
        <v>Mardis</v>
      </c>
      <c r="H31" s="10" t="str">
        <f>IFERROR(__xludf.DUMMYFUNCTION("""COMPUTED_VALUE"""),"TR")</f>
        <v>TR</v>
      </c>
      <c r="I31" s="9" t="str">
        <f>IFERROR(__xludf.DUMMYFUNCTION("""COMPUTED_VALUE"""),"Garr")</f>
        <v>Garr</v>
      </c>
      <c r="J31" s="10" t="str">
        <f>IFERROR(__xludf.DUMMYFUNCTION("""COMPUTED_VALUE"""),"TR")</f>
        <v>TR</v>
      </c>
      <c r="K31" s="9" t="str">
        <f>IFERROR(__xludf.DUMMYFUNCTION("""COMPUTED_VALUE"""),"Plauche")</f>
        <v>Plauche</v>
      </c>
      <c r="L31" s="10" t="str">
        <f>IFERROR(__xludf.DUMMYFUNCTION("""COMPUTED_VALUE"""),"DL")</f>
        <v>DL</v>
      </c>
      <c r="M31" s="9" t="str">
        <f>IFERROR(__xludf.DUMMYFUNCTION("""COMPUTED_VALUE"""),"Caulk")</f>
        <v>Caulk</v>
      </c>
      <c r="N31" s="10" t="str">
        <f>IFERROR(__xludf.DUMMYFUNCTION("""COMPUTED_VALUE"""),"DL")</f>
        <v>DL</v>
      </c>
      <c r="O31" s="9" t="str">
        <f>IFERROR(__xludf.DUMMYFUNCTION("""COMPUTED_VALUE"""),"Morrey")</f>
        <v>Morrey</v>
      </c>
    </row>
    <row r="32" ht="10.5" customHeight="1">
      <c r="A32" s="7"/>
      <c r="B32" s="11" t="str">
        <f>IFERROR(__xludf.DUMMYFUNCTION("""COMPUTED_VALUE"""),"ZL2")</f>
        <v>ZL2</v>
      </c>
      <c r="C32" s="12" t="str">
        <f>IFERROR(__xludf.DUMMYFUNCTION("""COMPUTED_VALUE"""),"Kunz")</f>
        <v>Kunz</v>
      </c>
      <c r="D32" s="13" t="str">
        <f>IFERROR(__xludf.DUMMYFUNCTION("""COMPUTED_VALUE"""),"JC")</f>
        <v>JC</v>
      </c>
      <c r="E32" s="12" t="str">
        <f>IFERROR(__xludf.DUMMYFUNCTION("""COMPUTED_VALUE"""),"Losee")</f>
        <v>Losee</v>
      </c>
      <c r="F32" s="13" t="str">
        <f>IFERROR(__xludf.DUMMYFUNCTION("""COMPUTED_VALUE"""),"JC")</f>
        <v>JC</v>
      </c>
      <c r="G32" s="12" t="str">
        <f>IFERROR(__xludf.DUMMYFUNCTION("""COMPUTED_VALUE"""),"Robertson")</f>
        <v>Robertson</v>
      </c>
      <c r="H32" s="13" t="str">
        <f>IFERROR(__xludf.DUMMYFUNCTION("""COMPUTED_VALUE"""),"JC")</f>
        <v>JC</v>
      </c>
      <c r="I32" s="12" t="str">
        <f>IFERROR(__xludf.DUMMYFUNCTION("""COMPUTED_VALUE"""),"Schmidt")</f>
        <v>Schmidt</v>
      </c>
      <c r="J32" s="13" t="str">
        <f>IFERROR(__xludf.DUMMYFUNCTION("""COMPUTED_VALUE"""),"JC")</f>
        <v>JC</v>
      </c>
      <c r="K32" s="12" t="str">
        <f>IFERROR(__xludf.DUMMYFUNCTION("""COMPUTED_VALUE"""),"Scoresby")</f>
        <v>Scoresby</v>
      </c>
      <c r="L32" s="13" t="str">
        <f>IFERROR(__xludf.DUMMYFUNCTION("""COMPUTED_VALUE"""),"JC")</f>
        <v>JC</v>
      </c>
      <c r="M32" s="12" t="str">
        <f>IFERROR(__xludf.DUMMYFUNCTION("""COMPUTED_VALUE"""),"Snow")</f>
        <v>Snow</v>
      </c>
      <c r="N32" s="13" t="str">
        <f>IFERROR(__xludf.DUMMYFUNCTION("""COMPUTED_VALUE"""),"JC")</f>
        <v>JC</v>
      </c>
      <c r="O32" s="12" t="str">
        <f>IFERROR(__xludf.DUMMYFUNCTION("""COMPUTED_VALUE"""),"Wilkins")</f>
        <v>Wilkins</v>
      </c>
    </row>
    <row r="33" ht="10.5" customHeight="1">
      <c r="A33" s="7"/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</row>
    <row r="34" ht="10.5" customHeight="1">
      <c r="A34" s="7"/>
      <c r="B34" s="15" t="str">
        <f>IFERROR(__xludf.DUMMYFUNCTION("""COMPUTED_VALUE"""),"3527 Kimberly Downs Rd. #9")</f>
        <v>3527 Kimberly Downs Rd. #9</v>
      </c>
      <c r="C34" s="16"/>
      <c r="D34" s="17" t="str">
        <f>IFERROR(__xludf.DUMMYFUNCTION("""COMPUTED_VALUE"""),"517 Oakhurst Dr. #18")</f>
        <v>517 Oakhurst Dr. #18</v>
      </c>
      <c r="E34" s="16"/>
      <c r="F34" s="17" t="str">
        <f>IFERROR(__xludf.DUMMYFUNCTION("""COMPUTED_VALUE"""),"307 13th St. #4C")</f>
        <v>307 13th St. #4C</v>
      </c>
      <c r="G34" s="16"/>
      <c r="H34" s="17" t="str">
        <f>IFERROR(__xludf.DUMMYFUNCTION("""COMPUTED_VALUE"""),"777 Seward St.")</f>
        <v>777 Seward St.</v>
      </c>
      <c r="I34" s="16"/>
      <c r="J34" s="17" t="str">
        <f>IFERROR(__xludf.DUMMYFUNCTION("""COMPUTED_VALUE"""),"")</f>
        <v/>
      </c>
      <c r="K34" s="16"/>
      <c r="L34" s="17" t="str">
        <f>IFERROR(__xludf.DUMMYFUNCTION("""COMPUTED_VALUE"""),"280 Bluff St. #1")</f>
        <v>280 Bluff St. #1</v>
      </c>
      <c r="M34" s="16"/>
      <c r="N34" s="17" t="str">
        <f>IFERROR(__xludf.DUMMYFUNCTION("""COMPUTED_VALUE"""),"3401 Orchard Lane #107")</f>
        <v>3401 Orchard Lane #107</v>
      </c>
      <c r="O34" s="16"/>
    </row>
    <row r="35" ht="10.5" customHeight="1">
      <c r="A35" s="7"/>
      <c r="B35" s="18" t="str">
        <f>IFERROR(__xludf.DUMMYFUNCTION("""COMPUTED_VALUE"""),"Davenport, IA 52807")</f>
        <v>Davenport, IA 52807</v>
      </c>
      <c r="C35" s="19"/>
      <c r="D35" s="20" t="str">
        <f>IFERROR(__xludf.DUMMYFUNCTION("""COMPUTED_VALUE"""),"Clinton, IA 52732")</f>
        <v>Clinton, IA 52732</v>
      </c>
      <c r="E35" s="19"/>
      <c r="F35" s="20" t="str">
        <f>IFERROR(__xludf.DUMMYFUNCTION("""COMPUTED_VALUE"""),"Dewitt, IA 52742")</f>
        <v>Dewitt, IA 52742</v>
      </c>
      <c r="G35" s="19"/>
      <c r="H35" s="20" t="str">
        <f>IFERROR(__xludf.DUMMYFUNCTION("""COMPUTED_VALUE"""),"Dubuque, IA 52001")</f>
        <v>Dubuque, IA 52001</v>
      </c>
      <c r="I35" s="19"/>
      <c r="J35" s="20" t="str">
        <f>IFERROR(__xludf.DUMMYFUNCTION("""COMPUTED_VALUE"""),",  ")</f>
        <v>,  </v>
      </c>
      <c r="K35" s="19"/>
      <c r="L35" s="20" t="str">
        <f>IFERROR(__xludf.DUMMYFUNCTION("""COMPUTED_VALUE"""),"Dubuque, IA 52001")</f>
        <v>Dubuque, IA 52001</v>
      </c>
      <c r="M35" s="19"/>
      <c r="N35" s="20" t="str">
        <f>IFERROR(__xludf.DUMMYFUNCTION("""COMPUTED_VALUE"""),"Carbon Cliff, IL 61239")</f>
        <v>Carbon Cliff, IL 61239</v>
      </c>
      <c r="O35" s="19"/>
    </row>
    <row r="36" ht="10.5" customHeight="1">
      <c r="A36" s="7"/>
      <c r="B36" s="21" t="str">
        <f>IFERROR(__xludf.DUMMYFUNCTION("""COMPUTED_VALUE"""),"+1 319-859-5727")</f>
        <v>+1 319-859-5727</v>
      </c>
      <c r="C36" s="22"/>
      <c r="D36" s="23" t="str">
        <f>IFERROR(__xludf.DUMMYFUNCTION("""COMPUTED_VALUE"""),"+1 563-503-0371")</f>
        <v>+1 563-503-0371</v>
      </c>
      <c r="E36" s="22"/>
      <c r="F36" s="23" t="str">
        <f>IFERROR(__xludf.DUMMYFUNCTION("""COMPUTED_VALUE"""),"+1 563-564-6533")</f>
        <v>+1 563-564-6533</v>
      </c>
      <c r="G36" s="22"/>
      <c r="H36" s="23" t="str">
        <f>IFERROR(__xludf.DUMMYFUNCTION("""COMPUTED_VALUE"""),"+1 563-564-3032")</f>
        <v>+1 563-564-3032</v>
      </c>
      <c r="I36" s="22"/>
      <c r="J36" s="23" t="str">
        <f>IFERROR(__xludf.DUMMYFUNCTION("""COMPUTED_VALUE"""),"+1 563-258-0343")</f>
        <v>+1 563-258-0343</v>
      </c>
      <c r="K36" s="22"/>
      <c r="L36" s="23" t="str">
        <f>IFERROR(__xludf.DUMMYFUNCTION("""COMPUTED_VALUE"""),"+1 563-554-0901")</f>
        <v>+1 563-554-0901</v>
      </c>
      <c r="M36" s="22"/>
      <c r="N36" s="23" t="str">
        <f>IFERROR(__xludf.DUMMYFUNCTION("""COMPUTED_VALUE"""),"+1 563-676-9697")</f>
        <v>+1 563-676-9697</v>
      </c>
      <c r="O36" s="22"/>
    </row>
    <row r="37" ht="10.5" customHeight="1">
      <c r="A37" s="7"/>
      <c r="B37" s="4" t="str">
        <f>IFERROR(__xludf.DUMMYFUNCTION("spillArrayByArea(""Quad Cities (B) - SP"",IMPORTRANGE(""https://docs.google.com/spreadsheets/d/1kxPf4UHMcRerizZzfL8mTPSKpdGTJRWtz7_Z2hDQmcQ/edit#gid=615767414"",""'Contacts'!A1:Q""))"),"Quad Cities (B) - SP")</f>
        <v>Quad Cities (B) - SP</v>
      </c>
      <c r="C37" s="5"/>
      <c r="D37" s="6" t="str">
        <f>IFERROR(__xludf.DUMMYFUNCTION("spillArrayByArea(""River Bend 1 (A)"",IMPORTRANGE(""https://docs.google.com/spreadsheets/d/1kxPf4UHMcRerizZzfL8mTPSKpdGTJRWtz7_Z2hDQmcQ/edit#gid=615767414"",""'Contacts'!A1:Q""))"),"River Bend 1 (A)")</f>
        <v>River Bend 1 (A)</v>
      </c>
      <c r="E37" s="5"/>
      <c r="F37" s="6" t="str">
        <f>IFERROR(__xludf.DUMMYFUNCTION("spillArrayByArea(""River Bend 2 (A)"",IMPORTRANGE(""https://docs.google.com/spreadsheets/d/1kxPf4UHMcRerizZzfL8mTPSKpdGTJRWtz7_Z2hDQmcQ/edit#gid=615767414"",""'Contacts'!A1:Q""))"),"River Bend 2 (A)")</f>
        <v>River Bend 2 (A)</v>
      </c>
      <c r="G37" s="5"/>
      <c r="H37" s="6" t="str">
        <f>IFERROR(__xludf.DUMMYFUNCTION("spillArrayByArea(""River Bend 2 (B)"",IMPORTRANGE(""https://docs.google.com/spreadsheets/d/1kxPf4UHMcRerizZzfL8mTPSKpdGTJRWtz7_Z2hDQmcQ/edit#gid=615767414"",""'Contacts'!A1:Q""))"),"River Bend 2 (B)")</f>
        <v>River Bend 2 (B)</v>
      </c>
      <c r="I37" s="5"/>
      <c r="J37" s="6" t="str">
        <f>IFERROR(__xludf.DUMMYFUNCTION("spillArrayByArea(""Twin Bridges 1"",IMPORTRANGE(""https://docs.google.com/spreadsheets/d/1kxPf4UHMcRerizZzfL8mTPSKpdGTJRWtz7_Z2hDQmcQ/edit#gid=615767414"",""'Contacts'!A1:Q""))"),"Twin Bridges 1")</f>
        <v>Twin Bridges 1</v>
      </c>
      <c r="K37" s="5"/>
      <c r="L37" s="6" t="str">
        <f>IFERROR(__xludf.DUMMYFUNCTION("spillArrayByArea(""Twin Bridges 2"",IMPORTRANGE(""https://docs.google.com/spreadsheets/d/1kxPf4UHMcRerizZzfL8mTPSKpdGTJRWtz7_Z2hDQmcQ/edit#gid=615767414"",""'Contacts'!A1:Q""))"),"Twin Bridges 2")</f>
        <v>Twin Bridges 2</v>
      </c>
      <c r="M37" s="5"/>
      <c r="N37" s="6"/>
      <c r="O37" s="5"/>
    </row>
    <row r="38" ht="10.5" customHeight="1">
      <c r="A38" s="7"/>
      <c r="B38" s="8" t="str">
        <f>IFERROR(__xludf.DUMMYFUNCTION("""COMPUTED_VALUE"""),"TR")</f>
        <v>TR</v>
      </c>
      <c r="C38" s="9" t="str">
        <f>IFERROR(__xludf.DUMMYFUNCTION("""COMPUTED_VALUE"""),"Manu")</f>
        <v>Manu</v>
      </c>
      <c r="D38" s="10" t="str">
        <f>IFERROR(__xludf.DUMMYFUNCTION("""COMPUTED_VALUE""")," JC ")</f>
        <v> JC </v>
      </c>
      <c r="E38" s="9" t="str">
        <f>IFERROR(__xludf.DUMMYFUNCTION("""COMPUTED_VALUE"""),"Edgmon")</f>
        <v>Edgmon</v>
      </c>
      <c r="F38" s="10" t="str">
        <f>IFERROR(__xludf.DUMMYFUNCTION("""COMPUTED_VALUE"""),"TR")</f>
        <v>TR</v>
      </c>
      <c r="G38" s="9" t="str">
        <f>IFERROR(__xludf.DUMMYFUNCTION("""COMPUTED_VALUE"""),"Hixon")</f>
        <v>Hixon</v>
      </c>
      <c r="H38" s="10" t="str">
        <f>IFERROR(__xludf.DUMMYFUNCTION("""COMPUTED_VALUE"""),"JC")</f>
        <v>JC</v>
      </c>
      <c r="I38" s="9" t="str">
        <f>IFERROR(__xludf.DUMMYFUNCTION("""COMPUTED_VALUE"""),"Davidson")</f>
        <v>Davidson</v>
      </c>
      <c r="J38" s="10" t="str">
        <f>IFERROR(__xludf.DUMMYFUNCTION("""COMPUTED_VALUE""")," SC ")</f>
        <v> SC </v>
      </c>
      <c r="K38" s="9" t="str">
        <f>IFERROR(__xludf.DUMMYFUNCTION("""COMPUTED_VALUE"""),"Baldwin")</f>
        <v>Baldwin</v>
      </c>
      <c r="L38" s="10" t="str">
        <f>IFERROR(__xludf.DUMMYFUNCTION("""COMPUTED_VALUE"""),"DT")</f>
        <v>DT</v>
      </c>
      <c r="M38" s="9" t="str">
        <f>IFERROR(__xludf.DUMMYFUNCTION("""COMPUTED_VALUE"""),"Quarnberg")</f>
        <v>Quarnberg</v>
      </c>
      <c r="N38" s="10"/>
      <c r="O38" s="9"/>
    </row>
    <row r="39" ht="10.5" customHeight="1">
      <c r="A39" s="7"/>
      <c r="B39" s="11" t="str">
        <f>IFERROR(__xludf.DUMMYFUNCTION("""COMPUTED_VALUE"""),"JC")</f>
        <v>JC</v>
      </c>
      <c r="C39" s="12" t="str">
        <f>IFERROR(__xludf.DUMMYFUNCTION("""COMPUTED_VALUE"""),"Reading")</f>
        <v>Reading</v>
      </c>
      <c r="D39" s="13" t="str">
        <f>IFERROR(__xludf.DUMMYFUNCTION("""COMPUTED_VALUE""")," STL1 ")</f>
        <v> STL1 </v>
      </c>
      <c r="E39" s="12" t="str">
        <f>IFERROR(__xludf.DUMMYFUNCTION("""COMPUTED_VALUE"""),"Figgins")</f>
        <v>Figgins</v>
      </c>
      <c r="F39" s="13" t="str">
        <f>IFERROR(__xludf.DUMMYFUNCTION("""COMPUTED_VALUE"""),"JC")</f>
        <v>JC</v>
      </c>
      <c r="G39" s="12" t="str">
        <f>IFERROR(__xludf.DUMMYFUNCTION("""COMPUTED_VALUE"""),"Timothy")</f>
        <v>Timothy</v>
      </c>
      <c r="H39" s="13" t="str">
        <f>IFERROR(__xludf.DUMMYFUNCTION("""COMPUTED_VALUE"""),"SC")</f>
        <v>SC</v>
      </c>
      <c r="I39" s="12" t="str">
        <f>IFERROR(__xludf.DUMMYFUNCTION("""COMPUTED_VALUE"""),"Holman")</f>
        <v>Holman</v>
      </c>
      <c r="J39" s="13" t="str">
        <f>IFERROR(__xludf.DUMMYFUNCTION("""COMPUTED_VALUE""")," JC ")</f>
        <v> JC </v>
      </c>
      <c r="K39" s="12" t="str">
        <f>IFERROR(__xludf.DUMMYFUNCTION("""COMPUTED_VALUE"""),"Lothspeich")</f>
        <v>Lothspeich</v>
      </c>
      <c r="L39" s="13" t="str">
        <f>IFERROR(__xludf.DUMMYFUNCTION("""COMPUTED_VALUE"""),"JC")</f>
        <v>JC</v>
      </c>
      <c r="M39" s="12" t="str">
        <f>IFERROR(__xludf.DUMMYFUNCTION("""COMPUTED_VALUE"""),"Sampson")</f>
        <v>Sampson</v>
      </c>
      <c r="N39" s="13"/>
      <c r="O39" s="12"/>
    </row>
    <row r="40" ht="10.5" customHeight="1">
      <c r="A40" s="7"/>
      <c r="B40" s="11"/>
      <c r="C40" s="12"/>
      <c r="D40" s="13" t="str">
        <f>IFERROR(__xludf.DUMMYFUNCTION("""COMPUTED_VALUE""")," STL2 ")</f>
        <v> STL2 </v>
      </c>
      <c r="E40" s="12" t="str">
        <f>IFERROR(__xludf.DUMMYFUNCTION("""COMPUTED_VALUE"""),"Spencer")</f>
        <v>Spencer</v>
      </c>
      <c r="F40" s="13"/>
      <c r="G40" s="12"/>
      <c r="H40" s="13"/>
      <c r="I40" s="12"/>
      <c r="J40" s="13"/>
      <c r="K40" s="12"/>
      <c r="L40" s="13"/>
      <c r="M40" s="12"/>
      <c r="N40" s="13"/>
      <c r="O40" s="12"/>
    </row>
    <row r="41" ht="10.5" customHeight="1">
      <c r="A41" s="7"/>
      <c r="B41" s="15" t="str">
        <f>IFERROR(__xludf.DUMMYFUNCTION("""COMPUTED_VALUE"""),"")</f>
        <v/>
      </c>
      <c r="C41" s="16"/>
      <c r="D41" s="17" t="str">
        <f>IFERROR(__xludf.DUMMYFUNCTION("""COMPUTED_VALUE"""),"1601 Eagles Crest Ave. #E9")</f>
        <v>1601 Eagles Crest Ave. #E9</v>
      </c>
      <c r="E41" s="16"/>
      <c r="F41" s="17" t="str">
        <f>IFERROR(__xludf.DUMMYFUNCTION("""COMPUTED_VALUE"""),"411 34th Ave. #4")</f>
        <v>411 34th Ave. #4</v>
      </c>
      <c r="G41" s="16"/>
      <c r="H41" s="17" t="str">
        <f>IFERROR(__xludf.DUMMYFUNCTION("""COMPUTED_VALUE"""),"2009 7th St. #109D")</f>
        <v>2009 7th St. #109D</v>
      </c>
      <c r="I41" s="16"/>
      <c r="J41" s="17" t="str">
        <f>IFERROR(__xludf.DUMMYFUNCTION("""COMPUTED_VALUE"""),"3308 E Kimberly Rd. #351")</f>
        <v>3308 E Kimberly Rd. #351</v>
      </c>
      <c r="K41" s="16"/>
      <c r="L41" s="17" t="str">
        <f>IFERROR(__xludf.DUMMYFUNCTION("""COMPUTED_VALUE"""),"3434 Towne Pointe Dr. #301")</f>
        <v>3434 Towne Pointe Dr. #301</v>
      </c>
      <c r="M41" s="16"/>
      <c r="N41" s="17"/>
      <c r="O41" s="16"/>
    </row>
    <row r="42" ht="10.5" customHeight="1">
      <c r="A42" s="7"/>
      <c r="B42" s="18" t="str">
        <f>IFERROR(__xludf.DUMMYFUNCTION("""COMPUTED_VALUE"""),",  ")</f>
        <v>,  </v>
      </c>
      <c r="C42" s="19"/>
      <c r="D42" s="20" t="str">
        <f>IFERROR(__xludf.DUMMYFUNCTION("""COMPUTED_VALUE"""),"Davenport, IA 52804")</f>
        <v>Davenport, IA 52804</v>
      </c>
      <c r="E42" s="19"/>
      <c r="F42" s="20" t="str">
        <f>IFERROR(__xludf.DUMMYFUNCTION("""COMPUTED_VALUE"""),"East Moline, IL 61244")</f>
        <v>East Moline, IL 61244</v>
      </c>
      <c r="G42" s="19"/>
      <c r="H42" s="20" t="str">
        <f>IFERROR(__xludf.DUMMYFUNCTION("""COMPUTED_VALUE"""),"Silvis, IL 61282")</f>
        <v>Silvis, IL 61282</v>
      </c>
      <c r="I42" s="19"/>
      <c r="J42" s="20" t="str">
        <f>IFERROR(__xludf.DUMMYFUNCTION("""COMPUTED_VALUE"""),"Davenport, IA 52807")</f>
        <v>Davenport, IA 52807</v>
      </c>
      <c r="K42" s="19"/>
      <c r="L42" s="20" t="str">
        <f>IFERROR(__xludf.DUMMYFUNCTION("""COMPUTED_VALUE"""),"Bettendorf, IA 52722")</f>
        <v>Bettendorf, IA 52722</v>
      </c>
      <c r="M42" s="19"/>
      <c r="N42" s="20"/>
      <c r="O42" s="19"/>
    </row>
    <row r="43" ht="10.5" customHeight="1">
      <c r="A43" s="24"/>
      <c r="B43" s="21" t="str">
        <f>IFERROR(__xludf.DUMMYFUNCTION("""COMPUTED_VALUE"""),"+1 309-203-9490")</f>
        <v>+1 309-203-9490</v>
      </c>
      <c r="C43" s="22"/>
      <c r="D43" s="23" t="str">
        <f>IFERROR(__xludf.DUMMYFUNCTION("""COMPUTED_VALUE"""),"+1 563-676-5795")</f>
        <v>+1 563-676-5795</v>
      </c>
      <c r="E43" s="22"/>
      <c r="F43" s="23" t="str">
        <f>IFERROR(__xludf.DUMMYFUNCTION("""COMPUTED_VALUE"""),"+1 815-908-1265")</f>
        <v>+1 815-908-1265</v>
      </c>
      <c r="G43" s="22"/>
      <c r="H43" s="23" t="str">
        <f>IFERROR(__xludf.DUMMYFUNCTION("""COMPUTED_VALUE"""),"+1 309-203-6686")</f>
        <v>+1 309-203-6686</v>
      </c>
      <c r="I43" s="22"/>
      <c r="J43" s="23" t="str">
        <f>IFERROR(__xludf.DUMMYFUNCTION("""COMPUTED_VALUE"""),"+1 309-721-9064")</f>
        <v>+1 309-721-9064</v>
      </c>
      <c r="K43" s="22"/>
      <c r="L43" s="23" t="str">
        <f>IFERROR(__xludf.DUMMYFUNCTION("""COMPUTED_VALUE"""),"+1 515-778-3647")</f>
        <v>+1 515-778-3647</v>
      </c>
      <c r="M43" s="22"/>
      <c r="N43" s="23"/>
      <c r="O43" s="22"/>
    </row>
    <row r="44" ht="10.5" customHeight="1">
      <c r="A44" s="3" t="s">
        <v>3</v>
      </c>
      <c r="B44" s="4" t="str">
        <f>IFERROR(__xludf.DUMMYFUNCTION("spillArrayByArea(""Ankeny"",IMPORTRANGE(""https://docs.google.com/spreadsheets/d/1kxPf4UHMcRerizZzfL8mTPSKpdGTJRWtz7_Z2hDQmcQ/edit#gid=615767414"",""'Contacts'!A1:Q""))"),"Ankeny")</f>
        <v>Ankeny</v>
      </c>
      <c r="C44" s="5"/>
      <c r="D44" s="6" t="str">
        <f>IFERROR(__xludf.DUMMYFUNCTION("spillArrayByArea(""Beaver Creek"",IMPORTRANGE(""https://docs.google.com/spreadsheets/d/1kxPf4UHMcRerizZzfL8mTPSKpdGTJRWtz7_Z2hDQmcQ/edit#gid=615767414"",""'Contacts'!A1:Q""))"),"Beaver Creek")</f>
        <v>Beaver Creek</v>
      </c>
      <c r="E44" s="5"/>
      <c r="F44" s="6" t="str">
        <f>IFERROR(__xludf.DUMMYFUNCTION("spillArrayByArea(""Capitol (A) - SP"",IMPORTRANGE(""https://docs.google.com/spreadsheets/d/1kxPf4UHMcRerizZzfL8mTPSKpdGTJRWtz7_Z2hDQmcQ/edit#gid=615767414"",""'Contacts'!A1:Q""))"),"Capitol (A) - SP")</f>
        <v>Capitol (A) - SP</v>
      </c>
      <c r="G44" s="5"/>
      <c r="H44" s="6" t="str">
        <f>IFERROR(__xludf.DUMMYFUNCTION("spillArrayByArea(""Capitol (C) - SP"",IMPORTRANGE(""https://docs.google.com/spreadsheets/d/1kxPf4UHMcRerizZzfL8mTPSKpdGTJRWtz7_Z2hDQmcQ/edit#gid=615767414"",""'Contacts'!A1:Q""))"),"Capitol (C) - SP")</f>
        <v>Capitol (C) - SP</v>
      </c>
      <c r="I44" s="5"/>
      <c r="J44" s="6" t="str">
        <f>IFERROR(__xludf.DUMMYFUNCTION("spillArrayByArea(""Des Moines (A)"",IMPORTRANGE(""https://docs.google.com/spreadsheets/d/1kxPf4UHMcRerizZzfL8mTPSKpdGTJRWtz7_Z2hDQmcQ/edit#gid=615767414"",""'Contacts'!A1:Q""))"),"Des Moines (A)")</f>
        <v>Des Moines (A)</v>
      </c>
      <c r="K44" s="5"/>
      <c r="L44" s="6" t="str">
        <f>IFERROR(__xludf.DUMMYFUNCTION("spillArrayByArea(""Des Moines (B)"",IMPORTRANGE(""https://docs.google.com/spreadsheets/d/1kxPf4UHMcRerizZzfL8mTPSKpdGTJRWtz7_Z2hDQmcQ/edit#gid=615767414"",""'Contacts'!A1:Q""))"),"Des Moines (B)")</f>
        <v>Des Moines (B)</v>
      </c>
      <c r="M44" s="5"/>
      <c r="N44" s="6" t="str">
        <f>IFERROR(__xludf.DUMMYFUNCTION("spillArrayByArea(""Des Moines (C)"",IMPORTRANGE(""https://docs.google.com/spreadsheets/d/1kxPf4UHMcRerizZzfL8mTPSKpdGTJRWtz7_Z2hDQmcQ/edit#gid=615767414"",""'Contacts'!A1:Q""))"),"Des Moines (C)")</f>
        <v>Des Moines (C)</v>
      </c>
      <c r="O44" s="5"/>
    </row>
    <row r="45" ht="10.5" customHeight="1">
      <c r="A45" s="7"/>
      <c r="B45" s="8" t="str">
        <f>IFERROR(__xludf.DUMMYFUNCTION("""COMPUTED_VALUE""")," JC ")</f>
        <v> JC </v>
      </c>
      <c r="C45" s="9" t="str">
        <f>IFERROR(__xludf.DUMMYFUNCTION("""COMPUTED_VALUE"""),"Back")</f>
        <v>Back</v>
      </c>
      <c r="D45" s="10" t="str">
        <f>IFERROR(__xludf.DUMMYFUNCTION("""COMPUTED_VALUE""")," STL2 ")</f>
        <v> STL2 </v>
      </c>
      <c r="E45" s="9" t="str">
        <f>IFERROR(__xludf.DUMMYFUNCTION("""COMPUTED_VALUE"""),"Hudson")</f>
        <v>Hudson</v>
      </c>
      <c r="F45" s="10" t="str">
        <f>IFERROR(__xludf.DUMMYFUNCTION("""COMPUTED_VALUE"""),"TR")</f>
        <v>TR</v>
      </c>
      <c r="G45" s="9" t="str">
        <f>IFERROR(__xludf.DUMMYFUNCTION("""COMPUTED_VALUE"""),"Kurth")</f>
        <v>Kurth</v>
      </c>
      <c r="H45" s="10" t="str">
        <f>IFERROR(__xludf.DUMMYFUNCTION("""COMPUTED_VALUE"""),"DL")</f>
        <v>DL</v>
      </c>
      <c r="I45" s="9" t="str">
        <f>IFERROR(__xludf.DUMMYFUNCTION("""COMPUTED_VALUE"""),"Hales")</f>
        <v>Hales</v>
      </c>
      <c r="J45" s="10" t="str">
        <f>IFERROR(__xludf.DUMMYFUNCTION("""COMPUTED_VALUE"""),"ZL1")</f>
        <v>ZL1</v>
      </c>
      <c r="K45" s="9" t="str">
        <f>IFERROR(__xludf.DUMMYFUNCTION("""COMPUTED_VALUE"""),"Banner")</f>
        <v>Banner</v>
      </c>
      <c r="L45" s="10" t="str">
        <f>IFERROR(__xludf.DUMMYFUNCTION("""COMPUTED_VALUE"""),"JC")</f>
        <v>JC</v>
      </c>
      <c r="M45" s="9" t="str">
        <f>IFERROR(__xludf.DUMMYFUNCTION("""COMPUTED_VALUE"""),"Greenwood")</f>
        <v>Greenwood</v>
      </c>
      <c r="N45" s="10" t="str">
        <f>IFERROR(__xludf.DUMMYFUNCTION("""COMPUTED_VALUE"""),"JC")</f>
        <v>JC</v>
      </c>
      <c r="O45" s="9" t="str">
        <f>IFERROR(__xludf.DUMMYFUNCTION("""COMPUTED_VALUE"""),"Lawrence")</f>
        <v>Lawrence</v>
      </c>
    </row>
    <row r="46" ht="10.5" customHeight="1">
      <c r="A46" s="7"/>
      <c r="B46" s="11" t="str">
        <f>IFERROR(__xludf.DUMMYFUNCTION("""COMPUTED_VALUE""")," JC ")</f>
        <v> JC </v>
      </c>
      <c r="C46" s="12" t="str">
        <f>IFERROR(__xludf.DUMMYFUNCTION("""COMPUTED_VALUE"""),"Smith")</f>
        <v>Smith</v>
      </c>
      <c r="D46" s="13" t="str">
        <f>IFERROR(__xludf.DUMMYFUNCTION("""COMPUTED_VALUE""")," STL1 ")</f>
        <v> STL1 </v>
      </c>
      <c r="E46" s="12" t="str">
        <f>IFERROR(__xludf.DUMMYFUNCTION("""COMPUTED_VALUE"""),"Taylor")</f>
        <v>Taylor</v>
      </c>
      <c r="F46" s="13" t="str">
        <f>IFERROR(__xludf.DUMMYFUNCTION("""COMPUTED_VALUE"""),"JC")</f>
        <v>JC</v>
      </c>
      <c r="G46" s="12" t="str">
        <f>IFERROR(__xludf.DUMMYFUNCTION("""COMPUTED_VALUE"""),"Marcusen")</f>
        <v>Marcusen</v>
      </c>
      <c r="H46" s="13" t="str">
        <f>IFERROR(__xludf.DUMMYFUNCTION("""COMPUTED_VALUE"""),"JC")</f>
        <v>JC</v>
      </c>
      <c r="I46" s="12" t="str">
        <f>IFERROR(__xludf.DUMMYFUNCTION("""COMPUTED_VALUE"""),"Wallace")</f>
        <v>Wallace</v>
      </c>
      <c r="J46" s="13" t="str">
        <f>IFERROR(__xludf.DUMMYFUNCTION("""COMPUTED_VALUE"""),"ZL2")</f>
        <v>ZL2</v>
      </c>
      <c r="K46" s="12" t="str">
        <f>IFERROR(__xludf.DUMMYFUNCTION("""COMPUTED_VALUE"""),"Statie")</f>
        <v>Statie</v>
      </c>
      <c r="L46" s="13" t="str">
        <f>IFERROR(__xludf.DUMMYFUNCTION("""COMPUTED_VALUE"""),"DL")</f>
        <v>DL</v>
      </c>
      <c r="M46" s="12" t="str">
        <f>IFERROR(__xludf.DUMMYFUNCTION("""COMPUTED_VALUE"""),"Hensarling")</f>
        <v>Hensarling</v>
      </c>
      <c r="N46" s="13" t="str">
        <f>IFERROR(__xludf.DUMMYFUNCTION("""COMPUTED_VALUE"""),"SC")</f>
        <v>SC</v>
      </c>
      <c r="O46" s="12" t="str">
        <f>IFERROR(__xludf.DUMMYFUNCTION("""COMPUTED_VALUE"""),"Ray")</f>
        <v>Ray</v>
      </c>
    </row>
    <row r="47" ht="10.5" customHeight="1">
      <c r="A47" s="7"/>
      <c r="B47" s="11" t="str">
        <f>IFERROR(__xludf.DUMMYFUNCTION("""COMPUTED_VALUE""")," SC ")</f>
        <v> SC </v>
      </c>
      <c r="C47" s="12" t="str">
        <f>IFERROR(__xludf.DUMMYFUNCTION("""COMPUTED_VALUE"""),"Tayler")</f>
        <v>Tayler</v>
      </c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</row>
    <row r="48" ht="10.5" customHeight="1">
      <c r="A48" s="7"/>
      <c r="B48" s="15" t="str">
        <f>IFERROR(__xludf.DUMMYFUNCTION("""COMPUTED_VALUE"""),"202 NE Trilein Dr. #4")</f>
        <v>202 NE Trilein Dr. #4</v>
      </c>
      <c r="C48" s="16"/>
      <c r="D48" s="17" t="str">
        <f>IFERROR(__xludf.DUMMYFUNCTION("""COMPUTED_VALUE"""),"2512 Canterbury Rd. #174")</f>
        <v>2512 Canterbury Rd. #174</v>
      </c>
      <c r="E48" s="16"/>
      <c r="F48" s="17" t="str">
        <f>IFERROR(__xludf.DUMMYFUNCTION("""COMPUTED_VALUE"""),"432 Tonawanda Dr. #103")</f>
        <v>432 Tonawanda Dr. #103</v>
      </c>
      <c r="G48" s="16"/>
      <c r="H48" s="17" t="str">
        <f>IFERROR(__xludf.DUMMYFUNCTION("""COMPUTED_VALUE"""),"")</f>
        <v/>
      </c>
      <c r="I48" s="16"/>
      <c r="J48" s="17" t="str">
        <f>IFERROR(__xludf.DUMMYFUNCTION("""COMPUTED_VALUE"""),"5616 Hickman Rd. #7")</f>
        <v>5616 Hickman Rd. #7</v>
      </c>
      <c r="K48" s="16"/>
      <c r="L48" s="17" t="str">
        <f>IFERROR(__xludf.DUMMYFUNCTION("""COMPUTED_VALUE"""),"432 Tonawanda Dr. #204")</f>
        <v>432 Tonawanda Dr. #204</v>
      </c>
      <c r="M48" s="16"/>
      <c r="N48" s="17" t="str">
        <f>IFERROR(__xludf.DUMMYFUNCTION("""COMPUTED_VALUE"""),"5616 Hickman Rd. #7")</f>
        <v>5616 Hickman Rd. #7</v>
      </c>
      <c r="O48" s="16"/>
    </row>
    <row r="49" ht="10.5" customHeight="1">
      <c r="A49" s="7"/>
      <c r="B49" s="18" t="str">
        <f>IFERROR(__xludf.DUMMYFUNCTION("""COMPUTED_VALUE"""),"Ankeny, IA 50021")</f>
        <v>Ankeny, IA 50021</v>
      </c>
      <c r="C49" s="19"/>
      <c r="D49" s="20" t="str">
        <f>IFERROR(__xludf.DUMMYFUNCTION("""COMPUTED_VALUE"""),"Urbandale, IA 50322")</f>
        <v>Urbandale, IA 50322</v>
      </c>
      <c r="E49" s="19"/>
      <c r="F49" s="20" t="str">
        <f>IFERROR(__xludf.DUMMYFUNCTION("""COMPUTED_VALUE"""),"Des Moines, IA 50312")</f>
        <v>Des Moines, IA 50312</v>
      </c>
      <c r="G49" s="19"/>
      <c r="H49" s="20" t="str">
        <f>IFERROR(__xludf.DUMMYFUNCTION("""COMPUTED_VALUE"""),",  ")</f>
        <v>,  </v>
      </c>
      <c r="I49" s="19"/>
      <c r="J49" s="20" t="str">
        <f>IFERROR(__xludf.DUMMYFUNCTION("""COMPUTED_VALUE"""),"Des Moines, IA 50310")</f>
        <v>Des Moines, IA 50310</v>
      </c>
      <c r="K49" s="19"/>
      <c r="L49" s="20" t="str">
        <f>IFERROR(__xludf.DUMMYFUNCTION("""COMPUTED_VALUE"""),"Des Moines, IA 50312")</f>
        <v>Des Moines, IA 50312</v>
      </c>
      <c r="M49" s="19"/>
      <c r="N49" s="20" t="str">
        <f>IFERROR(__xludf.DUMMYFUNCTION("""COMPUTED_VALUE"""),"Des Moines, IA 50310")</f>
        <v>Des Moines, IA 50310</v>
      </c>
      <c r="O49" s="19"/>
    </row>
    <row r="50" ht="10.5" customHeight="1">
      <c r="A50" s="7"/>
      <c r="B50" s="21" t="str">
        <f>IFERROR(__xludf.DUMMYFUNCTION("""COMPUTED_VALUE"""),"+1 515-865-3146")</f>
        <v>+1 515-865-3146</v>
      </c>
      <c r="C50" s="22"/>
      <c r="D50" s="23" t="str">
        <f>IFERROR(__xludf.DUMMYFUNCTION("""COMPUTED_VALUE"""),"+1 515-783-2270")</f>
        <v>+1 515-783-2270</v>
      </c>
      <c r="E50" s="22"/>
      <c r="F50" s="23" t="str">
        <f>IFERROR(__xludf.DUMMYFUNCTION("""COMPUTED_VALUE"""),"+1 660-349-0156")</f>
        <v>+1 660-349-0156</v>
      </c>
      <c r="G50" s="22"/>
      <c r="H50" s="23" t="str">
        <f>IFERROR(__xludf.DUMMYFUNCTION("""COMPUTED_VALUE"""),"+1 515-718-6112")</f>
        <v>+1 515-718-6112</v>
      </c>
      <c r="I50" s="22"/>
      <c r="J50" s="23" t="str">
        <f>IFERROR(__xludf.DUMMYFUNCTION("""COMPUTED_VALUE"""),"+1 515-783-2305")</f>
        <v>+1 515-783-2305</v>
      </c>
      <c r="K50" s="22"/>
      <c r="L50" s="23" t="str">
        <f>IFERROR(__xludf.DUMMYFUNCTION("""COMPUTED_VALUE"""),"+1 563-676-5201")</f>
        <v>+1 563-676-5201</v>
      </c>
      <c r="M50" s="22"/>
      <c r="N50" s="23" t="str">
        <f>IFERROR(__xludf.DUMMYFUNCTION("""COMPUTED_VALUE"""),"+1 515-707-1221")</f>
        <v>+1 515-707-1221</v>
      </c>
      <c r="O50" s="22"/>
    </row>
    <row r="51" ht="10.5" customHeight="1">
      <c r="A51" s="7"/>
      <c r="B51" s="4" t="str">
        <f>IFERROR(__xludf.DUMMYFUNCTION("spillArrayByArea(""Newton"",IMPORTRANGE(""https://docs.google.com/spreadsheets/d/1kxPf4UHMcRerizZzfL8mTPSKpdGTJRWtz7_Z2hDQmcQ/edit#gid=615767414"",""'Contacts'!A1:Q""))"),"Newton")</f>
        <v>Newton</v>
      </c>
      <c r="C51" s="5"/>
      <c r="D51" s="6" t="str">
        <f>IFERROR(__xludf.DUMMYFUNCTION("spillArrayByArea(""Oskaloosa / Red Rock"",IMPORTRANGE(""https://docs.google.com/spreadsheets/d/1kxPf4UHMcRerizZzfL8mTPSKpdGTJRWtz7_Z2hDQmcQ/edit#gid=615767414"",""'Contacts'!A1:Q""))"),"Oskaloosa / Red Rock")</f>
        <v>Oskaloosa / Red Rock</v>
      </c>
      <c r="E51" s="5"/>
      <c r="F51" s="6" t="str">
        <f>IFERROR(__xludf.DUMMYFUNCTION("spillArrayByArea(""Rock Creek"",IMPORTRANGE(""https://docs.google.com/spreadsheets/d/1kxPf4UHMcRerizZzfL8mTPSKpdGTJRWtz7_Z2hDQmcQ/edit#gid=615767414"",""'Contacts'!A1:Q""))"),"Rock Creek")</f>
        <v>Rock Creek</v>
      </c>
      <c r="G51" s="5"/>
      <c r="H51" s="6" t="str">
        <f>IFERROR(__xludf.DUMMYFUNCTION("spillArrayByArea(""West DM / Capitol (B) - SP"",IMPORTRANGE(""https://docs.google.com/spreadsheets/d/1kxPf4UHMcRerizZzfL8mTPSKpdGTJRWtz7_Z2hDQmcQ/edit#gid=615767414"",""'Contacts'!A1:Q""))"),"West DM / Capitol (B) - SP")</f>
        <v>West DM / Capitol (B) - SP</v>
      </c>
      <c r="I51" s="5"/>
      <c r="J51" s="6"/>
      <c r="K51" s="5"/>
      <c r="L51" s="6"/>
      <c r="M51" s="5"/>
      <c r="N51" s="6"/>
      <c r="O51" s="5"/>
    </row>
    <row r="52" ht="10.5" customHeight="1">
      <c r="A52" s="7"/>
      <c r="B52" s="8" t="str">
        <f>IFERROR(__xludf.DUMMYFUNCTION("""COMPUTED_VALUE"""),"DT")</f>
        <v>DT</v>
      </c>
      <c r="C52" s="9" t="str">
        <f>IFERROR(__xludf.DUMMYFUNCTION("""COMPUTED_VALUE"""),"Hill")</f>
        <v>Hill</v>
      </c>
      <c r="D52" s="10" t="str">
        <f>IFERROR(__xludf.DUMMYFUNCTION("""COMPUTED_VALUE"""),"JC")</f>
        <v>JC</v>
      </c>
      <c r="E52" s="9" t="str">
        <f>IFERROR(__xludf.DUMMYFUNCTION("""COMPUTED_VALUE"""),"Ramthun")</f>
        <v>Ramthun</v>
      </c>
      <c r="F52" s="10" t="str">
        <f>IFERROR(__xludf.DUMMYFUNCTION("""COMPUTED_VALUE""")," JC ")</f>
        <v> JC </v>
      </c>
      <c r="G52" s="9" t="str">
        <f>IFERROR(__xludf.DUMMYFUNCTION("""COMPUTED_VALUE"""),"Hough")</f>
        <v>Hough</v>
      </c>
      <c r="H52" s="10" t="str">
        <f>IFERROR(__xludf.DUMMYFUNCTION("""COMPUTED_VALUE""")," JC ")</f>
        <v> JC </v>
      </c>
      <c r="I52" s="9" t="str">
        <f>IFERROR(__xludf.DUMMYFUNCTION("""COMPUTED_VALUE"""),"Alder")</f>
        <v>Alder</v>
      </c>
      <c r="J52" s="10"/>
      <c r="K52" s="9"/>
      <c r="L52" s="10"/>
      <c r="M52" s="9"/>
      <c r="N52" s="10"/>
      <c r="O52" s="9"/>
    </row>
    <row r="53" ht="10.5" customHeight="1">
      <c r="A53" s="7"/>
      <c r="B53" s="11" t="str">
        <f>IFERROR(__xludf.DUMMYFUNCTION("""COMPUTED_VALUE"""),"JC")</f>
        <v>JC</v>
      </c>
      <c r="C53" s="12" t="str">
        <f>IFERROR(__xludf.DUMMYFUNCTION("""COMPUTED_VALUE"""),"Jenkins")</f>
        <v>Jenkins</v>
      </c>
      <c r="D53" s="13" t="str">
        <f>IFERROR(__xludf.DUMMYFUNCTION("""COMPUTED_VALUE"""),"SC")</f>
        <v>SC</v>
      </c>
      <c r="E53" s="12" t="str">
        <f>IFERROR(__xludf.DUMMYFUNCTION("""COMPUTED_VALUE"""),"Uyuklu")</f>
        <v>Uyuklu</v>
      </c>
      <c r="F53" s="13" t="str">
        <f>IFERROR(__xludf.DUMMYFUNCTION("""COMPUTED_VALUE""")," TR ")</f>
        <v> TR </v>
      </c>
      <c r="G53" s="12" t="str">
        <f>IFERROR(__xludf.DUMMYFUNCTION("""COMPUTED_VALUE"""),"Staples")</f>
        <v>Staples</v>
      </c>
      <c r="H53" s="13" t="str">
        <f>IFERROR(__xludf.DUMMYFUNCTION("""COMPUTED_VALUE""")," JC ")</f>
        <v> JC </v>
      </c>
      <c r="I53" s="12" t="str">
        <f>IFERROR(__xludf.DUMMYFUNCTION("""COMPUTED_VALUE"""),"Brimhall")</f>
        <v>Brimhall</v>
      </c>
      <c r="J53" s="13"/>
      <c r="K53" s="12"/>
      <c r="L53" s="13"/>
      <c r="M53" s="12"/>
      <c r="N53" s="13"/>
      <c r="O53" s="12"/>
    </row>
    <row r="54" ht="10.5" customHeight="1">
      <c r="A54" s="7"/>
      <c r="B54" s="11"/>
      <c r="C54" s="12"/>
      <c r="D54" s="13"/>
      <c r="E54" s="12"/>
      <c r="F54" s="13"/>
      <c r="G54" s="12"/>
      <c r="H54" s="13" t="str">
        <f>IFERROR(__xludf.DUMMYFUNCTION("""COMPUTED_VALUE""")," SC ")</f>
        <v> SC </v>
      </c>
      <c r="I54" s="12" t="str">
        <f>IFERROR(__xludf.DUMMYFUNCTION("""COMPUTED_VALUE"""),"Busby")</f>
        <v>Busby</v>
      </c>
      <c r="J54" s="13"/>
      <c r="K54" s="12"/>
      <c r="L54" s="13"/>
      <c r="M54" s="12"/>
      <c r="N54" s="13"/>
      <c r="O54" s="12"/>
    </row>
    <row r="55" ht="10.5" customHeight="1">
      <c r="A55" s="7"/>
      <c r="B55" s="15" t="str">
        <f>IFERROR(__xludf.DUMMYFUNCTION("""COMPUTED_VALUE"""),"625 1st St. South")</f>
        <v>625 1st St. South</v>
      </c>
      <c r="C55" s="16"/>
      <c r="D55" s="17" t="str">
        <f>IFERROR(__xludf.DUMMYFUNCTION("""COMPUTED_VALUE"""),"219 High Ave. E #1")</f>
        <v>219 High Ave. E #1</v>
      </c>
      <c r="E55" s="16"/>
      <c r="F55" s="17" t="str">
        <f>IFERROR(__xludf.DUMMYFUNCTION("""COMPUTED_VALUE"""),"2018 NW Hickory Ln. #3")</f>
        <v>2018 NW Hickory Ln. #3</v>
      </c>
      <c r="G55" s="16"/>
      <c r="H55" s="17" t="str">
        <f>IFERROR(__xludf.DUMMYFUNCTION("""COMPUTED_VALUE"""),"1265 11th St. #116")</f>
        <v>1265 11th St. #116</v>
      </c>
      <c r="I55" s="16"/>
      <c r="J55" s="17"/>
      <c r="K55" s="16"/>
      <c r="L55" s="17"/>
      <c r="M55" s="16"/>
      <c r="N55" s="17"/>
      <c r="O55" s="16"/>
    </row>
    <row r="56" ht="10.5" customHeight="1">
      <c r="A56" s="7"/>
      <c r="B56" s="18" t="str">
        <f>IFERROR(__xludf.DUMMYFUNCTION("""COMPUTED_VALUE"""),"Newton, IA 50208")</f>
        <v>Newton, IA 50208</v>
      </c>
      <c r="C56" s="19"/>
      <c r="D56" s="20" t="str">
        <f>IFERROR(__xludf.DUMMYFUNCTION("""COMPUTED_VALUE"""),"Oskaloosa, IA 52577")</f>
        <v>Oskaloosa, IA 52577</v>
      </c>
      <c r="E56" s="19"/>
      <c r="F56" s="20" t="str">
        <f>IFERROR(__xludf.DUMMYFUNCTION("""COMPUTED_VALUE"""),"Ankeny, IA 50023")</f>
        <v>Ankeny, IA 50023</v>
      </c>
      <c r="G56" s="19"/>
      <c r="H56" s="20" t="str">
        <f>IFERROR(__xludf.DUMMYFUNCTION("""COMPUTED_VALUE"""),"West Des Moines, IA 50265")</f>
        <v>West Des Moines, IA 50265</v>
      </c>
      <c r="I56" s="19"/>
      <c r="J56" s="20"/>
      <c r="K56" s="19"/>
      <c r="L56" s="20"/>
      <c r="M56" s="19"/>
      <c r="N56" s="20"/>
      <c r="O56" s="19"/>
    </row>
    <row r="57" ht="10.5" customHeight="1">
      <c r="A57" s="24"/>
      <c r="B57" s="21" t="str">
        <f>IFERROR(__xludf.DUMMYFUNCTION("""COMPUTED_VALUE"""),"+1 641-831-3920")</f>
        <v>+1 641-831-3920</v>
      </c>
      <c r="C57" s="22"/>
      <c r="D57" s="23" t="str">
        <f>IFERROR(__xludf.DUMMYFUNCTION("""COMPUTED_VALUE"""),"+1 641-295-9101")</f>
        <v>+1 641-295-9101</v>
      </c>
      <c r="E57" s="22"/>
      <c r="F57" s="23" t="str">
        <f>IFERROR(__xludf.DUMMYFUNCTION("""COMPUTED_VALUE"""),"+1 515-868-5440")</f>
        <v>+1 515-868-5440</v>
      </c>
      <c r="G57" s="22"/>
      <c r="H57" s="23" t="str">
        <f>IFERROR(__xludf.DUMMYFUNCTION("""COMPUTED_VALUE"""),"+1 515-918-1684")</f>
        <v>+1 515-918-1684</v>
      </c>
      <c r="I57" s="22"/>
      <c r="J57" s="23"/>
      <c r="K57" s="22"/>
      <c r="L57" s="23"/>
      <c r="M57" s="22"/>
      <c r="N57" s="23"/>
      <c r="O57" s="22"/>
    </row>
    <row r="58" ht="10.5" customHeight="1">
      <c r="A58" s="3" t="s">
        <v>4</v>
      </c>
      <c r="B58" s="4" t="str">
        <f>IFERROR(__xludf.DUMMYFUNCTION("spillArrayByArea(""Belle Plaine"",IMPORTRANGE(""https://docs.google.com/spreadsheets/d/1kxPf4UHMcRerizZzfL8mTPSKpdGTJRWtz7_Z2hDQmcQ/edit#gid=615767414"",""'Contacts'!A1:Q""))"),"Belle Plaine")</f>
        <v>Belle Plaine</v>
      </c>
      <c r="C58" s="5"/>
      <c r="D58" s="6" t="str">
        <f>IFERROR(__xludf.DUMMYFUNCTION("spillArrayByArea(""Fairfield"",IMPORTRANGE(""https://docs.google.com/spreadsheets/d/1kxPf4UHMcRerizZzfL8mTPSKpdGTJRWtz7_Z2hDQmcQ/edit#gid=615767414"",""'Contacts'!A1:Q""))"),"Fairfield")</f>
        <v>Fairfield</v>
      </c>
      <c r="E58" s="5"/>
      <c r="F58" s="6" t="str">
        <f>IFERROR(__xludf.DUMMYFUNCTION("spillArrayByArea(""Iowa City 1 (A)"",IMPORTRANGE(""https://docs.google.com/spreadsheets/d/1kxPf4UHMcRerizZzfL8mTPSKpdGTJRWtz7_Z2hDQmcQ/edit#gid=615767414"",""'Contacts'!A1:Q""))"),"Iowa City 1 (A)")</f>
        <v>Iowa City 1 (A)</v>
      </c>
      <c r="G58" s="5"/>
      <c r="H58" s="6" t="str">
        <f>IFERROR(__xludf.DUMMYFUNCTION("spillArrayByArea(""Iowa City 1 (B) / Office"",IMPORTRANGE(""https://docs.google.com/spreadsheets/d/1kxPf4UHMcRerizZzfL8mTPSKpdGTJRWtz7_Z2hDQmcQ/edit#gid=615767414"",""'Contacts'!A1:Q""))"),"Iowa City 1 (B) / Office")</f>
        <v>Iowa City 1 (B) / Office</v>
      </c>
      <c r="I58" s="5"/>
      <c r="J58" s="6" t="str">
        <f>IFERROR(__xludf.DUMMYFUNCTION("spillArrayByArea(""Iowa City 2 (A)"",IMPORTRANGE(""https://docs.google.com/spreadsheets/d/1kxPf4UHMcRerizZzfL8mTPSKpdGTJRWtz7_Z2hDQmcQ/edit#gid=615767414"",""'Contacts'!A1:Q""))"),"Iowa City 2 (A)")</f>
        <v>Iowa City 2 (A)</v>
      </c>
      <c r="K58" s="5"/>
      <c r="L58" s="6" t="str">
        <f>IFERROR(__xludf.DUMMYFUNCTION("spillArrayByArea(""Iowa City 2 (B)"",IMPORTRANGE(""https://docs.google.com/spreadsheets/d/1kxPf4UHMcRerizZzfL8mTPSKpdGTJRWtz7_Z2hDQmcQ/edit#gid=615767414"",""'Contacts'!A1:Q""))"),"Iowa City 2 (B)")</f>
        <v>Iowa City 2 (B)</v>
      </c>
      <c r="M58" s="5"/>
      <c r="N58" s="6" t="str">
        <f>IFERROR(__xludf.DUMMYFUNCTION("spillArrayByArea(""Iowa City 4 (A)"",IMPORTRANGE(""https://docs.google.com/spreadsheets/d/1kxPf4UHMcRerizZzfL8mTPSKpdGTJRWtz7_Z2hDQmcQ/edit#gid=615767414"",""'Contacts'!A1:Q""))"),"Iowa City 4 (A)")</f>
        <v>Iowa City 4 (A)</v>
      </c>
      <c r="O58" s="5"/>
    </row>
    <row r="59" ht="10.5" customHeight="1">
      <c r="A59" s="7"/>
      <c r="B59" s="8" t="str">
        <f>IFERROR(__xludf.DUMMYFUNCTION("""COMPUTED_VALUE"""),"JC")</f>
        <v>JC</v>
      </c>
      <c r="C59" s="9" t="str">
        <f>IFERROR(__xludf.DUMMYFUNCTION("""COMPUTED_VALUE"""),"Harris")</f>
        <v>Harris</v>
      </c>
      <c r="D59" s="10" t="str">
        <f>IFERROR(__xludf.DUMMYFUNCTION("""COMPUTED_VALUE"""),"JC")</f>
        <v>JC</v>
      </c>
      <c r="E59" s="9" t="str">
        <f>IFERROR(__xludf.DUMMYFUNCTION("""COMPUTED_VALUE"""),"Richards")</f>
        <v>Richards</v>
      </c>
      <c r="F59" s="10" t="str">
        <f>IFERROR(__xludf.DUMMYFUNCTION("""COMPUTED_VALUE"""),"JC")</f>
        <v>JC</v>
      </c>
      <c r="G59" s="9" t="str">
        <f>IFERROR(__xludf.DUMMYFUNCTION("""COMPUTED_VALUE"""),"Smith")</f>
        <v>Smith</v>
      </c>
      <c r="H59" s="10" t="str">
        <f>IFERROR(__xludf.DUMMYFUNCTION("""COMPUTED_VALUE"""),"SA")</f>
        <v>SA</v>
      </c>
      <c r="I59" s="9" t="str">
        <f>IFERROR(__xludf.DUMMYFUNCTION("""COMPUTED_VALUE"""),"Briggs")</f>
        <v>Briggs</v>
      </c>
      <c r="J59" s="10" t="str">
        <f>IFERROR(__xludf.DUMMYFUNCTION("""COMPUTED_VALUE""")," SC ")</f>
        <v> SC </v>
      </c>
      <c r="K59" s="9" t="str">
        <f>IFERROR(__xludf.DUMMYFUNCTION("""COMPUTED_VALUE"""),"Camara Manoel")</f>
        <v>Camara Manoel</v>
      </c>
      <c r="L59" s="10" t="str">
        <f>IFERROR(__xludf.DUMMYFUNCTION("""COMPUTED_VALUE"""),"ZL1")</f>
        <v>ZL1</v>
      </c>
      <c r="M59" s="9" t="str">
        <f>IFERROR(__xludf.DUMMYFUNCTION("""COMPUTED_VALUE"""),"Anderson")</f>
        <v>Anderson</v>
      </c>
      <c r="N59" s="10" t="str">
        <f>IFERROR(__xludf.DUMMYFUNCTION("""COMPUTED_VALUE"""),"AP")</f>
        <v>AP</v>
      </c>
      <c r="O59" s="9" t="str">
        <f>IFERROR(__xludf.DUMMYFUNCTION("""COMPUTED_VALUE"""),"Ethington")</f>
        <v>Ethington</v>
      </c>
    </row>
    <row r="60" ht="10.5" customHeight="1">
      <c r="A60" s="7"/>
      <c r="B60" s="11" t="str">
        <f>IFERROR(__xludf.DUMMYFUNCTION("""COMPUTED_VALUE"""),"DL")</f>
        <v>DL</v>
      </c>
      <c r="C60" s="12" t="str">
        <f>IFERROR(__xludf.DUMMYFUNCTION("""COMPUTED_VALUE"""),"Morgan")</f>
        <v>Morgan</v>
      </c>
      <c r="D60" s="13" t="str">
        <f>IFERROR(__xludf.DUMMYFUNCTION("""COMPUTED_VALUE"""),"SC")</f>
        <v>SC</v>
      </c>
      <c r="E60" s="12" t="str">
        <f>IFERROR(__xludf.DUMMYFUNCTION("""COMPUTED_VALUE"""),"Thomas")</f>
        <v>Thomas</v>
      </c>
      <c r="F60" s="13" t="str">
        <f>IFERROR(__xludf.DUMMYFUNCTION("""COMPUTED_VALUE"""),"DT")</f>
        <v>DT</v>
      </c>
      <c r="G60" s="12" t="str">
        <f>IFERROR(__xludf.DUMMYFUNCTION("""COMPUTED_VALUE"""),"Stokes")</f>
        <v>Stokes</v>
      </c>
      <c r="H60" s="13" t="str">
        <f>IFERROR(__xludf.DUMMYFUNCTION("""COMPUTED_VALUE"""),"SA")</f>
        <v>SA</v>
      </c>
      <c r="I60" s="12" t="str">
        <f>IFERROR(__xludf.DUMMYFUNCTION("""COMPUTED_VALUE"""),"Freeze")</f>
        <v>Freeze</v>
      </c>
      <c r="J60" s="13" t="str">
        <f>IFERROR(__xludf.DUMMYFUNCTION("""COMPUTED_VALUE""")," STL1 ")</f>
        <v> STL1 </v>
      </c>
      <c r="K60" s="12" t="str">
        <f>IFERROR(__xludf.DUMMYFUNCTION("""COMPUTED_VALUE"""),"Rudd")</f>
        <v>Rudd</v>
      </c>
      <c r="L60" s="13" t="str">
        <f>IFERROR(__xludf.DUMMYFUNCTION("""COMPUTED_VALUE"""),"ZL2")</f>
        <v>ZL2</v>
      </c>
      <c r="M60" s="12" t="str">
        <f>IFERROR(__xludf.DUMMYFUNCTION("""COMPUTED_VALUE"""),"Worthington")</f>
        <v>Worthington</v>
      </c>
      <c r="N60" s="13" t="str">
        <f>IFERROR(__xludf.DUMMYFUNCTION("""COMPUTED_VALUE"""),"AP")</f>
        <v>AP</v>
      </c>
      <c r="O60" s="12" t="str">
        <f>IFERROR(__xludf.DUMMYFUNCTION("""COMPUTED_VALUE"""),"Teuscher")</f>
        <v>Teuscher</v>
      </c>
    </row>
    <row r="61" ht="10.5" customHeight="1">
      <c r="A61" s="7"/>
      <c r="B61" s="11"/>
      <c r="C61" s="12"/>
      <c r="D61" s="13"/>
      <c r="E61" s="12"/>
      <c r="F61" s="13"/>
      <c r="G61" s="12"/>
      <c r="H61" s="13" t="str">
        <f>IFERROR(__xludf.DUMMYFUNCTION("""COMPUTED_VALUE"""),"SA")</f>
        <v>SA</v>
      </c>
      <c r="I61" s="12" t="str">
        <f>IFERROR(__xludf.DUMMYFUNCTION("""COMPUTED_VALUE"""),"Sorenson")</f>
        <v>Sorenson</v>
      </c>
      <c r="J61" s="13" t="str">
        <f>IFERROR(__xludf.DUMMYFUNCTION("""COMPUTED_VALUE""")," JC ")</f>
        <v> JC </v>
      </c>
      <c r="K61" s="12" t="str">
        <f>IFERROR(__xludf.DUMMYFUNCTION("""COMPUTED_VALUE"""),"Smith")</f>
        <v>Smith</v>
      </c>
      <c r="L61" s="13"/>
      <c r="M61" s="12"/>
      <c r="N61" s="13"/>
      <c r="O61" s="12"/>
    </row>
    <row r="62" ht="10.5" customHeight="1">
      <c r="A62" s="7"/>
      <c r="B62" s="15" t="str">
        <f>IFERROR(__xludf.DUMMYFUNCTION("""COMPUTED_VALUE"""),"912 9th Ave. #2")</f>
        <v>912 9th Ave. #2</v>
      </c>
      <c r="C62" s="16"/>
      <c r="D62" s="17" t="str">
        <f>IFERROR(__xludf.DUMMYFUNCTION("""COMPUTED_VALUE"""),"1002 Adams Ct. #3")</f>
        <v>1002 Adams Ct. #3</v>
      </c>
      <c r="E62" s="16"/>
      <c r="F62" s="17" t="str">
        <f>IFERROR(__xludf.DUMMYFUNCTION("""COMPUTED_VALUE"""),"60 E Jefferson St. #9")</f>
        <v>60 E Jefferson St. #9</v>
      </c>
      <c r="G62" s="16"/>
      <c r="H62" s="17" t="str">
        <f>IFERROR(__xludf.DUMMYFUNCTION("""COMPUTED_VALUE"""),"303 4th Ave. #203")</f>
        <v>303 4th Ave. #203</v>
      </c>
      <c r="I62" s="16"/>
      <c r="J62" s="17" t="str">
        <f>IFERROR(__xludf.DUMMYFUNCTION("""COMPUTED_VALUE"""),"304 4th Ave. #25")</f>
        <v>304 4th Ave. #25</v>
      </c>
      <c r="K62" s="16"/>
      <c r="L62" s="17" t="str">
        <f>IFERROR(__xludf.DUMMYFUNCTION("""COMPUTED_VALUE"""),"930 Boston Way #A11")</f>
        <v>930 Boston Way #A11</v>
      </c>
      <c r="M62" s="16"/>
      <c r="N62" s="17" t="str">
        <f>IFERROR(__xludf.DUMMYFUNCTION("""COMPUTED_VALUE"""),"301 4th Ave. #203")</f>
        <v>301 4th Ave. #203</v>
      </c>
      <c r="O62" s="16"/>
    </row>
    <row r="63" ht="10.5" customHeight="1">
      <c r="A63" s="7"/>
      <c r="B63" s="18" t="str">
        <f>IFERROR(__xludf.DUMMYFUNCTION("""COMPUTED_VALUE"""),"Belle Plaine, IA 52208")</f>
        <v>Belle Plaine, IA 52208</v>
      </c>
      <c r="C63" s="19"/>
      <c r="D63" s="20" t="str">
        <f>IFERROR(__xludf.DUMMYFUNCTION("""COMPUTED_VALUE"""),"Fairfield, IA 52556")</f>
        <v>Fairfield, IA 52556</v>
      </c>
      <c r="E63" s="19"/>
      <c r="F63" s="20" t="str">
        <f>IFERROR(__xludf.DUMMYFUNCTION("""COMPUTED_VALUE"""),"North Liberty, IA 52317")</f>
        <v>North Liberty, IA 52317</v>
      </c>
      <c r="G63" s="19"/>
      <c r="H63" s="20" t="str">
        <f>IFERROR(__xludf.DUMMYFUNCTION("""COMPUTED_VALUE"""),"Coralville, IA 52241")</f>
        <v>Coralville, IA 52241</v>
      </c>
      <c r="I63" s="19"/>
      <c r="J63" s="20" t="str">
        <f>IFERROR(__xludf.DUMMYFUNCTION("""COMPUTED_VALUE"""),"Coralville, IA 52241")</f>
        <v>Coralville, IA 52241</v>
      </c>
      <c r="K63" s="19"/>
      <c r="L63" s="20" t="str">
        <f>IFERROR(__xludf.DUMMYFUNCTION("""COMPUTED_VALUE"""),"Coralville, IA 52241")</f>
        <v>Coralville, IA 52241</v>
      </c>
      <c r="M63" s="19"/>
      <c r="N63" s="20" t="str">
        <f>IFERROR(__xludf.DUMMYFUNCTION("""COMPUTED_VALUE"""),"Coralville, IA 52241")</f>
        <v>Coralville, IA 52241</v>
      </c>
      <c r="O63" s="19"/>
    </row>
    <row r="64" ht="10.5" customHeight="1">
      <c r="A64" s="7"/>
      <c r="B64" s="21" t="str">
        <f>IFERROR(__xludf.DUMMYFUNCTION("""COMPUTED_VALUE"""),"+1 319-621-3391")</f>
        <v>+1 319-621-3391</v>
      </c>
      <c r="C64" s="22"/>
      <c r="D64" s="23" t="str">
        <f>IFERROR(__xludf.DUMMYFUNCTION("""COMPUTED_VALUE"""),"+1 641-455-3457")</f>
        <v>+1 641-455-3457</v>
      </c>
      <c r="E64" s="22"/>
      <c r="F64" s="23" t="str">
        <f>IFERROR(__xludf.DUMMYFUNCTION("""COMPUTED_VALUE"""),"+1 319-594-6954")</f>
        <v>+1 319-594-6954</v>
      </c>
      <c r="G64" s="22"/>
      <c r="H64" s="23" t="str">
        <f>IFERROR(__xludf.DUMMYFUNCTION("""COMPUTED_VALUE"""),"+1 319-512-6466")</f>
        <v>+1 319-512-6466</v>
      </c>
      <c r="I64" s="22"/>
      <c r="J64" s="23" t="str">
        <f>IFERROR(__xludf.DUMMYFUNCTION("""COMPUTED_VALUE"""),"+1 319-883-7418")</f>
        <v>+1 319-883-7418</v>
      </c>
      <c r="K64" s="22"/>
      <c r="L64" s="23" t="str">
        <f>IFERROR(__xludf.DUMMYFUNCTION("""COMPUTED_VALUE"""),"+1 319-499-0716")</f>
        <v>+1 319-499-0716</v>
      </c>
      <c r="M64" s="22"/>
      <c r="N64" s="23" t="str">
        <f>IFERROR(__xludf.DUMMYFUNCTION("""COMPUTED_VALUE"""),"+1 515-745-6329")</f>
        <v>+1 515-745-6329</v>
      </c>
      <c r="O64" s="22"/>
    </row>
    <row r="65" ht="10.5" customHeight="1">
      <c r="A65" s="7"/>
      <c r="B65" s="4" t="str">
        <f>IFERROR(__xludf.DUMMYFUNCTION("spillArrayByArea(""Iowa City 4 (B) - FR"",IMPORTRANGE(""https://docs.google.com/spreadsheets/d/1kxPf4UHMcRerizZzfL8mTPSKpdGTJRWtz7_Z2hDQmcQ/edit#gid=615767414"",""'Contacts'!A1:Q""))"),"Iowa City 4 (B) - FR")</f>
        <v>Iowa City 4 (B) - FR</v>
      </c>
      <c r="C65" s="5"/>
      <c r="D65" s="6" t="str">
        <f>IFERROR(__xludf.DUMMYFUNCTION("spillArrayByArea(""Iowa City 5 (A) - SP"",IMPORTRANGE(""https://docs.google.com/spreadsheets/d/1kxPf4UHMcRerizZzfL8mTPSKpdGTJRWtz7_Z2hDQmcQ/edit#gid=615767414"",""'Contacts'!A1:Q""))"),"Iowa City 5 (A) - SP")</f>
        <v>Iowa City 5 (A) - SP</v>
      </c>
      <c r="E65" s="5"/>
      <c r="F65" s="6" t="str">
        <f>IFERROR(__xludf.DUMMYFUNCTION("spillArrayByArea(""Iowa City 5 (B) - SP"",IMPORTRANGE(""https://docs.google.com/spreadsheets/d/1kxPf4UHMcRerizZzfL8mTPSKpdGTJRWtz7_Z2hDQmcQ/edit#gid=615767414"",""'Contacts'!A1:Q""))"),"Iowa City 5 (B) - SP")</f>
        <v>Iowa City 5 (B) - SP</v>
      </c>
      <c r="G65" s="5"/>
      <c r="H65" s="6" t="str">
        <f>IFERROR(__xludf.DUMMYFUNCTION("spillArrayByArea(""Iowa City YSA / MSW"",IMPORTRANGE(""https://docs.google.com/spreadsheets/d/1kxPf4UHMcRerizZzfL8mTPSKpdGTJRWtz7_Z2hDQmcQ/edit#gid=615767414"",""'Contacts'!A1:Q""))"),"Iowa City YSA / MSW")</f>
        <v>Iowa City YSA / MSW</v>
      </c>
      <c r="I65" s="5"/>
      <c r="J65" s="6" t="str">
        <f>IFERROR(__xludf.DUMMYFUNCTION("spillArrayByArea(""Muscatine (A)"",IMPORTRANGE(""https://docs.google.com/spreadsheets/d/1kxPf4UHMcRerizZzfL8mTPSKpdGTJRWtz7_Z2hDQmcQ/edit#gid=615767414"",""'Contacts'!A1:Q""))"),"Muscatine (A)")</f>
        <v>Muscatine (A)</v>
      </c>
      <c r="K65" s="5"/>
      <c r="L65" s="6" t="str">
        <f>IFERROR(__xludf.DUMMYFUNCTION("spillArrayByArea(""Muscatine (B)"",IMPORTRANGE(""https://docs.google.com/spreadsheets/d/1kxPf4UHMcRerizZzfL8mTPSKpdGTJRWtz7_Z2hDQmcQ/edit#gid=615767414"",""'Contacts'!A1:Q""))"),"Muscatine (B)")</f>
        <v>Muscatine (B)</v>
      </c>
      <c r="M65" s="5"/>
      <c r="N65" s="6" t="str">
        <f>IFERROR(__xludf.DUMMYFUNCTION("spillArrayByArea(""Ottumwa (A) - M"",IMPORTRANGE(""https://docs.google.com/spreadsheets/d/1kxPf4UHMcRerizZzfL8mTPSKpdGTJRWtz7_Z2hDQmcQ/edit#gid=615767414"",""'Contacts'!A1:Q""))"),"Ottumwa (A) - M")</f>
        <v>Ottumwa (A) - M</v>
      </c>
      <c r="O65" s="5"/>
    </row>
    <row r="66" ht="10.5" customHeight="1">
      <c r="A66" s="7"/>
      <c r="B66" s="8" t="str">
        <f>IFERROR(__xludf.DUMMYFUNCTION("""COMPUTED_VALUE"""),"JC")</f>
        <v>JC</v>
      </c>
      <c r="C66" s="9" t="str">
        <f>IFERROR(__xludf.DUMMYFUNCTION("""COMPUTED_VALUE"""),"Aponte")</f>
        <v>Aponte</v>
      </c>
      <c r="D66" s="10" t="str">
        <f>IFERROR(__xludf.DUMMYFUNCTION("""COMPUTED_VALUE""")," SC ")</f>
        <v> SC </v>
      </c>
      <c r="E66" s="9" t="str">
        <f>IFERROR(__xludf.DUMMYFUNCTION("""COMPUTED_VALUE"""),"Solomon")</f>
        <v>Solomon</v>
      </c>
      <c r="F66" s="10" t="str">
        <f>IFERROR(__xludf.DUMMYFUNCTION("""COMPUTED_VALUE"""),"SC")</f>
        <v>SC</v>
      </c>
      <c r="G66" s="9" t="str">
        <f>IFERROR(__xludf.DUMMYFUNCTION("""COMPUTED_VALUE"""),"Harris")</f>
        <v>Harris</v>
      </c>
      <c r="H66" s="10" t="str">
        <f>IFERROR(__xludf.DUMMYFUNCTION("""COMPUTED_VALUE"""),"TR")</f>
        <v>TR</v>
      </c>
      <c r="I66" s="9" t="str">
        <f>IFERROR(__xludf.DUMMYFUNCTION("""COMPUTED_VALUE"""),"Byers")</f>
        <v>Byers</v>
      </c>
      <c r="J66" s="10" t="str">
        <f>IFERROR(__xludf.DUMMYFUNCTION("""COMPUTED_VALUE"""),"JC")</f>
        <v>JC</v>
      </c>
      <c r="K66" s="9" t="str">
        <f>IFERROR(__xludf.DUMMYFUNCTION("""COMPUTED_VALUE"""),"Johnson")</f>
        <v>Johnson</v>
      </c>
      <c r="L66" s="10" t="str">
        <f>IFERROR(__xludf.DUMMYFUNCTION("""COMPUTED_VALUE"""),"SC")</f>
        <v>SC</v>
      </c>
      <c r="M66" s="9" t="str">
        <f>IFERROR(__xludf.DUMMYFUNCTION("""COMPUTED_VALUE"""),"Holyoak")</f>
        <v>Holyoak</v>
      </c>
      <c r="N66" s="10" t="str">
        <f>IFERROR(__xludf.DUMMYFUNCTION("""COMPUTED_VALUE"""),"JC")</f>
        <v>JC</v>
      </c>
      <c r="O66" s="9" t="str">
        <f>IFERROR(__xludf.DUMMYFUNCTION("""COMPUTED_VALUE"""),"Cragun")</f>
        <v>Cragun</v>
      </c>
    </row>
    <row r="67" ht="10.5" customHeight="1">
      <c r="A67" s="7"/>
      <c r="B67" s="11" t="str">
        <f>IFERROR(__xludf.DUMMYFUNCTION("""COMPUTED_VALUE"""),"JC")</f>
        <v>JC</v>
      </c>
      <c r="C67" s="12" t="str">
        <f>IFERROR(__xludf.DUMMYFUNCTION("""COMPUTED_VALUE"""),"Bandley")</f>
        <v>Bandley</v>
      </c>
      <c r="D67" s="13"/>
      <c r="E67" s="12"/>
      <c r="F67" s="13" t="str">
        <f>IFERROR(__xludf.DUMMYFUNCTION("""COMPUTED_VALUE"""),"JC")</f>
        <v>JC</v>
      </c>
      <c r="G67" s="12" t="str">
        <f>IFERROR(__xludf.DUMMYFUNCTION("""COMPUTED_VALUE"""),"McWhorter")</f>
        <v>McWhorter</v>
      </c>
      <c r="H67" s="13" t="str">
        <f>IFERROR(__xludf.DUMMYFUNCTION("""COMPUTED_VALUE"""),"JC")</f>
        <v>JC</v>
      </c>
      <c r="I67" s="12" t="str">
        <f>IFERROR(__xludf.DUMMYFUNCTION("""COMPUTED_VALUE"""),"Wood")</f>
        <v>Wood</v>
      </c>
      <c r="J67" s="13" t="str">
        <f>IFERROR(__xludf.DUMMYFUNCTION("""COMPUTED_VALUE"""),"SC")</f>
        <v>SC</v>
      </c>
      <c r="K67" s="12" t="str">
        <f>IFERROR(__xludf.DUMMYFUNCTION("""COMPUTED_VALUE"""),"Thorpe")</f>
        <v>Thorpe</v>
      </c>
      <c r="L67" s="13" t="str">
        <f>IFERROR(__xludf.DUMMYFUNCTION("""COMPUTED_VALUE"""),"JC")</f>
        <v>JC</v>
      </c>
      <c r="M67" s="12" t="str">
        <f>IFERROR(__xludf.DUMMYFUNCTION("""COMPUTED_VALUE"""),"Thomas")</f>
        <v>Thomas</v>
      </c>
      <c r="N67" s="13" t="str">
        <f>IFERROR(__xludf.DUMMYFUNCTION("""COMPUTED_VALUE"""),"SC")</f>
        <v>SC</v>
      </c>
      <c r="O67" s="12" t="str">
        <f>IFERROR(__xludf.DUMMYFUNCTION("""COMPUTED_VALUE"""),"Remington")</f>
        <v>Remington</v>
      </c>
    </row>
    <row r="68" ht="10.5" customHeight="1">
      <c r="A68" s="7"/>
      <c r="B68" s="11" t="str">
        <f>IFERROR(__xludf.DUMMYFUNCTION("""COMPUTED_VALUE"""),"DL")</f>
        <v>DL</v>
      </c>
      <c r="C68" s="12" t="str">
        <f>IFERROR(__xludf.DUMMYFUNCTION("""COMPUTED_VALUE"""),"Karren")</f>
        <v>Karren</v>
      </c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</row>
    <row r="69" ht="10.5" customHeight="1">
      <c r="A69" s="7"/>
      <c r="B69" s="15" t="str">
        <f>IFERROR(__xludf.DUMMYFUNCTION("""COMPUTED_VALUE"""),"2135 Keokuk St. #5")</f>
        <v>2135 Keokuk St. #5</v>
      </c>
      <c r="C69" s="16"/>
      <c r="D69" s="17" t="str">
        <f>IFERROR(__xludf.DUMMYFUNCTION("""COMPUTED_VALUE"""),"1006 Oakcrest St. #204")</f>
        <v>1006 Oakcrest St. #204</v>
      </c>
      <c r="E69" s="16"/>
      <c r="F69" s="17" t="str">
        <f>IFERROR(__xludf.DUMMYFUNCTION("""COMPUTED_VALUE"""),"1137 1/2 Burlington")</f>
        <v>1137 1/2 Burlington</v>
      </c>
      <c r="G69" s="16"/>
      <c r="H69" s="17" t="str">
        <f>IFERROR(__xludf.DUMMYFUNCTION("""COMPUTED_VALUE"""),"722 Westwinds Dr. #1")</f>
        <v>722 Westwinds Dr. #1</v>
      </c>
      <c r="I69" s="16"/>
      <c r="J69" s="17" t="str">
        <f>IFERROR(__xludf.DUMMYFUNCTION("""COMPUTED_VALUE"""),"3419 Steamboat Way #9")</f>
        <v>3419 Steamboat Way #9</v>
      </c>
      <c r="K69" s="16"/>
      <c r="L69" s="17" t="str">
        <f>IFERROR(__xludf.DUMMYFUNCTION("""COMPUTED_VALUE"""),"3419 Steamboat Way #9")</f>
        <v>3419 Steamboat Way #9</v>
      </c>
      <c r="M69" s="16"/>
      <c r="N69" s="17" t="str">
        <f>IFERROR(__xludf.DUMMYFUNCTION("""COMPUTED_VALUE"""),"117 W Rochester #61")</f>
        <v>117 W Rochester #61</v>
      </c>
      <c r="O69" s="16"/>
    </row>
    <row r="70" ht="10.5" customHeight="1">
      <c r="A70" s="7"/>
      <c r="B70" s="18" t="str">
        <f>IFERROR(__xludf.DUMMYFUNCTION("""COMPUTED_VALUE"""),"Iowa City, IA 52240")</f>
        <v>Iowa City, IA 52240</v>
      </c>
      <c r="C70" s="19"/>
      <c r="D70" s="20" t="str">
        <f>IFERROR(__xludf.DUMMYFUNCTION("""COMPUTED_VALUE"""),"Iowa City, IA 52246")</f>
        <v>Iowa City, IA 52246</v>
      </c>
      <c r="E70" s="19"/>
      <c r="F70" s="20" t="str">
        <f>IFERROR(__xludf.DUMMYFUNCTION("""COMPUTED_VALUE"""),"Iowa City, IA 52240")</f>
        <v>Iowa City, IA 52240</v>
      </c>
      <c r="G70" s="19"/>
      <c r="H70" s="20" t="str">
        <f>IFERROR(__xludf.DUMMYFUNCTION("""COMPUTED_VALUE"""),"Iowa City, IA 52246")</f>
        <v>Iowa City, IA 52246</v>
      </c>
      <c r="I70" s="19"/>
      <c r="J70" s="20" t="str">
        <f>IFERROR(__xludf.DUMMYFUNCTION("""COMPUTED_VALUE"""),"Muscatine, IA 52761")</f>
        <v>Muscatine, IA 52761</v>
      </c>
      <c r="K70" s="19"/>
      <c r="L70" s="20" t="str">
        <f>IFERROR(__xludf.DUMMYFUNCTION("""COMPUTED_VALUE"""),"Muscatine, IA 52761")</f>
        <v>Muscatine, IA 52761</v>
      </c>
      <c r="M70" s="19"/>
      <c r="N70" s="20" t="str">
        <f>IFERROR(__xludf.DUMMYFUNCTION("""COMPUTED_VALUE"""),"Ottumwa, IA 52501")</f>
        <v>Ottumwa, IA 52501</v>
      </c>
      <c r="O70" s="19"/>
    </row>
    <row r="71" ht="10.5" customHeight="1">
      <c r="A71" s="7"/>
      <c r="B71" s="21" t="str">
        <f>IFERROR(__xludf.DUMMYFUNCTION("""COMPUTED_VALUE"""),"+1 319-621-5916")</f>
        <v>+1 319-621-5916</v>
      </c>
      <c r="C71" s="22"/>
      <c r="D71" s="23" t="str">
        <f>IFERROR(__xludf.DUMMYFUNCTION("""COMPUTED_VALUE"""),"+1 319-383-9922")</f>
        <v>+1 319-383-9922</v>
      </c>
      <c r="E71" s="22"/>
      <c r="F71" s="23" t="str">
        <f>IFERROR(__xludf.DUMMYFUNCTION("""COMPUTED_VALUE"""),"+1 (641) 244-6535")</f>
        <v>+1 (641) 244-6535</v>
      </c>
      <c r="G71" s="22"/>
      <c r="H71" s="23" t="str">
        <f>IFERROR(__xludf.DUMMYFUNCTION("""COMPUTED_VALUE"""),"+1 319-601-6426")</f>
        <v>+1 319-601-6426</v>
      </c>
      <c r="I71" s="22"/>
      <c r="J71" s="23" t="str">
        <f>IFERROR(__xludf.DUMMYFUNCTION("""COMPUTED_VALUE"""),"+1 515-639-5457")</f>
        <v>+1 515-639-5457</v>
      </c>
      <c r="K71" s="22"/>
      <c r="L71" s="23" t="str">
        <f>IFERROR(__xludf.DUMMYFUNCTION("""COMPUTED_VALUE"""),"+1 319-529-8168")</f>
        <v>+1 319-529-8168</v>
      </c>
      <c r="M71" s="22"/>
      <c r="N71" s="23" t="str">
        <f>IFERROR(__xludf.DUMMYFUNCTION("""COMPUTED_VALUE"""),"+1 641-954-6713")</f>
        <v>+1 641-954-6713</v>
      </c>
      <c r="O71" s="22"/>
    </row>
    <row r="72" ht="10.5" customHeight="1">
      <c r="A72" s="7"/>
      <c r="B72" s="4" t="str">
        <f>IFERROR(__xludf.DUMMYFUNCTION("spillArrayByArea(""Ottumwa (B) - SP"",IMPORTRANGE(""https://docs.google.com/spreadsheets/d/1kxPf4UHMcRerizZzfL8mTPSKpdGTJRWtz7_Z2hDQmcQ/edit#gid=615767414"",""'Contacts'!A1:Q""))"),"Ottumwa (B) - SP")</f>
        <v>Ottumwa (B) - SP</v>
      </c>
      <c r="C72" s="5"/>
      <c r="D72" s="6" t="str">
        <f>IFERROR(__xludf.DUMMYFUNCTION("spillArrayByArea(""Washington"",IMPORTRANGE(""https://docs.google.com/spreadsheets/d/1kxPf4UHMcRerizZzfL8mTPSKpdGTJRWtz7_Z2hDQmcQ/edit#gid=615767414"",""'Contacts'!A1:Q""))"),"Washington")</f>
        <v>Washington</v>
      </c>
      <c r="E72" s="5"/>
      <c r="F72" s="6"/>
      <c r="G72" s="5"/>
      <c r="H72" s="6"/>
      <c r="I72" s="5"/>
      <c r="J72" s="6"/>
      <c r="K72" s="5"/>
      <c r="L72" s="6"/>
      <c r="M72" s="5"/>
      <c r="N72" s="6"/>
      <c r="O72" s="5"/>
    </row>
    <row r="73" ht="10.5" customHeight="1">
      <c r="A73" s="7"/>
      <c r="B73" s="8" t="str">
        <f>IFERROR(__xludf.DUMMYFUNCTION("""COMPUTED_VALUE"""),"JC")</f>
        <v>JC</v>
      </c>
      <c r="C73" s="9" t="str">
        <f>IFERROR(__xludf.DUMMYFUNCTION("""COMPUTED_VALUE"""),"Hucks")</f>
        <v>Hucks</v>
      </c>
      <c r="D73" s="10" t="str">
        <f>IFERROR(__xludf.DUMMYFUNCTION("""COMPUTED_VALUE"""),"JC")</f>
        <v>JC</v>
      </c>
      <c r="E73" s="9" t="str">
        <f>IFERROR(__xludf.DUMMYFUNCTION("""COMPUTED_VALUE"""),"Bagley")</f>
        <v>Bagley</v>
      </c>
      <c r="F73" s="10"/>
      <c r="G73" s="9"/>
      <c r="H73" s="10"/>
      <c r="I73" s="9"/>
      <c r="J73" s="10"/>
      <c r="K73" s="9"/>
      <c r="L73" s="10"/>
      <c r="M73" s="9"/>
      <c r="N73" s="10"/>
      <c r="O73" s="9"/>
    </row>
    <row r="74" ht="10.5" customHeight="1">
      <c r="A74" s="7"/>
      <c r="B74" s="11" t="str">
        <f>IFERROR(__xludf.DUMMYFUNCTION("""COMPUTED_VALUE"""),"SC")</f>
        <v>SC</v>
      </c>
      <c r="C74" s="12" t="str">
        <f>IFERROR(__xludf.DUMMYFUNCTION("""COMPUTED_VALUE"""),"Hudson")</f>
        <v>Hudson</v>
      </c>
      <c r="D74" s="13" t="str">
        <f>IFERROR(__xludf.DUMMYFUNCTION("""COMPUTED_VALUE"""),"DL")</f>
        <v>DL</v>
      </c>
      <c r="E74" s="12" t="str">
        <f>IFERROR(__xludf.DUMMYFUNCTION("""COMPUTED_VALUE"""),"Suchomel")</f>
        <v>Suchomel</v>
      </c>
      <c r="F74" s="13"/>
      <c r="G74" s="12"/>
      <c r="H74" s="13"/>
      <c r="I74" s="12"/>
      <c r="J74" s="13"/>
      <c r="K74" s="12"/>
      <c r="L74" s="13"/>
      <c r="M74" s="12"/>
      <c r="N74" s="13"/>
      <c r="O74" s="12"/>
    </row>
    <row r="75" ht="10.5" customHeight="1">
      <c r="A75" s="7"/>
      <c r="B75" s="11"/>
      <c r="C75" s="12"/>
      <c r="D75" s="13"/>
      <c r="E75" s="12"/>
      <c r="F75" s="13"/>
      <c r="G75" s="12"/>
      <c r="H75" s="13"/>
      <c r="I75" s="12"/>
      <c r="J75" s="13"/>
      <c r="K75" s="12"/>
      <c r="L75" s="13"/>
      <c r="M75" s="12"/>
      <c r="N75" s="13"/>
      <c r="O75" s="12"/>
    </row>
    <row r="76" ht="10.5" customHeight="1">
      <c r="A76" s="7"/>
      <c r="B76" s="15" t="str">
        <f>IFERROR(__xludf.DUMMYFUNCTION("""COMPUTED_VALUE"""),"117 Rochester St. #3")</f>
        <v>117 Rochester St. #3</v>
      </c>
      <c r="C76" s="16"/>
      <c r="D76" s="17" t="str">
        <f>IFERROR(__xludf.DUMMYFUNCTION("""COMPUTED_VALUE"""),"110 1/2 W Main St. #3")</f>
        <v>110 1/2 W Main St. #3</v>
      </c>
      <c r="E76" s="16"/>
      <c r="F76" s="17"/>
      <c r="G76" s="16"/>
      <c r="H76" s="17"/>
      <c r="I76" s="16"/>
      <c r="J76" s="17"/>
      <c r="K76" s="16"/>
      <c r="L76" s="17"/>
      <c r="M76" s="16"/>
      <c r="N76" s="17"/>
      <c r="O76" s="16"/>
    </row>
    <row r="77" ht="10.5" customHeight="1">
      <c r="A77" s="7"/>
      <c r="B77" s="18" t="str">
        <f>IFERROR(__xludf.DUMMYFUNCTION("""COMPUTED_VALUE"""),"Ottumwa, IA 52501")</f>
        <v>Ottumwa, IA 52501</v>
      </c>
      <c r="C77" s="19"/>
      <c r="D77" s="20" t="str">
        <f>IFERROR(__xludf.DUMMYFUNCTION("""COMPUTED_VALUE"""),"Washington, IA 52353")</f>
        <v>Washington, IA 52353</v>
      </c>
      <c r="E77" s="19"/>
      <c r="F77" s="20"/>
      <c r="G77" s="19"/>
      <c r="H77" s="20"/>
      <c r="I77" s="19"/>
      <c r="J77" s="20"/>
      <c r="K77" s="19"/>
      <c r="L77" s="20"/>
      <c r="M77" s="19"/>
      <c r="N77" s="20"/>
      <c r="O77" s="19"/>
    </row>
    <row r="78" ht="10.5" customHeight="1">
      <c r="A78" s="24"/>
      <c r="B78" s="21" t="str">
        <f>IFERROR(__xludf.DUMMYFUNCTION("""COMPUTED_VALUE"""),"+1 641-455-9161")</f>
        <v>+1 641-455-9161</v>
      </c>
      <c r="C78" s="22"/>
      <c r="D78" s="23" t="str">
        <f>IFERROR(__xludf.DUMMYFUNCTION("""COMPUTED_VALUE"""),"+1 319-621-9245")</f>
        <v>+1 319-621-9245</v>
      </c>
      <c r="E78" s="22"/>
      <c r="F78" s="23"/>
      <c r="G78" s="22"/>
      <c r="H78" s="23"/>
      <c r="I78" s="22"/>
      <c r="J78" s="23"/>
      <c r="K78" s="22"/>
      <c r="L78" s="23"/>
      <c r="M78" s="22"/>
      <c r="N78" s="23"/>
      <c r="O78" s="22"/>
    </row>
    <row r="79" ht="10.5" customHeight="1">
      <c r="A79" s="3" t="s">
        <v>5</v>
      </c>
      <c r="B79" s="4" t="str">
        <f>IFERROR(__xludf.DUMMYFUNCTION("spillArrayByArea(""Centerville"",IMPORTRANGE(""https://docs.google.com/spreadsheets/d/1kxPf4UHMcRerizZzfL8mTPSKpdGTJRWtz7_Z2hDQmcQ/edit#gid=615767414"",""'Contacts'!A1:Q""))"),"Centerville")</f>
        <v>Centerville</v>
      </c>
      <c r="C79" s="5"/>
      <c r="D79" s="6" t="str">
        <f>IFERROR(__xludf.DUMMYFUNCTION("spillArrayByArea(""Easter Lake (A)"",IMPORTRANGE(""https://docs.google.com/spreadsheets/d/1kxPf4UHMcRerizZzfL8mTPSKpdGTJRWtz7_Z2hDQmcQ/edit#gid=615767414"",""'Contacts'!A1:Q""))"),"Easter Lake (A)")</f>
        <v>Easter Lake (A)</v>
      </c>
      <c r="E79" s="5"/>
      <c r="F79" s="6" t="str">
        <f>IFERROR(__xludf.DUMMYFUNCTION("spillArrayByArea(""Easter Lake (B)"",IMPORTRANGE(""https://docs.google.com/spreadsheets/d/1kxPf4UHMcRerizZzfL8mTPSKpdGTJRWtz7_Z2hDQmcQ/edit#gid=615767414"",""'Contacts'!A1:Q""))"),"Easter Lake (B)")</f>
        <v>Easter Lake (B)</v>
      </c>
      <c r="G79" s="5"/>
      <c r="H79" s="6" t="str">
        <f>IFERROR(__xludf.DUMMYFUNCTION("spillArrayByArea(""Lenox"",IMPORTRANGE(""https://docs.google.com/spreadsheets/d/1kxPf4UHMcRerizZzfL8mTPSKpdGTJRWtz7_Z2hDQmcQ/edit#gid=615767414"",""'Contacts'!A1:Q""))"),"Lenox")</f>
        <v>Lenox</v>
      </c>
      <c r="I79" s="5"/>
      <c r="J79" s="6" t="str">
        <f>IFERROR(__xludf.DUMMYFUNCTION("spillArrayByArea(""Osceola"",IMPORTRANGE(""https://docs.google.com/spreadsheets/d/1kxPf4UHMcRerizZzfL8mTPSKpdGTJRWtz7_Z2hDQmcQ/edit#gid=615767414"",""'Contacts'!A1:Q""))"),"Osceola")</f>
        <v>Osceola</v>
      </c>
      <c r="K79" s="5"/>
      <c r="L79" s="6" t="str">
        <f>IFERROR(__xludf.DUMMYFUNCTION("spillArrayByArea(""Perry - SP"",IMPORTRANGE(""https://docs.google.com/spreadsheets/d/1kxPf4UHMcRerizZzfL8mTPSKpdGTJRWtz7_Z2hDQmcQ/edit#gid=615767414"",""'Contacts'!A1:Q""))"),"Perry - SP")</f>
        <v>Perry - SP</v>
      </c>
      <c r="M79" s="5"/>
      <c r="N79" s="6" t="str">
        <f>IFERROR(__xludf.DUMMYFUNCTION("spillArrayByArea(""Raccoon River (A)"",IMPORTRANGE(""https://docs.google.com/spreadsheets/d/1kxPf4UHMcRerizZzfL8mTPSKpdGTJRWtz7_Z2hDQmcQ/edit#gid=615767414"",""'Contacts'!A1:Q""))"),"Raccoon River (A)")</f>
        <v>Raccoon River (A)</v>
      </c>
      <c r="O79" s="5"/>
    </row>
    <row r="80" ht="10.5" customHeight="1">
      <c r="A80" s="7"/>
      <c r="B80" s="8" t="str">
        <f>IFERROR(__xludf.DUMMYFUNCTION("""COMPUTED_VALUE"""),"JC")</f>
        <v>JC</v>
      </c>
      <c r="C80" s="9" t="str">
        <f>IFERROR(__xludf.DUMMYFUNCTION("""COMPUTED_VALUE"""),"Hurd")</f>
        <v>Hurd</v>
      </c>
      <c r="D80" s="10" t="str">
        <f>IFERROR(__xludf.DUMMYFUNCTION("""COMPUTED_VALUE"""),"JC")</f>
        <v>JC</v>
      </c>
      <c r="E80" s="9" t="str">
        <f>IFERROR(__xludf.DUMMYFUNCTION("""COMPUTED_VALUE"""),"Ginn")</f>
        <v>Ginn</v>
      </c>
      <c r="F80" s="10" t="str">
        <f>IFERROR(__xludf.DUMMYFUNCTION("""COMPUTED_VALUE"""),"JC")</f>
        <v>JC</v>
      </c>
      <c r="G80" s="9" t="str">
        <f>IFERROR(__xludf.DUMMYFUNCTION("""COMPUTED_VALUE"""),"Atkins")</f>
        <v>Atkins</v>
      </c>
      <c r="H80" s="10" t="str">
        <f>IFERROR(__xludf.DUMMYFUNCTION("""COMPUTED_VALUE"""),"DT")</f>
        <v>DT</v>
      </c>
      <c r="I80" s="9" t="str">
        <f>IFERROR(__xludf.DUMMYFUNCTION("""COMPUTED_VALUE"""),"Lines")</f>
        <v>Lines</v>
      </c>
      <c r="J80" s="10" t="str">
        <f>IFERROR(__xludf.DUMMYFUNCTION("""COMPUTED_VALUE"""),"JC")</f>
        <v>JC</v>
      </c>
      <c r="K80" s="9" t="str">
        <f>IFERROR(__xludf.DUMMYFUNCTION("""COMPUTED_VALUE"""),"Lerohl")</f>
        <v>Lerohl</v>
      </c>
      <c r="L80" s="10" t="str">
        <f>IFERROR(__xludf.DUMMYFUNCTION("""COMPUTED_VALUE"""),"TR")</f>
        <v>TR</v>
      </c>
      <c r="M80" s="9" t="str">
        <f>IFERROR(__xludf.DUMMYFUNCTION("""COMPUTED_VALUE"""),"Edmonds")</f>
        <v>Edmonds</v>
      </c>
      <c r="N80" s="10" t="str">
        <f>IFERROR(__xludf.DUMMYFUNCTION("""COMPUTED_VALUE"""),"JC")</f>
        <v>JC</v>
      </c>
      <c r="O80" s="9" t="str">
        <f>IFERROR(__xludf.DUMMYFUNCTION("""COMPUTED_VALUE"""),"Neil")</f>
        <v>Neil</v>
      </c>
    </row>
    <row r="81" ht="10.5" customHeight="1">
      <c r="A81" s="7"/>
      <c r="B81" s="11" t="str">
        <f>IFERROR(__xludf.DUMMYFUNCTION("""COMPUTED_VALUE"""),"TR")</f>
        <v>TR</v>
      </c>
      <c r="C81" s="12" t="str">
        <f>IFERROR(__xludf.DUMMYFUNCTION("""COMPUTED_VALUE"""),"Singleton")</f>
        <v>Singleton</v>
      </c>
      <c r="D81" s="13" t="str">
        <f>IFERROR(__xludf.DUMMYFUNCTION("""COMPUTED_VALUE"""),"ZL2")</f>
        <v>ZL2</v>
      </c>
      <c r="E81" s="12" t="str">
        <f>IFERROR(__xludf.DUMMYFUNCTION("""COMPUTED_VALUE"""),"Spears")</f>
        <v>Spears</v>
      </c>
      <c r="F81" s="13" t="str">
        <f>IFERROR(__xludf.DUMMYFUNCTION("""COMPUTED_VALUE"""),"DL")</f>
        <v>DL</v>
      </c>
      <c r="G81" s="12" t="str">
        <f>IFERROR(__xludf.DUMMYFUNCTION("""COMPUTED_VALUE"""),"Bodily")</f>
        <v>Bodily</v>
      </c>
      <c r="H81" s="13" t="str">
        <f>IFERROR(__xludf.DUMMYFUNCTION("""COMPUTED_VALUE"""),"JC")</f>
        <v>JC</v>
      </c>
      <c r="I81" s="12" t="str">
        <f>IFERROR(__xludf.DUMMYFUNCTION("""COMPUTED_VALUE"""),"Naegle")</f>
        <v>Naegle</v>
      </c>
      <c r="J81" s="13" t="str">
        <f>IFERROR(__xludf.DUMMYFUNCTION("""COMPUTED_VALUE"""),"SC")</f>
        <v>SC</v>
      </c>
      <c r="K81" s="12" t="str">
        <f>IFERROR(__xludf.DUMMYFUNCTION("""COMPUTED_VALUE"""),"Santa Maria")</f>
        <v>Santa Maria</v>
      </c>
      <c r="L81" s="13" t="str">
        <f>IFERROR(__xludf.DUMMYFUNCTION("""COMPUTED_VALUE"""),"JC")</f>
        <v>JC</v>
      </c>
      <c r="M81" s="12" t="str">
        <f>IFERROR(__xludf.DUMMYFUNCTION("""COMPUTED_VALUE"""),"Hansen")</f>
        <v>Hansen</v>
      </c>
      <c r="N81" s="13" t="str">
        <f>IFERROR(__xludf.DUMMYFUNCTION("""COMPUTED_VALUE"""),"SC")</f>
        <v>SC</v>
      </c>
      <c r="O81" s="12" t="str">
        <f>IFERROR(__xludf.DUMMYFUNCTION("""COMPUTED_VALUE"""),"Rhodes")</f>
        <v>Rhodes</v>
      </c>
    </row>
    <row r="82" ht="10.5" customHeight="1">
      <c r="A82" s="7"/>
      <c r="B82" s="11"/>
      <c r="C82" s="12"/>
      <c r="D82" s="13"/>
      <c r="E82" s="12"/>
      <c r="F82" s="13"/>
      <c r="G82" s="12"/>
      <c r="H82" s="13"/>
      <c r="I82" s="12"/>
      <c r="J82" s="13"/>
      <c r="K82" s="12"/>
      <c r="L82" s="13"/>
      <c r="M82" s="12"/>
      <c r="N82" s="13"/>
      <c r="O82" s="12"/>
    </row>
    <row r="83" ht="10.5" customHeight="1">
      <c r="A83" s="7"/>
      <c r="B83" s="15" t="str">
        <f>IFERROR(__xludf.DUMMYFUNCTION("""COMPUTED_VALUE"""),"")</f>
        <v/>
      </c>
      <c r="C83" s="16"/>
      <c r="D83" s="17" t="str">
        <f>IFERROR(__xludf.DUMMYFUNCTION("""COMPUTED_VALUE"""),"4223 Chamberlin Rd. #2")</f>
        <v>4223 Chamberlin Rd. #2</v>
      </c>
      <c r="E83" s="16"/>
      <c r="F83" s="17" t="str">
        <f>IFERROR(__xludf.DUMMYFUNCTION("""COMPUTED_VALUE"""),"1100 24th St. #7")</f>
        <v>1100 24th St. #7</v>
      </c>
      <c r="G83" s="16"/>
      <c r="H83" s="17" t="str">
        <f>IFERROR(__xludf.DUMMYFUNCTION("""COMPUTED_VALUE"""),"1205 N Maple St. #6")</f>
        <v>1205 N Maple St. #6</v>
      </c>
      <c r="I83" s="16"/>
      <c r="J83" s="17" t="str">
        <f>IFERROR(__xludf.DUMMYFUNCTION("""COMPUTED_VALUE"""),"512 Warren Ave. #10")</f>
        <v>512 Warren Ave. #10</v>
      </c>
      <c r="K83" s="16"/>
      <c r="L83" s="17" t="str">
        <f>IFERROR(__xludf.DUMMYFUNCTION("""COMPUTED_VALUE"""),"303 8th St. #3")</f>
        <v>303 8th St. #3</v>
      </c>
      <c r="M83" s="16"/>
      <c r="N83" s="17" t="str">
        <f>IFERROR(__xludf.DUMMYFUNCTION("""COMPUTED_VALUE"""),"2108 Grand Ave. #23")</f>
        <v>2108 Grand Ave. #23</v>
      </c>
      <c r="O83" s="16"/>
    </row>
    <row r="84" ht="10.5" customHeight="1">
      <c r="A84" s="7"/>
      <c r="B84" s="18" t="str">
        <f>IFERROR(__xludf.DUMMYFUNCTION("""COMPUTED_VALUE"""),",  ")</f>
        <v>,  </v>
      </c>
      <c r="C84" s="19"/>
      <c r="D84" s="20" t="str">
        <f>IFERROR(__xludf.DUMMYFUNCTION("""COMPUTED_VALUE"""),"Des Moines, IA 50312")</f>
        <v>Des Moines, IA 50312</v>
      </c>
      <c r="E84" s="19"/>
      <c r="F84" s="20" t="str">
        <f>IFERROR(__xludf.DUMMYFUNCTION("""COMPUTED_VALUE"""),"Des Moines, IA 50311")</f>
        <v>Des Moines, IA 50311</v>
      </c>
      <c r="G84" s="19"/>
      <c r="H84" s="20" t="str">
        <f>IFERROR(__xludf.DUMMYFUNCTION("""COMPUTED_VALUE"""),"Creston, IA 50801")</f>
        <v>Creston, IA 50801</v>
      </c>
      <c r="I84" s="19"/>
      <c r="J84" s="20" t="str">
        <f>IFERROR(__xludf.DUMMYFUNCTION("""COMPUTED_VALUE"""),"Osceola, IA 50213")</f>
        <v>Osceola, IA 50213</v>
      </c>
      <c r="K84" s="19"/>
      <c r="L84" s="20" t="str">
        <f>IFERROR(__xludf.DUMMYFUNCTION("""COMPUTED_VALUE"""),"Perry, IA 50220")</f>
        <v>Perry, IA 50220</v>
      </c>
      <c r="M84" s="19"/>
      <c r="N84" s="20" t="str">
        <f>IFERROR(__xludf.DUMMYFUNCTION("""COMPUTED_VALUE"""),"West Des Moines, IA 50265")</f>
        <v>West Des Moines, IA 50265</v>
      </c>
      <c r="O84" s="19"/>
    </row>
    <row r="85" ht="10.5" customHeight="1">
      <c r="A85" s="7"/>
      <c r="B85" s="21" t="str">
        <f>IFERROR(__xludf.DUMMYFUNCTION("""COMPUTED_VALUE"""),"+1 641-225-5678")</f>
        <v>+1 641-225-5678</v>
      </c>
      <c r="C85" s="22"/>
      <c r="D85" s="23" t="str">
        <f>IFERROR(__xludf.DUMMYFUNCTION("""COMPUTED_VALUE"""),"+1 515-633-7772")</f>
        <v>+1 515-633-7772</v>
      </c>
      <c r="E85" s="22"/>
      <c r="F85" s="23" t="str">
        <f>IFERROR(__xludf.DUMMYFUNCTION("""COMPUTED_VALUE"""),"+1 712-647-8585")</f>
        <v>+1 712-647-8585</v>
      </c>
      <c r="G85" s="22"/>
      <c r="H85" s="23" t="str">
        <f>IFERROR(__xludf.DUMMYFUNCTION("""COMPUTED_VALUE"""),"+1 641-295-9854")</f>
        <v>+1 641-295-9854</v>
      </c>
      <c r="I85" s="22"/>
      <c r="J85" s="23" t="str">
        <f>IFERROR(__xludf.DUMMYFUNCTION("""COMPUTED_VALUE"""),"+1 641-455-1652")</f>
        <v>+1 641-455-1652</v>
      </c>
      <c r="K85" s="22"/>
      <c r="L85" s="23" t="str">
        <f>IFERROR(__xludf.DUMMYFUNCTION("""COMPUTED_VALUE"""),"+1 515-556-4672")</f>
        <v>+1 515-556-4672</v>
      </c>
      <c r="M85" s="22"/>
      <c r="N85" s="23" t="str">
        <f>IFERROR(__xludf.DUMMYFUNCTION("""COMPUTED_VALUE"""),"+1 515-783-2264")</f>
        <v>+1 515-783-2264</v>
      </c>
      <c r="O85" s="22"/>
    </row>
    <row r="86" ht="10.5" customHeight="1">
      <c r="A86" s="7"/>
      <c r="B86" s="4" t="str">
        <f>IFERROR(__xludf.DUMMYFUNCTION("spillArrayByArea(""Raccoon River (B)"",IMPORTRANGE(""https://docs.google.com/spreadsheets/d/1kxPf4UHMcRerizZzfL8mTPSKpdGTJRWtz7_Z2hDQmcQ/edit#gid=615767414"",""'Contacts'!A1:Q""))"),"Raccoon River (B)")</f>
        <v>Raccoon River (B)</v>
      </c>
      <c r="C86" s="5"/>
      <c r="D86" s="6" t="str">
        <f>IFERROR(__xludf.DUMMYFUNCTION("spillArrayByArea(""Walnut Hills"",IMPORTRANGE(""https://docs.google.com/spreadsheets/d/1kxPf4UHMcRerizZzfL8mTPSKpdGTJRWtz7_Z2hDQmcQ/edit#gid=615767414"",""'Contacts'!A1:Q""))"),"Walnut Hills")</f>
        <v>Walnut Hills</v>
      </c>
      <c r="E86" s="5"/>
      <c r="F86" s="6" t="str">
        <f>IFERROR(__xludf.DUMMYFUNCTION("spillArrayByArea(""Waukee (A)"",IMPORTRANGE(""https://docs.google.com/spreadsheets/d/1kxPf4UHMcRerizZzfL8mTPSKpdGTJRWtz7_Z2hDQmcQ/edit#gid=615767414"",""'Contacts'!A1:Q""))"),"Waukee (A)")</f>
        <v>Waukee (A)</v>
      </c>
      <c r="G86" s="5"/>
      <c r="H86" s="6" t="str">
        <f>IFERROR(__xludf.DUMMYFUNCTION("spillArrayByArea(""Waukee (B)"",IMPORTRANGE(""https://docs.google.com/spreadsheets/d/1kxPf4UHMcRerizZzfL8mTPSKpdGTJRWtz7_Z2hDQmcQ/edit#gid=615767414"",""'Contacts'!A1:Q""))"),"Waukee (B)")</f>
        <v>Waukee (B)</v>
      </c>
      <c r="I86" s="5"/>
      <c r="J86" s="6"/>
      <c r="K86" s="5"/>
      <c r="L86" s="6"/>
      <c r="M86" s="5"/>
      <c r="N86" s="6"/>
      <c r="O86" s="5"/>
    </row>
    <row r="87" ht="10.5" customHeight="1">
      <c r="A87" s="7"/>
      <c r="B87" s="8" t="str">
        <f>IFERROR(__xludf.DUMMYFUNCTION("""COMPUTED_VALUE"""),"SC")</f>
        <v>SC</v>
      </c>
      <c r="C87" s="9" t="str">
        <f>IFERROR(__xludf.DUMMYFUNCTION("""COMPUTED_VALUE"""),"Gleave")</f>
        <v>Gleave</v>
      </c>
      <c r="D87" s="10" t="str">
        <f>IFERROR(__xludf.DUMMYFUNCTION("""COMPUTED_VALUE""")," TR ")</f>
        <v> TR </v>
      </c>
      <c r="E87" s="9" t="str">
        <f>IFERROR(__xludf.DUMMYFUNCTION("""COMPUTED_VALUE"""),"Prather")</f>
        <v>Prather</v>
      </c>
      <c r="F87" s="10" t="str">
        <f>IFERROR(__xludf.DUMMYFUNCTION("""COMPUTED_VALUE"""),"DL")</f>
        <v>DL</v>
      </c>
      <c r="G87" s="9" t="str">
        <f>IFERROR(__xludf.DUMMYFUNCTION("""COMPUTED_VALUE"""),"Hofheins")</f>
        <v>Hofheins</v>
      </c>
      <c r="H87" s="10" t="str">
        <f>IFERROR(__xludf.DUMMYFUNCTION("""COMPUTED_VALUE"""),"SC")</f>
        <v>SC</v>
      </c>
      <c r="I87" s="9" t="str">
        <f>IFERROR(__xludf.DUMMYFUNCTION("""COMPUTED_VALUE"""),"Forest")</f>
        <v>Forest</v>
      </c>
      <c r="J87" s="10"/>
      <c r="K87" s="9"/>
      <c r="L87" s="10"/>
      <c r="M87" s="9"/>
      <c r="N87" s="10"/>
      <c r="O87" s="9"/>
    </row>
    <row r="88" ht="10.5" customHeight="1">
      <c r="A88" s="7"/>
      <c r="B88" s="11" t="str">
        <f>IFERROR(__xludf.DUMMYFUNCTION("""COMPUTED_VALUE"""),"JC")</f>
        <v>JC</v>
      </c>
      <c r="C88" s="12" t="str">
        <f>IFERROR(__xludf.DUMMYFUNCTION("""COMPUTED_VALUE"""),"Sowards")</f>
        <v>Sowards</v>
      </c>
      <c r="D88" s="13" t="str">
        <f>IFERROR(__xludf.DUMMYFUNCTION("""COMPUTED_VALUE""")," STL1 ")</f>
        <v> STL1 </v>
      </c>
      <c r="E88" s="12" t="str">
        <f>IFERROR(__xludf.DUMMYFUNCTION("""COMPUTED_VALUE"""),"Richards")</f>
        <v>Richards</v>
      </c>
      <c r="F88" s="13" t="str">
        <f>IFERROR(__xludf.DUMMYFUNCTION("""COMPUTED_VALUE"""),"JC")</f>
        <v>JC</v>
      </c>
      <c r="G88" s="12" t="str">
        <f>IFERROR(__xludf.DUMMYFUNCTION("""COMPUTED_VALUE"""),"Rees")</f>
        <v>Rees</v>
      </c>
      <c r="H88" s="13" t="str">
        <f>IFERROR(__xludf.DUMMYFUNCTION("""COMPUTED_VALUE"""),"JC")</f>
        <v>JC</v>
      </c>
      <c r="I88" s="12" t="str">
        <f>IFERROR(__xludf.DUMMYFUNCTION("""COMPUTED_VALUE"""),"Moultrie")</f>
        <v>Moultrie</v>
      </c>
      <c r="J88" s="13"/>
      <c r="K88" s="12"/>
      <c r="L88" s="13"/>
      <c r="M88" s="12"/>
      <c r="N88" s="13"/>
      <c r="O88" s="12"/>
    </row>
    <row r="89" ht="10.5" customHeight="1">
      <c r="A89" s="7"/>
      <c r="B89" s="11"/>
      <c r="C89" s="12"/>
      <c r="D89" s="13" t="str">
        <f>IFERROR(__xludf.DUMMYFUNCTION("""COMPUTED_VALUE""")," JC ")</f>
        <v> JC </v>
      </c>
      <c r="E89" s="12" t="str">
        <f>IFERROR(__xludf.DUMMYFUNCTION("""COMPUTED_VALUE"""),"Rindlisbacher")</f>
        <v>Rindlisbacher</v>
      </c>
      <c r="F89" s="13"/>
      <c r="G89" s="12"/>
      <c r="H89" s="13"/>
      <c r="I89" s="12"/>
      <c r="J89" s="13"/>
      <c r="K89" s="12"/>
      <c r="L89" s="13"/>
      <c r="M89" s="12"/>
      <c r="N89" s="13"/>
      <c r="O89" s="12"/>
    </row>
    <row r="90" ht="10.5" customHeight="1">
      <c r="A90" s="7"/>
      <c r="B90" s="15" t="str">
        <f>IFERROR(__xludf.DUMMYFUNCTION("""COMPUTED_VALUE"""),"2108 Grand Ave. #23")</f>
        <v>2108 Grand Ave. #23</v>
      </c>
      <c r="C90" s="16"/>
      <c r="D90" s="17" t="str">
        <f>IFERROR(__xludf.DUMMYFUNCTION("""COMPUTED_VALUE"""),"400 4th St. #5")</f>
        <v>400 4th St. #5</v>
      </c>
      <c r="E90" s="16"/>
      <c r="F90" s="17" t="str">
        <f>IFERROR(__xludf.DUMMYFUNCTION("""COMPUTED_VALUE"""),"612 NE 4th St. #3")</f>
        <v>612 NE 4th St. #3</v>
      </c>
      <c r="G90" s="16"/>
      <c r="H90" s="17" t="str">
        <f>IFERROR(__xludf.DUMMYFUNCTION("""COMPUTED_VALUE"""),"612 NE 4th St. #3")</f>
        <v>612 NE 4th St. #3</v>
      </c>
      <c r="I90" s="16"/>
      <c r="J90" s="17"/>
      <c r="K90" s="16"/>
      <c r="L90" s="17"/>
      <c r="M90" s="16"/>
      <c r="N90" s="17"/>
      <c r="O90" s="16"/>
    </row>
    <row r="91" ht="10.5" customHeight="1">
      <c r="A91" s="7"/>
      <c r="B91" s="18" t="str">
        <f>IFERROR(__xludf.DUMMYFUNCTION("""COMPUTED_VALUE"""),"West Des Moines, IA 50265")</f>
        <v>West Des Moines, IA 50265</v>
      </c>
      <c r="C91" s="19"/>
      <c r="D91" s="20" t="str">
        <f>IFERROR(__xludf.DUMMYFUNCTION("""COMPUTED_VALUE"""),"Waukee, IA 50263")</f>
        <v>Waukee, IA 50263</v>
      </c>
      <c r="E91" s="19"/>
      <c r="F91" s="20" t="str">
        <f>IFERROR(__xludf.DUMMYFUNCTION("""COMPUTED_VALUE"""),"Grimes, IA 50111")</f>
        <v>Grimes, IA 50111</v>
      </c>
      <c r="G91" s="19"/>
      <c r="H91" s="20" t="str">
        <f>IFERROR(__xludf.DUMMYFUNCTION("""COMPUTED_VALUE"""),"Grimes, IA 50111")</f>
        <v>Grimes, IA 50111</v>
      </c>
      <c r="I91" s="19"/>
      <c r="J91" s="20"/>
      <c r="K91" s="19"/>
      <c r="L91" s="20"/>
      <c r="M91" s="19"/>
      <c r="N91" s="20"/>
      <c r="O91" s="19"/>
    </row>
    <row r="92" ht="10.5" customHeight="1">
      <c r="A92" s="24"/>
      <c r="B92" s="21" t="str">
        <f>IFERROR(__xludf.DUMMYFUNCTION("""COMPUTED_VALUE"""),"+1 515-300-5630")</f>
        <v>+1 515-300-5630</v>
      </c>
      <c r="C92" s="22"/>
      <c r="D92" s="23" t="str">
        <f>IFERROR(__xludf.DUMMYFUNCTION("""COMPUTED_VALUE"""),"+1 515-918-8977")</f>
        <v>+1 515-918-8977</v>
      </c>
      <c r="E92" s="22"/>
      <c r="F92" s="23" t="str">
        <f>IFERROR(__xludf.DUMMYFUNCTION("""COMPUTED_VALUE"""),"+1 515-865-7543")</f>
        <v>+1 515-865-7543</v>
      </c>
      <c r="G92" s="22"/>
      <c r="H92" s="23" t="str">
        <f>IFERROR(__xludf.DUMMYFUNCTION("""COMPUTED_VALUE"""),"+1 515-318-3014")</f>
        <v>+1 515-318-3014</v>
      </c>
      <c r="I92" s="22"/>
      <c r="J92" s="23"/>
      <c r="K92" s="22"/>
      <c r="L92" s="23"/>
      <c r="M92" s="22"/>
      <c r="N92" s="23"/>
      <c r="O92" s="22"/>
    </row>
    <row r="93" ht="10.5" customHeight="1">
      <c r="A93" s="3" t="s">
        <v>6</v>
      </c>
      <c r="B93" s="4" t="str">
        <f>IFERROR(__xludf.DUMMYFUNCTION("spillArrayByArea(""Burlington"",IMPORTRANGE(""https://docs.google.com/spreadsheets/d/1kxPf4UHMcRerizZzfL8mTPSKpdGTJRWtz7_Z2hDQmcQ/edit#gid=615767414"",""'Contacts'!A1:Q""))"),"Burlington")</f>
        <v>Burlington</v>
      </c>
      <c r="C93" s="5"/>
      <c r="D93" s="6" t="str">
        <f>IFERROR(__xludf.DUMMYFUNCTION("spillArrayByArea(""Fort Madison / Nauvoo 1"",IMPORTRANGE(""https://docs.google.com/spreadsheets/d/1kxPf4UHMcRerizZzfL8mTPSKpdGTJRWtz7_Z2hDQmcQ/edit#gid=615767414"",""'Contacts'!A1:Q""))"),"Fort Madison / Nauvoo 1")</f>
        <v>Fort Madison / Nauvoo 1</v>
      </c>
      <c r="E93" s="5"/>
      <c r="F93" s="6" t="str">
        <f>IFERROR(__xludf.DUMMYFUNCTION("spillArrayByArea(""Hannibal"",IMPORTRANGE(""https://docs.google.com/spreadsheets/d/1kxPf4UHMcRerizZzfL8mTPSKpdGTJRWtz7_Z2hDQmcQ/edit#gid=615767414"",""'Contacts'!A1:Q""))"),"Hannibal")</f>
        <v>Hannibal</v>
      </c>
      <c r="G93" s="5"/>
      <c r="H93" s="6" t="str">
        <f>IFERROR(__xludf.DUMMYFUNCTION("spillArrayByArea(""Keokuk / Nauvoo 3"",IMPORTRANGE(""https://docs.google.com/spreadsheets/d/1kxPf4UHMcRerizZzfL8mTPSKpdGTJRWtz7_Z2hDQmcQ/edit#gid=615767414"",""'Contacts'!A1:Q""))"),"Keokuk / Nauvoo 3")</f>
        <v>Keokuk / Nauvoo 3</v>
      </c>
      <c r="I93" s="5"/>
      <c r="J93" s="6" t="str">
        <f>IFERROR(__xludf.DUMMYFUNCTION("spillArrayByArea(""Kirksville 1"",IMPORTRANGE(""https://docs.google.com/spreadsheets/d/1kxPf4UHMcRerizZzfL8mTPSKpdGTJRWtz7_Z2hDQmcQ/edit#gid=615767414"",""'Contacts'!A1:Q""))"),"Kirksville 1")</f>
        <v>Kirksville 1</v>
      </c>
      <c r="K93" s="5"/>
      <c r="L93" s="6" t="str">
        <f>IFERROR(__xludf.DUMMYFUNCTION("spillArrayByArea(""Kirksville 2"",IMPORTRANGE(""https://docs.google.com/spreadsheets/d/1kxPf4UHMcRerizZzfL8mTPSKpdGTJRWtz7_Z2hDQmcQ/edit#gid=615767414"",""'Contacts'!A1:Q""))"),"Kirksville 2")</f>
        <v>Kirksville 2</v>
      </c>
      <c r="M93" s="5"/>
      <c r="N93" s="6" t="str">
        <f>IFERROR(__xludf.DUMMYFUNCTION("spillArrayByArea(""Macomb"",IMPORTRANGE(""https://docs.google.com/spreadsheets/d/1kxPf4UHMcRerizZzfL8mTPSKpdGTJRWtz7_Z2hDQmcQ/edit#gid=615767414"",""'Contacts'!A1:Q""))"),"Macomb")</f>
        <v>Macomb</v>
      </c>
      <c r="O93" s="5"/>
    </row>
    <row r="94" ht="10.5" customHeight="1">
      <c r="A94" s="7"/>
      <c r="B94" s="8" t="str">
        <f>IFERROR(__xludf.DUMMYFUNCTION("""COMPUTED_VALUE"""),"JC")</f>
        <v>JC</v>
      </c>
      <c r="C94" s="9" t="str">
        <f>IFERROR(__xludf.DUMMYFUNCTION("""COMPUTED_VALUE"""),"Bradford")</f>
        <v>Bradford</v>
      </c>
      <c r="D94" s="10" t="str">
        <f>IFERROR(__xludf.DUMMYFUNCTION("""COMPUTED_VALUE"""),"JC")</f>
        <v>JC</v>
      </c>
      <c r="E94" s="9" t="str">
        <f>IFERROR(__xludf.DUMMYFUNCTION("""COMPUTED_VALUE"""),"Earl")</f>
        <v>Earl</v>
      </c>
      <c r="F94" s="10" t="str">
        <f>IFERROR(__xludf.DUMMYFUNCTION("""COMPUTED_VALUE"""),"JC")</f>
        <v>JC</v>
      </c>
      <c r="G94" s="9" t="str">
        <f>IFERROR(__xludf.DUMMYFUNCTION("""COMPUTED_VALUE"""),"Beckstrand")</f>
        <v>Beckstrand</v>
      </c>
      <c r="H94" s="10" t="str">
        <f>IFERROR(__xludf.DUMMYFUNCTION("""COMPUTED_VALUE""")," STL2 ")</f>
        <v> STL2 </v>
      </c>
      <c r="I94" s="9" t="str">
        <f>IFERROR(__xludf.DUMMYFUNCTION("""COMPUTED_VALUE"""),"Hart")</f>
        <v>Hart</v>
      </c>
      <c r="J94" s="10" t="str">
        <f>IFERROR(__xludf.DUMMYFUNCTION("""COMPUTED_VALUE""")," SC ")</f>
        <v> SC </v>
      </c>
      <c r="K94" s="9" t="str">
        <f>IFERROR(__xludf.DUMMYFUNCTION("""COMPUTED_VALUE"""),"Egbert")</f>
        <v>Egbert</v>
      </c>
      <c r="L94" s="10" t="str">
        <f>IFERROR(__xludf.DUMMYFUNCTION("""COMPUTED_VALUE""")," JC ")</f>
        <v> JC </v>
      </c>
      <c r="M94" s="9" t="str">
        <f>IFERROR(__xludf.DUMMYFUNCTION("""COMPUTED_VALUE"""),"Broschinsky")</f>
        <v>Broschinsky</v>
      </c>
      <c r="N94" s="10" t="str">
        <f>IFERROR(__xludf.DUMMYFUNCTION("""COMPUTED_VALUE""")," JC ")</f>
        <v> JC </v>
      </c>
      <c r="O94" s="9" t="str">
        <f>IFERROR(__xludf.DUMMYFUNCTION("""COMPUTED_VALUE"""),"Albert")</f>
        <v>Albert</v>
      </c>
    </row>
    <row r="95" ht="10.5" customHeight="1">
      <c r="A95" s="7"/>
      <c r="B95" s="11" t="str">
        <f>IFERROR(__xludf.DUMMYFUNCTION("""COMPUTED_VALUE"""),"DL")</f>
        <v>DL</v>
      </c>
      <c r="C95" s="12" t="str">
        <f>IFERROR(__xludf.DUMMYFUNCTION("""COMPUTED_VALUE"""),"Buttcane")</f>
        <v>Buttcane</v>
      </c>
      <c r="D95" s="13" t="str">
        <f>IFERROR(__xludf.DUMMYFUNCTION("""COMPUTED_VALUE"""),"SC")</f>
        <v>SC</v>
      </c>
      <c r="E95" s="12" t="str">
        <f>IFERROR(__xludf.DUMMYFUNCTION("""COMPUTED_VALUE"""),"Kearsley")</f>
        <v>Kearsley</v>
      </c>
      <c r="F95" s="13" t="str">
        <f>IFERROR(__xludf.DUMMYFUNCTION("""COMPUTED_VALUE"""),"DT")</f>
        <v>DT</v>
      </c>
      <c r="G95" s="12" t="str">
        <f>IFERROR(__xludf.DUMMYFUNCTION("""COMPUTED_VALUE"""),"Jensen")</f>
        <v>Jensen</v>
      </c>
      <c r="H95" s="13" t="str">
        <f>IFERROR(__xludf.DUMMYFUNCTION("""COMPUTED_VALUE""")," STL1 ")</f>
        <v> STL1 </v>
      </c>
      <c r="I95" s="12" t="str">
        <f>IFERROR(__xludf.DUMMYFUNCTION("""COMPUTED_VALUE"""),"Hornberger")</f>
        <v>Hornberger</v>
      </c>
      <c r="J95" s="13" t="str">
        <f>IFERROR(__xludf.DUMMYFUNCTION("""COMPUTED_VALUE""")," JC ")</f>
        <v> JC </v>
      </c>
      <c r="K95" s="12" t="str">
        <f>IFERROR(__xludf.DUMMYFUNCTION("""COMPUTED_VALUE"""),"Evans")</f>
        <v>Evans</v>
      </c>
      <c r="L95" s="13" t="str">
        <f>IFERROR(__xludf.DUMMYFUNCTION("""COMPUTED_VALUE""")," TR ")</f>
        <v> TR </v>
      </c>
      <c r="M95" s="12" t="str">
        <f>IFERROR(__xludf.DUMMYFUNCTION("""COMPUTED_VALUE"""),"McMillan")</f>
        <v>McMillan</v>
      </c>
      <c r="N95" s="13" t="str">
        <f>IFERROR(__xludf.DUMMYFUNCTION("""COMPUTED_VALUE""")," TR ")</f>
        <v> TR </v>
      </c>
      <c r="O95" s="12" t="str">
        <f>IFERROR(__xludf.DUMMYFUNCTION("""COMPUTED_VALUE"""),"Ricks")</f>
        <v>Ricks</v>
      </c>
    </row>
    <row r="96" ht="10.5" customHeight="1">
      <c r="A96" s="7"/>
      <c r="B96" s="11" t="str">
        <f>IFERROR(__xludf.DUMMYFUNCTION("""COMPUTED_VALUE"""),"SC")</f>
        <v>SC</v>
      </c>
      <c r="C96" s="12" t="str">
        <f>IFERROR(__xludf.DUMMYFUNCTION("""COMPUTED_VALUE"""),"Norwood")</f>
        <v>Norwood</v>
      </c>
      <c r="D96" s="13"/>
      <c r="E96" s="12"/>
      <c r="F96" s="13"/>
      <c r="G96" s="12"/>
      <c r="H96" s="13"/>
      <c r="I96" s="12"/>
      <c r="J96" s="13"/>
      <c r="K96" s="12"/>
      <c r="L96" s="13"/>
      <c r="M96" s="12"/>
      <c r="N96" s="13"/>
      <c r="O96" s="12"/>
    </row>
    <row r="97" ht="10.5" customHeight="1">
      <c r="A97" s="7"/>
      <c r="B97" s="15" t="str">
        <f>IFERROR(__xludf.DUMMYFUNCTION("""COMPUTED_VALUE"""),"2301 Agency St. #11")</f>
        <v>2301 Agency St. #11</v>
      </c>
      <c r="C97" s="16"/>
      <c r="D97" s="17" t="str">
        <f>IFERROR(__xludf.DUMMYFUNCTION("""COMPUTED_VALUE"""),"120 26th St. #11")</f>
        <v>120 26th St. #11</v>
      </c>
      <c r="E97" s="16"/>
      <c r="F97" s="17" t="str">
        <f>IFERROR(__xludf.DUMMYFUNCTION("""COMPUTED_VALUE"""),"411 N 4th St. #A")</f>
        <v>411 N 4th St. #A</v>
      </c>
      <c r="G97" s="16"/>
      <c r="H97" s="17" t="str">
        <f>IFERROR(__xludf.DUMMYFUNCTION("""COMPUTED_VALUE"""),"120 High St. #1")</f>
        <v>120 High St. #1</v>
      </c>
      <c r="I97" s="16"/>
      <c r="J97" s="17" t="str">
        <f>IFERROR(__xludf.DUMMYFUNCTION("""COMPUTED_VALUE"""),"315 N Florence St. #1")</f>
        <v>315 N Florence St. #1</v>
      </c>
      <c r="K97" s="16"/>
      <c r="L97" s="17" t="str">
        <f>IFERROR(__xludf.DUMMYFUNCTION("""COMPUTED_VALUE"""),"410 N Davis St. #2")</f>
        <v>410 N Davis St. #2</v>
      </c>
      <c r="M97" s="16"/>
      <c r="N97" s="17" t="str">
        <f>IFERROR(__xludf.DUMMYFUNCTION("""COMPUTED_VALUE"""),"100 Timberview Dr.")</f>
        <v>100 Timberview Dr.</v>
      </c>
      <c r="O97" s="16"/>
    </row>
    <row r="98" ht="10.5" customHeight="1">
      <c r="A98" s="7"/>
      <c r="B98" s="18" t="str">
        <f>IFERROR(__xludf.DUMMYFUNCTION("""COMPUTED_VALUE"""),"Burlington, IA 52601")</f>
        <v>Burlington, IA 52601</v>
      </c>
      <c r="C98" s="19"/>
      <c r="D98" s="20" t="str">
        <f>IFERROR(__xludf.DUMMYFUNCTION("""COMPUTED_VALUE"""),"Fort Madison, IA 52627")</f>
        <v>Fort Madison, IA 52627</v>
      </c>
      <c r="E98" s="19"/>
      <c r="F98" s="20" t="str">
        <f>IFERROR(__xludf.DUMMYFUNCTION("""COMPUTED_VALUE"""),"Hannibal, MO 63401")</f>
        <v>Hannibal, MO 63401</v>
      </c>
      <c r="G98" s="19"/>
      <c r="H98" s="20" t="str">
        <f>IFERROR(__xludf.DUMMYFUNCTION("""COMPUTED_VALUE"""),"Keokuk, IA 52632")</f>
        <v>Keokuk, IA 52632</v>
      </c>
      <c r="I98" s="19"/>
      <c r="J98" s="20" t="str">
        <f>IFERROR(__xludf.DUMMYFUNCTION("""COMPUTED_VALUE"""),"Kirksville, MO 63501")</f>
        <v>Kirksville, MO 63501</v>
      </c>
      <c r="K98" s="19"/>
      <c r="L98" s="20" t="str">
        <f>IFERROR(__xludf.DUMMYFUNCTION("""COMPUTED_VALUE"""),"Kirksville, MO 63501")</f>
        <v>Kirksville, MO 63501</v>
      </c>
      <c r="M98" s="19"/>
      <c r="N98" s="20" t="str">
        <f>IFERROR(__xludf.DUMMYFUNCTION("""COMPUTED_VALUE"""),"Macomb, IL 61455")</f>
        <v>Macomb, IL 61455</v>
      </c>
      <c r="O98" s="19"/>
    </row>
    <row r="99" ht="10.5" customHeight="1">
      <c r="A99" s="7"/>
      <c r="B99" s="21" t="str">
        <f>IFERROR(__xludf.DUMMYFUNCTION("""COMPUTED_VALUE"""),"+1 319-601-9137")</f>
        <v>+1 319-601-9137</v>
      </c>
      <c r="C99" s="22"/>
      <c r="D99" s="23" t="str">
        <f>IFERROR(__xludf.DUMMYFUNCTION("""COMPUTED_VALUE"""),"+1 319-528-2636")</f>
        <v>+1 319-528-2636</v>
      </c>
      <c r="E99" s="22"/>
      <c r="F99" s="23" t="str">
        <f>IFERROR(__xludf.DUMMYFUNCTION("""COMPUTED_VALUE"""),"+1 573-795-1756")</f>
        <v>+1 573-795-1756</v>
      </c>
      <c r="G99" s="22"/>
      <c r="H99" s="23" t="str">
        <f>IFERROR(__xludf.DUMMYFUNCTION("""COMPUTED_VALUE"""),"+1 319-670-9065")</f>
        <v>+1 319-670-9065</v>
      </c>
      <c r="I99" s="22"/>
      <c r="J99" s="23" t="str">
        <f>IFERROR(__xludf.DUMMYFUNCTION("""COMPUTED_VALUE"""),"+1 660-349-5300")</f>
        <v>+1 660-349-5300</v>
      </c>
      <c r="K99" s="22"/>
      <c r="L99" s="23" t="str">
        <f>IFERROR(__xludf.DUMMYFUNCTION("""COMPUTED_VALUE"""),"+1 660-349-5211")</f>
        <v>+1 660-349-5211</v>
      </c>
      <c r="M99" s="22"/>
      <c r="N99" s="23" t="str">
        <f>IFERROR(__xludf.DUMMYFUNCTION("""COMPUTED_VALUE"""),"+1 309-318-9079")</f>
        <v>+1 309-318-9079</v>
      </c>
      <c r="O99" s="22"/>
    </row>
    <row r="100" ht="10.5" customHeight="1">
      <c r="A100" s="7"/>
      <c r="B100" s="4" t="str">
        <f>IFERROR(__xludf.DUMMYFUNCTION("spillArrayByArea(""Quincy 1"",IMPORTRANGE(""https://docs.google.com/spreadsheets/d/1kxPf4UHMcRerizZzfL8mTPSKpdGTJRWtz7_Z2hDQmcQ/edit#gid=615767414"",""'Contacts'!A1:Q""))"),"Quincy 1")</f>
        <v>Quincy 1</v>
      </c>
      <c r="C100" s="5"/>
      <c r="D100" s="6" t="str">
        <f>IFERROR(__xludf.DUMMYFUNCTION("spillArrayByArea(""Quincy 2"",IMPORTRANGE(""https://docs.google.com/spreadsheets/d/1kxPf4UHMcRerizZzfL8mTPSKpdGTJRWtz7_Z2hDQmcQ/edit#gid=615767414"",""'Contacts'!A1:Q""))"),"Quincy 2")</f>
        <v>Quincy 2</v>
      </c>
      <c r="E100" s="5"/>
      <c r="F100" s="6"/>
      <c r="G100" s="5"/>
      <c r="H100" s="6"/>
      <c r="I100" s="5"/>
      <c r="J100" s="6"/>
      <c r="K100" s="5"/>
      <c r="L100" s="6"/>
      <c r="M100" s="5"/>
      <c r="N100" s="6"/>
      <c r="O100" s="5"/>
    </row>
    <row r="101" ht="10.5" customHeight="1">
      <c r="A101" s="7"/>
      <c r="B101" s="8" t="str">
        <f>IFERROR(__xludf.DUMMYFUNCTION("""COMPUTED_VALUE"""),"ZL1")</f>
        <v>ZL1</v>
      </c>
      <c r="C101" s="9" t="str">
        <f>IFERROR(__xludf.DUMMYFUNCTION("""COMPUTED_VALUE"""),"Barnes")</f>
        <v>Barnes</v>
      </c>
      <c r="D101" s="10" t="str">
        <f>IFERROR(__xludf.DUMMYFUNCTION("""COMPUTED_VALUE"""),"SC")</f>
        <v>SC</v>
      </c>
      <c r="E101" s="9" t="str">
        <f>IFERROR(__xludf.DUMMYFUNCTION("""COMPUTED_VALUE"""),"Austin")</f>
        <v>Austin</v>
      </c>
      <c r="F101" s="10"/>
      <c r="G101" s="9"/>
      <c r="H101" s="10"/>
      <c r="I101" s="9"/>
      <c r="J101" s="10"/>
      <c r="K101" s="9"/>
      <c r="L101" s="10"/>
      <c r="M101" s="9"/>
      <c r="N101" s="10"/>
      <c r="O101" s="9"/>
    </row>
    <row r="102" ht="10.5" customHeight="1">
      <c r="A102" s="7"/>
      <c r="B102" s="11" t="str">
        <f>IFERROR(__xludf.DUMMYFUNCTION("""COMPUTED_VALUE"""),"ZL2")</f>
        <v>ZL2</v>
      </c>
      <c r="C102" s="12" t="str">
        <f>IFERROR(__xludf.DUMMYFUNCTION("""COMPUTED_VALUE"""),"Squire")</f>
        <v>Squire</v>
      </c>
      <c r="D102" s="13" t="str">
        <f>IFERROR(__xludf.DUMMYFUNCTION("""COMPUTED_VALUE"""),"SC")</f>
        <v>SC</v>
      </c>
      <c r="E102" s="12" t="str">
        <f>IFERROR(__xludf.DUMMYFUNCTION("""COMPUTED_VALUE"""),"Stone")</f>
        <v>Stone</v>
      </c>
      <c r="F102" s="13"/>
      <c r="G102" s="12"/>
      <c r="H102" s="13"/>
      <c r="I102" s="12"/>
      <c r="J102" s="13"/>
      <c r="K102" s="12"/>
      <c r="L102" s="13"/>
      <c r="M102" s="12"/>
      <c r="N102" s="13"/>
      <c r="O102" s="12"/>
    </row>
    <row r="103" ht="10.5" customHeight="1">
      <c r="A103" s="7"/>
      <c r="B103" s="11"/>
      <c r="C103" s="12"/>
      <c r="D103" s="13"/>
      <c r="E103" s="12"/>
      <c r="F103" s="13"/>
      <c r="G103" s="12"/>
      <c r="H103" s="13"/>
      <c r="I103" s="12"/>
      <c r="J103" s="13"/>
      <c r="K103" s="12"/>
      <c r="L103" s="13"/>
      <c r="M103" s="12"/>
      <c r="N103" s="13"/>
      <c r="O103" s="12"/>
    </row>
    <row r="104" ht="10.5" customHeight="1">
      <c r="A104" s="7"/>
      <c r="B104" s="15" t="str">
        <f>IFERROR(__xludf.DUMMYFUNCTION("""COMPUTED_VALUE"""),"530 N 12th St.")</f>
        <v>530 N 12th St.</v>
      </c>
      <c r="C104" s="16"/>
      <c r="D104" s="17" t="str">
        <f>IFERROR(__xludf.DUMMYFUNCTION("""COMPUTED_VALUE"""),"2131 Jefferson St.")</f>
        <v>2131 Jefferson St.</v>
      </c>
      <c r="E104" s="16"/>
      <c r="F104" s="17"/>
      <c r="G104" s="16"/>
      <c r="H104" s="17"/>
      <c r="I104" s="16"/>
      <c r="J104" s="17"/>
      <c r="K104" s="16"/>
      <c r="L104" s="17"/>
      <c r="M104" s="16"/>
      <c r="N104" s="17"/>
      <c r="O104" s="16"/>
    </row>
    <row r="105" ht="10.5" customHeight="1">
      <c r="A105" s="7"/>
      <c r="B105" s="18" t="str">
        <f>IFERROR(__xludf.DUMMYFUNCTION("""COMPUTED_VALUE"""),"Quincy, IL 62301")</f>
        <v>Quincy, IL 62301</v>
      </c>
      <c r="C105" s="19"/>
      <c r="D105" s="20" t="str">
        <f>IFERROR(__xludf.DUMMYFUNCTION("""COMPUTED_VALUE"""),"Quincy, IL 62301")</f>
        <v>Quincy, IL 62301</v>
      </c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</row>
    <row r="106" ht="10.5" customHeight="1">
      <c r="A106" s="24"/>
      <c r="B106" s="21" t="str">
        <f>IFERROR(__xludf.DUMMYFUNCTION("""COMPUTED_VALUE"""),"+1 217-316-4383")</f>
        <v>+1 217-316-4383</v>
      </c>
      <c r="C106" s="22"/>
      <c r="D106" s="23" t="str">
        <f>IFERROR(__xludf.DUMMYFUNCTION("""COMPUTED_VALUE"""),"+1 319-504-0879")</f>
        <v>+1 319-504-0879</v>
      </c>
      <c r="E106" s="22"/>
      <c r="F106" s="23"/>
      <c r="G106" s="22"/>
      <c r="H106" s="23"/>
      <c r="I106" s="22"/>
      <c r="J106" s="23"/>
      <c r="K106" s="22"/>
      <c r="L106" s="23"/>
      <c r="M106" s="22"/>
      <c r="N106" s="23"/>
      <c r="O106" s="22"/>
    </row>
    <row r="107" ht="10.5" customHeight="1">
      <c r="A107" s="3" t="s">
        <v>7</v>
      </c>
      <c r="B107" s="4" t="str">
        <f>IFERROR(__xludf.DUMMYFUNCTION("spillArrayByArea(""Bloomington / Normal - SP"",IMPORTRANGE(""https://docs.google.com/spreadsheets/d/1kxPf4UHMcRerizZzfL8mTPSKpdGTJRWtz7_Z2hDQmcQ/edit#gid=615767414"",""'Contacts'!A1:Q""))"),"Bloomington / Normal - SP")</f>
        <v>Bloomington / Normal - SP</v>
      </c>
      <c r="C107" s="5"/>
      <c r="D107" s="6" t="str">
        <f>IFERROR(__xludf.DUMMYFUNCTION("spillArrayByArea(""Bloomington / Pontiac"",IMPORTRANGE(""https://docs.google.com/spreadsheets/d/1kxPf4UHMcRerizZzfL8mTPSKpdGTJRWtz7_Z2hDQmcQ/edit#gid=615767414"",""'Contacts'!A1:Q""))"),"Bloomington / Pontiac")</f>
        <v>Bloomington / Pontiac</v>
      </c>
      <c r="E107" s="5"/>
      <c r="F107" s="6" t="str">
        <f>IFERROR(__xludf.DUMMYFUNCTION("spillArrayByArea(""Canton"",IMPORTRANGE(""https://docs.google.com/spreadsheets/d/1kxPf4UHMcRerizZzfL8mTPSKpdGTJRWtz7_Z2hDQmcQ/edit#gid=615767414"",""'Contacts'!A1:Q""))"),"Canton")</f>
        <v>Canton</v>
      </c>
      <c r="G107" s="5"/>
      <c r="H107" s="6" t="str">
        <f>IFERROR(__xludf.DUMMYFUNCTION("spillArrayByArea(""Galesburg"",IMPORTRANGE(""https://docs.google.com/spreadsheets/d/1kxPf4UHMcRerizZzfL8mTPSKpdGTJRWtz7_Z2hDQmcQ/edit#gid=615767414"",""'Contacts'!A1:Q""))"),"Galesburg")</f>
        <v>Galesburg</v>
      </c>
      <c r="I107" s="5"/>
      <c r="J107" s="6" t="str">
        <f>IFERROR(__xludf.DUMMYFUNCTION("spillArrayByArea(""Havana"",IMPORTRANGE(""https://docs.google.com/spreadsheets/d/1kxPf4UHMcRerizZzfL8mTPSKpdGTJRWtz7_Z2hDQmcQ/edit#gid=615767414"",""'Contacts'!A1:Q""))"),"Havana")</f>
        <v>Havana</v>
      </c>
      <c r="K107" s="5"/>
      <c r="L107" s="6" t="str">
        <f>IFERROR(__xludf.DUMMYFUNCTION("spillArrayByArea(""Kewanee"",IMPORTRANGE(""https://docs.google.com/spreadsheets/d/1kxPf4UHMcRerizZzfL8mTPSKpdGTJRWtz7_Z2hDQmcQ/edit#gid=615767414"",""'Contacts'!A1:Q""))"),"Kewanee")</f>
        <v>Kewanee</v>
      </c>
      <c r="M107" s="5"/>
      <c r="N107" s="6" t="str">
        <f>IFERROR(__xludf.DUMMYFUNCTION("spillArrayByArea(""Morton (A)"",IMPORTRANGE(""https://docs.google.com/spreadsheets/d/1kxPf4UHMcRerizZzfL8mTPSKpdGTJRWtz7_Z2hDQmcQ/edit#gid=615767414"",""'Contacts'!A1:Q""))"),"Morton (A)")</f>
        <v>Morton (A)</v>
      </c>
      <c r="O107" s="5"/>
    </row>
    <row r="108" ht="10.5" customHeight="1">
      <c r="A108" s="7"/>
      <c r="B108" s="8" t="str">
        <f>IFERROR(__xludf.DUMMYFUNCTION("""COMPUTED_VALUE""")," TR ")</f>
        <v> TR </v>
      </c>
      <c r="C108" s="9" t="str">
        <f>IFERROR(__xludf.DUMMYFUNCTION("""COMPUTED_VALUE"""),"Pratt")</f>
        <v>Pratt</v>
      </c>
      <c r="D108" s="10" t="str">
        <f>IFERROR(__xludf.DUMMYFUNCTION("""COMPUTED_VALUE""")," JC ")</f>
        <v> JC </v>
      </c>
      <c r="E108" s="9" t="str">
        <f>IFERROR(__xludf.DUMMYFUNCTION("""COMPUTED_VALUE"""),"Showell")</f>
        <v>Showell</v>
      </c>
      <c r="F108" s="10" t="str">
        <f>IFERROR(__xludf.DUMMYFUNCTION("""COMPUTED_VALUE"""),"TR")</f>
        <v>TR</v>
      </c>
      <c r="G108" s="9" t="str">
        <f>IFERROR(__xludf.DUMMYFUNCTION("""COMPUTED_VALUE"""),"Gjoligu")</f>
        <v>Gjoligu</v>
      </c>
      <c r="H108" s="10" t="str">
        <f>IFERROR(__xludf.DUMMYFUNCTION("""COMPUTED_VALUE""")," JC ")</f>
        <v> JC </v>
      </c>
      <c r="I108" s="9" t="str">
        <f>IFERROR(__xludf.DUMMYFUNCTION("""COMPUTED_VALUE"""),"DePartee")</f>
        <v>DePartee</v>
      </c>
      <c r="J108" s="10" t="str">
        <f>IFERROR(__xludf.DUMMYFUNCTION("""COMPUTED_VALUE"""),"JC")</f>
        <v>JC</v>
      </c>
      <c r="K108" s="9" t="str">
        <f>IFERROR(__xludf.DUMMYFUNCTION("""COMPUTED_VALUE"""),"Walker")</f>
        <v>Walker</v>
      </c>
      <c r="L108" s="10" t="str">
        <f>IFERROR(__xludf.DUMMYFUNCTION("""COMPUTED_VALUE"""),"DL")</f>
        <v>DL</v>
      </c>
      <c r="M108" s="9" t="str">
        <f>IFERROR(__xludf.DUMMYFUNCTION("""COMPUTED_VALUE"""),"Heath")</f>
        <v>Heath</v>
      </c>
      <c r="N108" s="10" t="str">
        <f>IFERROR(__xludf.DUMMYFUNCTION("""COMPUTED_VALUE""")," SC ")</f>
        <v> SC </v>
      </c>
      <c r="O108" s="9" t="str">
        <f>IFERROR(__xludf.DUMMYFUNCTION("""COMPUTED_VALUE"""),"Beasley")</f>
        <v>Beasley</v>
      </c>
    </row>
    <row r="109" ht="10.5" customHeight="1">
      <c r="A109" s="7"/>
      <c r="B109" s="11" t="str">
        <f>IFERROR(__xludf.DUMMYFUNCTION("""COMPUTED_VALUE""")," JC ")</f>
        <v> JC </v>
      </c>
      <c r="C109" s="12" t="str">
        <f>IFERROR(__xludf.DUMMYFUNCTION("""COMPUTED_VALUE"""),"Romney")</f>
        <v>Romney</v>
      </c>
      <c r="D109" s="13" t="str">
        <f>IFERROR(__xludf.DUMMYFUNCTION("""COMPUTED_VALUE""")," SC ")</f>
        <v> SC </v>
      </c>
      <c r="E109" s="12" t="str">
        <f>IFERROR(__xludf.DUMMYFUNCTION("""COMPUTED_VALUE"""),"Torres")</f>
        <v>Torres</v>
      </c>
      <c r="F109" s="13" t="str">
        <f>IFERROR(__xludf.DUMMYFUNCTION("""COMPUTED_VALUE"""),"JC")</f>
        <v>JC</v>
      </c>
      <c r="G109" s="12" t="str">
        <f>IFERROR(__xludf.DUMMYFUNCTION("""COMPUTED_VALUE"""),"Steel")</f>
        <v>Steel</v>
      </c>
      <c r="H109" s="13" t="str">
        <f>IFERROR(__xludf.DUMMYFUNCTION("""COMPUTED_VALUE""")," TR ")</f>
        <v> TR </v>
      </c>
      <c r="I109" s="12" t="str">
        <f>IFERROR(__xludf.DUMMYFUNCTION("""COMPUTED_VALUE"""),"Scholle")</f>
        <v>Scholle</v>
      </c>
      <c r="J109" s="13" t="str">
        <f>IFERROR(__xludf.DUMMYFUNCTION("""COMPUTED_VALUE"""),"TR")</f>
        <v>TR</v>
      </c>
      <c r="K109" s="12" t="str">
        <f>IFERROR(__xludf.DUMMYFUNCTION("""COMPUTED_VALUE"""),"Wilde")</f>
        <v>Wilde</v>
      </c>
      <c r="L109" s="13" t="str">
        <f>IFERROR(__xludf.DUMMYFUNCTION("""COMPUTED_VALUE"""),"JC")</f>
        <v>JC</v>
      </c>
      <c r="M109" s="12" t="str">
        <f>IFERROR(__xludf.DUMMYFUNCTION("""COMPUTED_VALUE"""),"Sorensen")</f>
        <v>Sorensen</v>
      </c>
      <c r="N109" s="13" t="str">
        <f>IFERROR(__xludf.DUMMYFUNCTION("""COMPUTED_VALUE""")," JC ")</f>
        <v> JC </v>
      </c>
      <c r="O109" s="12" t="str">
        <f>IFERROR(__xludf.DUMMYFUNCTION("""COMPUTED_VALUE"""),"Hamilton")</f>
        <v>Hamilton</v>
      </c>
    </row>
    <row r="110" ht="10.5" customHeight="1">
      <c r="A110" s="7"/>
      <c r="B110" s="11"/>
      <c r="C110" s="12"/>
      <c r="D110" s="13"/>
      <c r="E110" s="12"/>
      <c r="F110" s="13"/>
      <c r="G110" s="12"/>
      <c r="H110" s="13" t="str">
        <f>IFERROR(__xludf.DUMMYFUNCTION("""COMPUTED_VALUE""")," TR ")</f>
        <v> TR </v>
      </c>
      <c r="I110" s="12" t="str">
        <f>IFERROR(__xludf.DUMMYFUNCTION("""COMPUTED_VALUE"""),"Seamons")</f>
        <v>Seamons</v>
      </c>
      <c r="J110" s="13"/>
      <c r="K110" s="12"/>
      <c r="L110" s="13"/>
      <c r="M110" s="12"/>
      <c r="N110" s="13"/>
      <c r="O110" s="12"/>
    </row>
    <row r="111" ht="10.5" customHeight="1">
      <c r="A111" s="7"/>
      <c r="B111" s="15" t="str">
        <f>IFERROR(__xludf.DUMMYFUNCTION("""COMPUTED_VALUE"""),"1616 Bryan St. #A")</f>
        <v>1616 Bryan St. #A</v>
      </c>
      <c r="C111" s="16"/>
      <c r="D111" s="17" t="str">
        <f>IFERROR(__xludf.DUMMYFUNCTION("""COMPUTED_VALUE"""),"1111 Ekstam Dr. #108")</f>
        <v>1111 Ekstam Dr. #108</v>
      </c>
      <c r="E111" s="16"/>
      <c r="F111" s="17" t="str">
        <f>IFERROR(__xludf.DUMMYFUNCTION("""COMPUTED_VALUE"""),"232 W Chestnut St. #17")</f>
        <v>232 W Chestnut St. #17</v>
      </c>
      <c r="G111" s="16"/>
      <c r="H111" s="17" t="str">
        <f>IFERROR(__xludf.DUMMYFUNCTION("""COMPUTED_VALUE"""),"945 Dayton Dr. #7")</f>
        <v>945 Dayton Dr. #7</v>
      </c>
      <c r="I111" s="16"/>
      <c r="J111" s="17" t="str">
        <f>IFERROR(__xludf.DUMMYFUNCTION("""COMPUTED_VALUE"""),"341 S Pearl St. #1")</f>
        <v>341 S Pearl St. #1</v>
      </c>
      <c r="K111" s="16"/>
      <c r="L111" s="17" t="str">
        <f>IFERROR(__xludf.DUMMYFUNCTION("""COMPUTED_VALUE"""),"416 E South St.")</f>
        <v>416 E South St.</v>
      </c>
      <c r="M111" s="16"/>
      <c r="N111" s="17" t="str">
        <f>IFERROR(__xludf.DUMMYFUNCTION("""COMPUTED_VALUE"""),"1500 S Missouri Ave. #2")</f>
        <v>1500 S Missouri Ave. #2</v>
      </c>
      <c r="O111" s="16"/>
    </row>
    <row r="112" ht="10.5" customHeight="1">
      <c r="A112" s="7"/>
      <c r="B112" s="18" t="str">
        <f>IFERROR(__xludf.DUMMYFUNCTION("""COMPUTED_VALUE"""),"Normal, IL 61761")</f>
        <v>Normal, IL 61761</v>
      </c>
      <c r="C112" s="19"/>
      <c r="D112" s="20" t="str">
        <f>IFERROR(__xludf.DUMMYFUNCTION("""COMPUTED_VALUE"""),"Bloomington, IL 61704")</f>
        <v>Bloomington, IL 61704</v>
      </c>
      <c r="E112" s="19"/>
      <c r="F112" s="20" t="str">
        <f>IFERROR(__xludf.DUMMYFUNCTION("""COMPUTED_VALUE"""),"Canton, IL 61520")</f>
        <v>Canton, IL 61520</v>
      </c>
      <c r="G112" s="19"/>
      <c r="H112" s="20" t="str">
        <f>IFERROR(__xludf.DUMMYFUNCTION("""COMPUTED_VALUE"""),"Galesburg, IL 61401")</f>
        <v>Galesburg, IL 61401</v>
      </c>
      <c r="I112" s="19"/>
      <c r="J112" s="20" t="str">
        <f>IFERROR(__xludf.DUMMYFUNCTION("""COMPUTED_VALUE"""),"Havana, IL 62644")</f>
        <v>Havana, IL 62644</v>
      </c>
      <c r="K112" s="19"/>
      <c r="L112" s="20" t="str">
        <f>IFERROR(__xludf.DUMMYFUNCTION("""COMPUTED_VALUE"""),"Kewanee, IL 61443")</f>
        <v>Kewanee, IL 61443</v>
      </c>
      <c r="M112" s="19"/>
      <c r="N112" s="20" t="str">
        <f>IFERROR(__xludf.DUMMYFUNCTION("""COMPUTED_VALUE"""),"Morton, IL 61550")</f>
        <v>Morton, IL 61550</v>
      </c>
      <c r="O112" s="19"/>
    </row>
    <row r="113" ht="10.5" customHeight="1">
      <c r="A113" s="7"/>
      <c r="B113" s="21" t="str">
        <f>IFERROR(__xludf.DUMMYFUNCTION("""COMPUTED_VALUE"""),"+1 309-531-9777")</f>
        <v>+1 309-531-9777</v>
      </c>
      <c r="C113" s="22"/>
      <c r="D113" s="23" t="str">
        <f>IFERROR(__xludf.DUMMYFUNCTION("""COMPUTED_VALUE"""),"+1 309-340-6676")</f>
        <v>+1 309-340-6676</v>
      </c>
      <c r="E113" s="22"/>
      <c r="F113" s="23" t="str">
        <f>IFERROR(__xludf.DUMMYFUNCTION("""COMPUTED_VALUE"""),"+1 309-648-3996")</f>
        <v>+1 309-648-3996</v>
      </c>
      <c r="G113" s="22"/>
      <c r="H113" s="23" t="str">
        <f>IFERROR(__xludf.DUMMYFUNCTION("""COMPUTED_VALUE"""),"+1 309-299-1628")</f>
        <v>+1 309-299-1628</v>
      </c>
      <c r="I113" s="22"/>
      <c r="J113" s="23" t="str">
        <f>IFERROR(__xludf.DUMMYFUNCTION("""COMPUTED_VALUE"""),"+1 217-671-3191")</f>
        <v>+1 217-671-3191</v>
      </c>
      <c r="K113" s="22"/>
      <c r="L113" s="23" t="str">
        <f>IFERROR(__xludf.DUMMYFUNCTION("""COMPUTED_VALUE"""),"+1 309-540-8058")</f>
        <v>+1 309-540-8058</v>
      </c>
      <c r="M113" s="22"/>
      <c r="N113" s="23" t="str">
        <f>IFERROR(__xludf.DUMMYFUNCTION("""COMPUTED_VALUE"""),"+1 309-643-7136")</f>
        <v>+1 309-643-7136</v>
      </c>
      <c r="O113" s="22"/>
    </row>
    <row r="114" ht="10.5" customHeight="1">
      <c r="A114" s="7"/>
      <c r="B114" s="4" t="str">
        <f>IFERROR(__xludf.DUMMYFUNCTION("spillArrayByArea(""Normal (A)"",IMPORTRANGE(""https://docs.google.com/spreadsheets/d/1kxPf4UHMcRerizZzfL8mTPSKpdGTJRWtz7_Z2hDQmcQ/edit#gid=615767414"",""'Contacts'!A1:Q""))"),"Normal (A)")</f>
        <v>Normal (A)</v>
      </c>
      <c r="C114" s="5"/>
      <c r="D114" s="6" t="str">
        <f>IFERROR(__xludf.DUMMYFUNCTION("spillArrayByArea(""Normal (B) - FR"",IMPORTRANGE(""https://docs.google.com/spreadsheets/d/1kxPf4UHMcRerizZzfL8mTPSKpdGTJRWtz7_Z2hDQmcQ/edit#gid=615767414"",""'Contacts'!A1:Q""))"),"Normal (B) - FR")</f>
        <v>Normal (B) - FR</v>
      </c>
      <c r="E114" s="5"/>
      <c r="F114" s="6" t="str">
        <f>IFERROR(__xludf.DUMMYFUNCTION("spillArrayByArea(""Pekin"",IMPORTRANGE(""https://docs.google.com/spreadsheets/d/1kxPf4UHMcRerizZzfL8mTPSKpdGTJRWtz7_Z2hDQmcQ/edit#gid=615767414"",""'Contacts'!A1:Q""))"),"Pekin")</f>
        <v>Pekin</v>
      </c>
      <c r="G114" s="5"/>
      <c r="H114" s="6" t="str">
        <f>IFERROR(__xludf.DUMMYFUNCTION("spillArrayByArea(""Peoria (A)"",IMPORTRANGE(""https://docs.google.com/spreadsheets/d/1kxPf4UHMcRerizZzfL8mTPSKpdGTJRWtz7_Z2hDQmcQ/edit#gid=615767414"",""'Contacts'!A1:Q""))"),"Peoria (A)")</f>
        <v>Peoria (A)</v>
      </c>
      <c r="I114" s="5"/>
      <c r="J114" s="6" t="str">
        <f>IFERROR(__xludf.DUMMYFUNCTION("spillArrayByArea(""Peoria (B)"",IMPORTRANGE(""https://docs.google.com/spreadsheets/d/1kxPf4UHMcRerizZzfL8mTPSKpdGTJRWtz7_Z2hDQmcQ/edit#gid=615767414"",""'Contacts'!A1:Q""))"),"Peoria (B)")</f>
        <v>Peoria (B)</v>
      </c>
      <c r="K114" s="5"/>
      <c r="L114" s="6"/>
      <c r="M114" s="5"/>
      <c r="N114" s="6"/>
      <c r="O114" s="5"/>
    </row>
    <row r="115" ht="10.5" customHeight="1">
      <c r="A115" s="7"/>
      <c r="B115" s="8" t="str">
        <f>IFERROR(__xludf.DUMMYFUNCTION("""COMPUTED_VALUE"""),"SC")</f>
        <v>SC</v>
      </c>
      <c r="C115" s="9" t="str">
        <f>IFERROR(__xludf.DUMMYFUNCTION("""COMPUTED_VALUE"""),"Oberhansley")</f>
        <v>Oberhansley</v>
      </c>
      <c r="D115" s="10" t="str">
        <f>IFERROR(__xludf.DUMMYFUNCTION("""COMPUTED_VALUE"""),"DL")</f>
        <v>DL</v>
      </c>
      <c r="E115" s="9" t="str">
        <f>IFERROR(__xludf.DUMMYFUNCTION("""COMPUTED_VALUE"""),"Bond")</f>
        <v>Bond</v>
      </c>
      <c r="F115" s="10" t="str">
        <f>IFERROR(__xludf.DUMMYFUNCTION("""COMPUTED_VALUE""")," STL2 ")</f>
        <v> STL2 </v>
      </c>
      <c r="G115" s="9" t="str">
        <f>IFERROR(__xludf.DUMMYFUNCTION("""COMPUTED_VALUE"""),"Harper")</f>
        <v>Harper</v>
      </c>
      <c r="H115" s="10" t="str">
        <f>IFERROR(__xludf.DUMMYFUNCTION("""COMPUTED_VALUE"""),"ZL2")</f>
        <v>ZL2</v>
      </c>
      <c r="I115" s="9" t="str">
        <f>IFERROR(__xludf.DUMMYFUNCTION("""COMPUTED_VALUE"""),"Hammer")</f>
        <v>Hammer</v>
      </c>
      <c r="J115" s="10" t="str">
        <f>IFERROR(__xludf.DUMMYFUNCTION("""COMPUTED_VALUE"""),"DL")</f>
        <v>DL</v>
      </c>
      <c r="K115" s="9" t="str">
        <f>IFERROR(__xludf.DUMMYFUNCTION("""COMPUTED_VALUE"""),"Andrus")</f>
        <v>Andrus</v>
      </c>
      <c r="L115" s="10"/>
      <c r="M115" s="9"/>
      <c r="N115" s="10"/>
      <c r="O115" s="9"/>
    </row>
    <row r="116" ht="10.5" customHeight="1">
      <c r="A116" s="7"/>
      <c r="B116" s="11" t="str">
        <f>IFERROR(__xludf.DUMMYFUNCTION("""COMPUTED_VALUE"""),"JC")</f>
        <v>JC</v>
      </c>
      <c r="C116" s="12" t="str">
        <f>IFERROR(__xludf.DUMMYFUNCTION("""COMPUTED_VALUE"""),"Rex")</f>
        <v>Rex</v>
      </c>
      <c r="D116" s="13" t="str">
        <f>IFERROR(__xludf.DUMMYFUNCTION("""COMPUTED_VALUE"""),"JC")</f>
        <v>JC</v>
      </c>
      <c r="E116" s="12" t="str">
        <f>IFERROR(__xludf.DUMMYFUNCTION("""COMPUTED_VALUE"""),"Bunker")</f>
        <v>Bunker</v>
      </c>
      <c r="F116" s="13" t="str">
        <f>IFERROR(__xludf.DUMMYFUNCTION("""COMPUTED_VALUE""")," STL1 ")</f>
        <v> STL1 </v>
      </c>
      <c r="G116" s="12" t="str">
        <f>IFERROR(__xludf.DUMMYFUNCTION("""COMPUTED_VALUE"""),"Majors")</f>
        <v>Majors</v>
      </c>
      <c r="H116" s="13" t="str">
        <f>IFERROR(__xludf.DUMMYFUNCTION("""COMPUTED_VALUE"""),"ZL1")</f>
        <v>ZL1</v>
      </c>
      <c r="I116" s="12" t="str">
        <f>IFERROR(__xludf.DUMMYFUNCTION("""COMPUTED_VALUE"""),"James")</f>
        <v>James</v>
      </c>
      <c r="J116" s="13" t="str">
        <f>IFERROR(__xludf.DUMMYFUNCTION("""COMPUTED_VALUE"""),"JC")</f>
        <v>JC</v>
      </c>
      <c r="K116" s="12" t="str">
        <f>IFERROR(__xludf.DUMMYFUNCTION("""COMPUTED_VALUE"""),"Rihari")</f>
        <v>Rihari</v>
      </c>
      <c r="L116" s="13"/>
      <c r="M116" s="12"/>
      <c r="N116" s="13"/>
      <c r="O116" s="12"/>
    </row>
    <row r="117" ht="10.5" customHeight="1">
      <c r="A117" s="7"/>
      <c r="B117" s="11"/>
      <c r="C117" s="12"/>
      <c r="D117" s="13"/>
      <c r="E117" s="12"/>
      <c r="F117" s="13"/>
      <c r="G117" s="12"/>
      <c r="H117" s="13"/>
      <c r="I117" s="12"/>
      <c r="J117" s="13"/>
      <c r="K117" s="12"/>
      <c r="L117" s="13"/>
      <c r="M117" s="12"/>
      <c r="N117" s="13"/>
      <c r="O117" s="12"/>
    </row>
    <row r="118" ht="10.5" customHeight="1">
      <c r="A118" s="7"/>
      <c r="B118" s="15" t="str">
        <f>IFERROR(__xludf.DUMMYFUNCTION("""COMPUTED_VALUE"""),"625 W Orlando Dr Apt 205")</f>
        <v>625 W Orlando Dr Apt 205</v>
      </c>
      <c r="C118" s="16"/>
      <c r="D118" s="17" t="str">
        <f>IFERROR(__xludf.DUMMYFUNCTION("""COMPUTED_VALUE"""),"625 W Orlando Dr Apt #303")</f>
        <v>625 W Orlando Dr Apt #303</v>
      </c>
      <c r="E118" s="16"/>
      <c r="F118" s="17" t="str">
        <f>IFERROR(__xludf.DUMMYFUNCTION("""COMPUTED_VALUE"""),"204 N Parkway Dr. #B")</f>
        <v>204 N Parkway Dr. #B</v>
      </c>
      <c r="G118" s="16"/>
      <c r="H118" s="17" t="str">
        <f>IFERROR(__xludf.DUMMYFUNCTION("""COMPUTED_VALUE"""),"4010 N Brandywine Dr. #1003")</f>
        <v>4010 N Brandywine Dr. #1003</v>
      </c>
      <c r="I118" s="16"/>
      <c r="J118" s="17" t="str">
        <f>IFERROR(__xludf.DUMMYFUNCTION("""COMPUTED_VALUE"""),"2401 W Alta Rd. #2007")</f>
        <v>2401 W Alta Rd. #2007</v>
      </c>
      <c r="K118" s="16"/>
      <c r="L118" s="17"/>
      <c r="M118" s="16"/>
      <c r="N118" s="17"/>
      <c r="O118" s="16"/>
    </row>
    <row r="119" ht="10.5" customHeight="1">
      <c r="A119" s="7"/>
      <c r="B119" s="18" t="str">
        <f>IFERROR(__xludf.DUMMYFUNCTION("""COMPUTED_VALUE"""),"Normal, IL 61761")</f>
        <v>Normal, IL 61761</v>
      </c>
      <c r="C119" s="19"/>
      <c r="D119" s="20" t="str">
        <f>IFERROR(__xludf.DUMMYFUNCTION("""COMPUTED_VALUE"""),"Normal, IL 61761")</f>
        <v>Normal, IL 61761</v>
      </c>
      <c r="E119" s="19"/>
      <c r="F119" s="20" t="str">
        <f>IFERROR(__xludf.DUMMYFUNCTION("""COMPUTED_VALUE"""),"Pekin, IL 61554")</f>
        <v>Pekin, IL 61554</v>
      </c>
      <c r="G119" s="19"/>
      <c r="H119" s="20" t="str">
        <f>IFERROR(__xludf.DUMMYFUNCTION("""COMPUTED_VALUE"""),"Peoria, IL 61614")</f>
        <v>Peoria, IL 61614</v>
      </c>
      <c r="I119" s="19"/>
      <c r="J119" s="20" t="str">
        <f>IFERROR(__xludf.DUMMYFUNCTION("""COMPUTED_VALUE"""),"Peoria, IL 61615")</f>
        <v>Peoria, IL 61615</v>
      </c>
      <c r="K119" s="19"/>
      <c r="L119" s="20"/>
      <c r="M119" s="19"/>
      <c r="N119" s="20"/>
      <c r="O119" s="19"/>
    </row>
    <row r="120" ht="10.5" customHeight="1">
      <c r="A120" s="24"/>
      <c r="B120" s="21" t="str">
        <f>IFERROR(__xludf.DUMMYFUNCTION("""COMPUTED_VALUE"""),"+1 309-433-7477")</f>
        <v>+1 309-433-7477</v>
      </c>
      <c r="C120" s="22"/>
      <c r="D120" s="23" t="str">
        <f>IFERROR(__xludf.DUMMYFUNCTION("""COMPUTED_VALUE"""),"+1 309-340-6678")</f>
        <v>+1 309-340-6678</v>
      </c>
      <c r="E120" s="22"/>
      <c r="F120" s="23" t="str">
        <f>IFERROR(__xludf.DUMMYFUNCTION("""COMPUTED_VALUE"""),"+1 309-642-0974")</f>
        <v>+1 309-642-0974</v>
      </c>
      <c r="G120" s="22"/>
      <c r="H120" s="23" t="str">
        <f>IFERROR(__xludf.DUMMYFUNCTION("""COMPUTED_VALUE"""),"+1 309-472-9714")</f>
        <v>+1 309-472-9714</v>
      </c>
      <c r="I120" s="22"/>
      <c r="J120" s="23" t="str">
        <f>IFERROR(__xludf.DUMMYFUNCTION("""COMPUTED_VALUE"""),"+1 309-340-6677")</f>
        <v>+1 309-340-6677</v>
      </c>
      <c r="K120" s="22"/>
      <c r="L120" s="23"/>
      <c r="M120" s="22"/>
      <c r="N120" s="23"/>
      <c r="O120" s="22"/>
    </row>
    <row r="121" ht="10.5" hidden="1" customHeight="1">
      <c r="A121" s="25"/>
      <c r="B121" s="4"/>
      <c r="C121" s="5"/>
      <c r="D121" s="6"/>
      <c r="E121" s="5"/>
      <c r="F121" s="6"/>
      <c r="G121" s="5"/>
      <c r="H121" s="6"/>
      <c r="I121" s="5"/>
      <c r="J121" s="6"/>
      <c r="K121" s="5"/>
      <c r="L121" s="6"/>
      <c r="M121" s="5"/>
      <c r="N121" s="6"/>
      <c r="O121" s="5"/>
    </row>
    <row r="122" ht="10.5" hidden="1" customHeight="1">
      <c r="A122" s="25"/>
      <c r="B122" s="8"/>
      <c r="C122" s="9"/>
      <c r="D122" s="10"/>
      <c r="E122" s="9"/>
      <c r="F122" s="10"/>
      <c r="G122" s="9"/>
      <c r="H122" s="10"/>
      <c r="I122" s="9"/>
      <c r="J122" s="10"/>
      <c r="K122" s="9"/>
      <c r="L122" s="10"/>
      <c r="M122" s="9"/>
      <c r="N122" s="10"/>
      <c r="O122" s="9"/>
    </row>
    <row r="123" ht="10.5" hidden="1" customHeight="1">
      <c r="A123" s="25"/>
      <c r="B123" s="11"/>
      <c r="C123" s="12"/>
      <c r="D123" s="13"/>
      <c r="E123" s="12"/>
      <c r="F123" s="13"/>
      <c r="G123" s="12"/>
      <c r="H123" s="13"/>
      <c r="I123" s="12"/>
      <c r="J123" s="13"/>
      <c r="K123" s="12"/>
      <c r="L123" s="13"/>
      <c r="M123" s="12"/>
      <c r="N123" s="13"/>
      <c r="O123" s="12"/>
    </row>
    <row r="124" ht="10.5" hidden="1" customHeight="1">
      <c r="A124" s="25"/>
      <c r="B124" s="11"/>
      <c r="C124" s="12"/>
      <c r="D124" s="13"/>
      <c r="E124" s="12"/>
      <c r="F124" s="13"/>
      <c r="G124" s="12"/>
      <c r="H124" s="13"/>
      <c r="I124" s="12"/>
      <c r="J124" s="13"/>
      <c r="K124" s="12"/>
      <c r="L124" s="13"/>
      <c r="M124" s="12"/>
      <c r="N124" s="13"/>
      <c r="O124" s="12"/>
    </row>
    <row r="125" ht="10.5" hidden="1" customHeight="1">
      <c r="A125" s="25"/>
      <c r="B125" s="15"/>
      <c r="C125" s="16"/>
      <c r="D125" s="17"/>
      <c r="E125" s="16"/>
      <c r="F125" s="17"/>
      <c r="G125" s="16"/>
      <c r="H125" s="17"/>
      <c r="I125" s="16"/>
      <c r="J125" s="17"/>
      <c r="K125" s="16"/>
      <c r="L125" s="17"/>
      <c r="M125" s="16"/>
      <c r="N125" s="17"/>
      <c r="O125" s="16"/>
    </row>
    <row r="126" ht="10.5" hidden="1" customHeight="1">
      <c r="A126" s="25"/>
      <c r="B126" s="18"/>
      <c r="C126" s="19"/>
      <c r="D126" s="20"/>
      <c r="E126" s="19"/>
      <c r="F126" s="20"/>
      <c r="G126" s="19"/>
      <c r="H126" s="20"/>
      <c r="I126" s="19"/>
      <c r="J126" s="20"/>
      <c r="K126" s="19"/>
      <c r="L126" s="20"/>
      <c r="M126" s="19"/>
      <c r="N126" s="20"/>
      <c r="O126" s="19"/>
    </row>
    <row r="127" ht="10.5" hidden="1" customHeight="1">
      <c r="A127" s="25"/>
      <c r="B127" s="21"/>
      <c r="C127" s="22"/>
      <c r="D127" s="23"/>
      <c r="E127" s="22"/>
      <c r="F127" s="23"/>
      <c r="G127" s="22"/>
      <c r="H127" s="23"/>
      <c r="I127" s="22"/>
      <c r="J127" s="23"/>
      <c r="K127" s="22"/>
      <c r="L127" s="23"/>
      <c r="M127" s="22"/>
      <c r="N127" s="23"/>
      <c r="O127" s="22"/>
    </row>
    <row r="128" ht="10.5" hidden="1" customHeight="1">
      <c r="A128" s="25"/>
      <c r="B128" s="4"/>
      <c r="C128" s="5"/>
      <c r="D128" s="6"/>
      <c r="E128" s="5"/>
      <c r="F128" s="6"/>
      <c r="G128" s="5"/>
      <c r="H128" s="6"/>
      <c r="I128" s="5"/>
      <c r="J128" s="6"/>
      <c r="K128" s="5"/>
      <c r="L128" s="6"/>
      <c r="M128" s="5"/>
      <c r="N128" s="6"/>
      <c r="O128" s="5"/>
    </row>
    <row r="129" ht="10.5" hidden="1" customHeight="1">
      <c r="A129" s="25"/>
      <c r="B129" s="8"/>
      <c r="C129" s="9"/>
      <c r="D129" s="10"/>
      <c r="E129" s="9"/>
      <c r="F129" s="10"/>
      <c r="G129" s="9"/>
      <c r="H129" s="10"/>
      <c r="I129" s="9"/>
      <c r="J129" s="10"/>
      <c r="K129" s="9"/>
      <c r="L129" s="10"/>
      <c r="M129" s="9"/>
      <c r="N129" s="10"/>
      <c r="O129" s="9"/>
    </row>
    <row r="130" ht="10.5" hidden="1" customHeight="1">
      <c r="A130" s="25"/>
      <c r="B130" s="11"/>
      <c r="C130" s="12"/>
      <c r="D130" s="13"/>
      <c r="E130" s="12"/>
      <c r="F130" s="13"/>
      <c r="G130" s="12"/>
      <c r="H130" s="13"/>
      <c r="I130" s="12"/>
      <c r="J130" s="13"/>
      <c r="K130" s="12"/>
      <c r="L130" s="13"/>
      <c r="M130" s="12"/>
      <c r="N130" s="13"/>
      <c r="O130" s="12"/>
    </row>
    <row r="131" ht="10.5" hidden="1" customHeight="1">
      <c r="A131" s="25"/>
      <c r="B131" s="11"/>
      <c r="C131" s="12"/>
      <c r="D131" s="13"/>
      <c r="E131" s="12"/>
      <c r="F131" s="13"/>
      <c r="G131" s="12"/>
      <c r="H131" s="13"/>
      <c r="I131" s="12"/>
      <c r="J131" s="13"/>
      <c r="K131" s="12"/>
      <c r="L131" s="13"/>
      <c r="M131" s="12"/>
      <c r="N131" s="13"/>
      <c r="O131" s="12"/>
    </row>
    <row r="132" ht="10.5" hidden="1" customHeight="1">
      <c r="A132" s="25"/>
      <c r="B132" s="15"/>
      <c r="C132" s="16"/>
      <c r="D132" s="17"/>
      <c r="E132" s="16"/>
      <c r="F132" s="17"/>
      <c r="G132" s="16"/>
      <c r="H132" s="17"/>
      <c r="I132" s="16"/>
      <c r="J132" s="17"/>
      <c r="K132" s="16"/>
      <c r="L132" s="17"/>
      <c r="M132" s="16"/>
      <c r="N132" s="17"/>
      <c r="O132" s="16"/>
    </row>
    <row r="133" ht="10.5" hidden="1" customHeight="1">
      <c r="A133" s="25"/>
      <c r="B133" s="18"/>
      <c r="C133" s="19"/>
      <c r="D133" s="20"/>
      <c r="E133" s="19"/>
      <c r="F133" s="20"/>
      <c r="G133" s="19"/>
      <c r="H133" s="20"/>
      <c r="I133" s="19"/>
      <c r="J133" s="20"/>
      <c r="K133" s="19"/>
      <c r="L133" s="20"/>
      <c r="M133" s="19"/>
      <c r="N133" s="20"/>
      <c r="O133" s="19"/>
    </row>
    <row r="134" ht="10.5" hidden="1" customHeight="1">
      <c r="A134" s="25"/>
      <c r="B134" s="21"/>
      <c r="C134" s="22"/>
      <c r="D134" s="23"/>
      <c r="E134" s="22"/>
      <c r="F134" s="23"/>
      <c r="G134" s="22"/>
      <c r="H134" s="23"/>
      <c r="I134" s="22"/>
      <c r="J134" s="23"/>
      <c r="K134" s="22"/>
      <c r="L134" s="23"/>
      <c r="M134" s="22"/>
      <c r="N134" s="23"/>
      <c r="O134" s="22"/>
    </row>
    <row r="135" ht="10.5" hidden="1" customHeight="1">
      <c r="A135" s="25"/>
      <c r="B135" s="4"/>
      <c r="C135" s="5"/>
      <c r="D135" s="6"/>
      <c r="E135" s="5"/>
      <c r="F135" s="6"/>
      <c r="G135" s="5"/>
      <c r="H135" s="6"/>
      <c r="I135" s="5"/>
      <c r="J135" s="6"/>
      <c r="K135" s="5"/>
      <c r="L135" s="6"/>
      <c r="M135" s="5"/>
      <c r="N135" s="6"/>
      <c r="O135" s="5"/>
    </row>
    <row r="136" ht="10.5" hidden="1" customHeight="1">
      <c r="A136" s="25"/>
      <c r="B136" s="8"/>
      <c r="C136" s="9"/>
      <c r="D136" s="10"/>
      <c r="E136" s="9"/>
      <c r="F136" s="10"/>
      <c r="G136" s="9"/>
      <c r="H136" s="10"/>
      <c r="I136" s="9"/>
      <c r="J136" s="10"/>
      <c r="K136" s="9"/>
      <c r="L136" s="10"/>
      <c r="M136" s="9"/>
      <c r="N136" s="10"/>
      <c r="O136" s="9"/>
    </row>
    <row r="137" ht="10.5" hidden="1" customHeight="1">
      <c r="A137" s="25"/>
      <c r="B137" s="11"/>
      <c r="C137" s="12"/>
      <c r="D137" s="13"/>
      <c r="E137" s="12"/>
      <c r="F137" s="13"/>
      <c r="G137" s="12"/>
      <c r="H137" s="13"/>
      <c r="I137" s="12"/>
      <c r="J137" s="13"/>
      <c r="K137" s="12"/>
      <c r="L137" s="13"/>
      <c r="M137" s="12"/>
      <c r="N137" s="13"/>
      <c r="O137" s="12"/>
    </row>
    <row r="138" ht="10.5" hidden="1" customHeight="1">
      <c r="A138" s="25"/>
      <c r="B138" s="11"/>
      <c r="C138" s="12"/>
      <c r="D138" s="13"/>
      <c r="E138" s="12"/>
      <c r="F138" s="13"/>
      <c r="G138" s="12"/>
      <c r="H138" s="13"/>
      <c r="I138" s="12"/>
      <c r="J138" s="13"/>
      <c r="K138" s="12"/>
      <c r="L138" s="13"/>
      <c r="M138" s="12"/>
      <c r="N138" s="13"/>
      <c r="O138" s="12"/>
    </row>
    <row r="139" ht="10.5" hidden="1" customHeight="1">
      <c r="A139" s="25"/>
      <c r="B139" s="15"/>
      <c r="C139" s="16"/>
      <c r="D139" s="17"/>
      <c r="E139" s="16"/>
      <c r="F139" s="17"/>
      <c r="G139" s="16"/>
      <c r="H139" s="17"/>
      <c r="I139" s="16"/>
      <c r="J139" s="17"/>
      <c r="K139" s="16"/>
      <c r="L139" s="17"/>
      <c r="M139" s="16"/>
      <c r="N139" s="17"/>
      <c r="O139" s="16"/>
    </row>
    <row r="140" ht="10.5" hidden="1" customHeight="1">
      <c r="A140" s="25"/>
      <c r="B140" s="18"/>
      <c r="C140" s="19"/>
      <c r="D140" s="20"/>
      <c r="E140" s="19"/>
      <c r="F140" s="20"/>
      <c r="G140" s="19"/>
      <c r="H140" s="20"/>
      <c r="I140" s="19"/>
      <c r="J140" s="20"/>
      <c r="K140" s="19"/>
      <c r="L140" s="20"/>
      <c r="M140" s="19"/>
      <c r="N140" s="20"/>
      <c r="O140" s="19"/>
    </row>
    <row r="141" ht="10.5" hidden="1" customHeight="1">
      <c r="A141" s="25"/>
      <c r="B141" s="21"/>
      <c r="C141" s="22"/>
      <c r="D141" s="23"/>
      <c r="E141" s="22"/>
      <c r="F141" s="23"/>
      <c r="G141" s="22"/>
      <c r="H141" s="23"/>
      <c r="I141" s="22"/>
      <c r="J141" s="23"/>
      <c r="K141" s="22"/>
      <c r="L141" s="23"/>
      <c r="M141" s="22"/>
      <c r="N141" s="23"/>
      <c r="O141" s="22"/>
    </row>
    <row r="142" ht="10.5" hidden="1" customHeight="1">
      <c r="A142" s="25"/>
      <c r="B142" s="4"/>
      <c r="C142" s="5"/>
      <c r="D142" s="6"/>
      <c r="E142" s="5"/>
      <c r="F142" s="6"/>
      <c r="G142" s="5"/>
      <c r="H142" s="6"/>
      <c r="I142" s="5"/>
      <c r="J142" s="6"/>
      <c r="K142" s="5"/>
      <c r="L142" s="6"/>
      <c r="M142" s="5"/>
      <c r="N142" s="6"/>
      <c r="O142" s="5"/>
    </row>
    <row r="143" ht="10.5" hidden="1" customHeight="1">
      <c r="A143" s="25"/>
      <c r="B143" s="8"/>
      <c r="C143" s="9"/>
      <c r="D143" s="10"/>
      <c r="E143" s="9"/>
      <c r="F143" s="10"/>
      <c r="G143" s="9"/>
      <c r="H143" s="10"/>
      <c r="I143" s="9"/>
      <c r="J143" s="10"/>
      <c r="K143" s="9"/>
      <c r="L143" s="10"/>
      <c r="M143" s="9"/>
      <c r="N143" s="10"/>
      <c r="O143" s="9"/>
    </row>
    <row r="144" ht="10.5" hidden="1" customHeight="1">
      <c r="A144" s="25"/>
      <c r="B144" s="11"/>
      <c r="C144" s="12"/>
      <c r="D144" s="13"/>
      <c r="E144" s="12"/>
      <c r="F144" s="13"/>
      <c r="G144" s="12"/>
      <c r="H144" s="13"/>
      <c r="I144" s="12"/>
      <c r="J144" s="13"/>
      <c r="K144" s="12"/>
      <c r="L144" s="13"/>
      <c r="M144" s="12"/>
      <c r="N144" s="13"/>
      <c r="O144" s="12"/>
    </row>
    <row r="145" ht="10.5" hidden="1" customHeight="1">
      <c r="A145" s="25"/>
      <c r="B145" s="11"/>
      <c r="C145" s="12"/>
      <c r="D145" s="13"/>
      <c r="E145" s="12"/>
      <c r="F145" s="13"/>
      <c r="G145" s="12"/>
      <c r="H145" s="13"/>
      <c r="I145" s="12"/>
      <c r="J145" s="13"/>
      <c r="K145" s="12"/>
      <c r="L145" s="13"/>
      <c r="M145" s="12"/>
      <c r="N145" s="13"/>
      <c r="O145" s="12"/>
    </row>
    <row r="146" ht="10.5" hidden="1" customHeight="1">
      <c r="A146" s="25"/>
      <c r="B146" s="15"/>
      <c r="C146" s="16"/>
      <c r="D146" s="17"/>
      <c r="E146" s="16"/>
      <c r="F146" s="17"/>
      <c r="G146" s="16"/>
      <c r="H146" s="17"/>
      <c r="I146" s="16"/>
      <c r="J146" s="17"/>
      <c r="K146" s="16"/>
      <c r="L146" s="17"/>
      <c r="M146" s="16"/>
      <c r="N146" s="17"/>
      <c r="O146" s="16"/>
    </row>
    <row r="147" ht="10.5" hidden="1" customHeight="1">
      <c r="A147" s="25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</row>
    <row r="148" ht="10.5" hidden="1" customHeight="1">
      <c r="A148" s="25"/>
      <c r="B148" s="21"/>
      <c r="C148" s="22"/>
      <c r="D148" s="23"/>
      <c r="E148" s="22"/>
      <c r="F148" s="23"/>
      <c r="G148" s="22"/>
      <c r="H148" s="23"/>
      <c r="I148" s="22"/>
      <c r="J148" s="23"/>
      <c r="K148" s="22"/>
      <c r="L148" s="23"/>
      <c r="M148" s="22"/>
      <c r="N148" s="23"/>
      <c r="O148" s="22"/>
    </row>
    <row r="149" ht="10.5" hidden="1" customHeight="1">
      <c r="A149" s="25"/>
      <c r="B149" s="4"/>
      <c r="C149" s="5"/>
      <c r="D149" s="6"/>
      <c r="E149" s="5"/>
      <c r="F149" s="6"/>
      <c r="G149" s="5"/>
      <c r="H149" s="6"/>
      <c r="I149" s="5"/>
      <c r="J149" s="6"/>
      <c r="K149" s="5"/>
      <c r="L149" s="6"/>
      <c r="M149" s="5"/>
      <c r="N149" s="6"/>
      <c r="O149" s="5"/>
    </row>
    <row r="150" ht="10.5" hidden="1" customHeight="1">
      <c r="A150" s="25"/>
      <c r="B150" s="8"/>
      <c r="C150" s="9"/>
      <c r="D150" s="10"/>
      <c r="E150" s="9"/>
      <c r="F150" s="10"/>
      <c r="G150" s="9"/>
      <c r="H150" s="10"/>
      <c r="I150" s="9"/>
      <c r="J150" s="10"/>
      <c r="K150" s="9"/>
      <c r="L150" s="10"/>
      <c r="M150" s="9"/>
      <c r="N150" s="10"/>
      <c r="O150" s="9"/>
    </row>
    <row r="151" ht="10.5" hidden="1" customHeight="1">
      <c r="A151" s="25"/>
      <c r="B151" s="11"/>
      <c r="C151" s="12"/>
      <c r="D151" s="13"/>
      <c r="E151" s="12"/>
      <c r="F151" s="13"/>
      <c r="G151" s="12"/>
      <c r="H151" s="13"/>
      <c r="I151" s="12"/>
      <c r="J151" s="13"/>
      <c r="K151" s="12"/>
      <c r="L151" s="13"/>
      <c r="M151" s="12"/>
      <c r="N151" s="13"/>
      <c r="O151" s="12"/>
    </row>
    <row r="152" ht="10.5" hidden="1" customHeight="1">
      <c r="A152" s="25"/>
      <c r="B152" s="11"/>
      <c r="C152" s="12"/>
      <c r="D152" s="13"/>
      <c r="E152" s="12"/>
      <c r="F152" s="13"/>
      <c r="G152" s="12"/>
      <c r="H152" s="13"/>
      <c r="I152" s="12"/>
      <c r="J152" s="13"/>
      <c r="K152" s="12"/>
      <c r="L152" s="13"/>
      <c r="M152" s="12"/>
      <c r="N152" s="13"/>
      <c r="O152" s="12"/>
    </row>
    <row r="153" ht="10.5" hidden="1" customHeight="1">
      <c r="A153" s="25"/>
      <c r="B153" s="15"/>
      <c r="C153" s="16"/>
      <c r="D153" s="17"/>
      <c r="E153" s="16"/>
      <c r="F153" s="17"/>
      <c r="G153" s="16"/>
      <c r="H153" s="17"/>
      <c r="I153" s="16"/>
      <c r="J153" s="17"/>
      <c r="K153" s="16"/>
      <c r="L153" s="17"/>
      <c r="M153" s="16"/>
      <c r="N153" s="17"/>
      <c r="O153" s="16"/>
    </row>
    <row r="154" ht="10.5" hidden="1" customHeight="1">
      <c r="A154" s="25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</row>
    <row r="155" ht="10.5" hidden="1" customHeight="1">
      <c r="A155" s="25"/>
      <c r="B155" s="21"/>
      <c r="C155" s="22"/>
      <c r="D155" s="23"/>
      <c r="E155" s="22"/>
      <c r="F155" s="23"/>
      <c r="G155" s="22"/>
      <c r="H155" s="23"/>
      <c r="I155" s="22"/>
      <c r="J155" s="23"/>
      <c r="K155" s="22"/>
      <c r="L155" s="23"/>
      <c r="M155" s="22"/>
      <c r="N155" s="23"/>
      <c r="O155" s="22"/>
    </row>
  </sheetData>
  <mergeCells count="625">
    <mergeCell ref="J49:K49"/>
    <mergeCell ref="L49:M49"/>
    <mergeCell ref="F48:G48"/>
    <mergeCell ref="H48:I48"/>
    <mergeCell ref="J48:K48"/>
    <mergeCell ref="L48:M48"/>
    <mergeCell ref="N48:O48"/>
    <mergeCell ref="H49:I49"/>
    <mergeCell ref="N49:O49"/>
    <mergeCell ref="J36:K36"/>
    <mergeCell ref="L36:M36"/>
    <mergeCell ref="F35:G35"/>
    <mergeCell ref="H35:I35"/>
    <mergeCell ref="J35:K35"/>
    <mergeCell ref="L35:M35"/>
    <mergeCell ref="N35:O35"/>
    <mergeCell ref="H36:I36"/>
    <mergeCell ref="N36:O36"/>
    <mergeCell ref="L41:M41"/>
    <mergeCell ref="N41:O41"/>
    <mergeCell ref="L42:M42"/>
    <mergeCell ref="N42:O42"/>
    <mergeCell ref="L43:M43"/>
    <mergeCell ref="N43:O43"/>
    <mergeCell ref="F36:G36"/>
    <mergeCell ref="F37:G37"/>
    <mergeCell ref="H37:I37"/>
    <mergeCell ref="J37:K37"/>
    <mergeCell ref="L37:M37"/>
    <mergeCell ref="N37:O37"/>
    <mergeCell ref="F41:G41"/>
    <mergeCell ref="F43:G43"/>
    <mergeCell ref="F44:G44"/>
    <mergeCell ref="H44:I44"/>
    <mergeCell ref="J44:K44"/>
    <mergeCell ref="L44:M44"/>
    <mergeCell ref="N44:O44"/>
    <mergeCell ref="H41:I41"/>
    <mergeCell ref="J41:K41"/>
    <mergeCell ref="F42:G42"/>
    <mergeCell ref="H42:I42"/>
    <mergeCell ref="J42:K42"/>
    <mergeCell ref="H43:I43"/>
    <mergeCell ref="J43:K43"/>
    <mergeCell ref="F49:G49"/>
    <mergeCell ref="F50:G50"/>
    <mergeCell ref="H50:I50"/>
    <mergeCell ref="J50:K50"/>
    <mergeCell ref="L50:M50"/>
    <mergeCell ref="N50:O50"/>
    <mergeCell ref="L2:M2"/>
    <mergeCell ref="N2:O2"/>
    <mergeCell ref="B6:C6"/>
    <mergeCell ref="D6:E6"/>
    <mergeCell ref="F6:G6"/>
    <mergeCell ref="H6:I6"/>
    <mergeCell ref="J6:K6"/>
    <mergeCell ref="L6:M6"/>
    <mergeCell ref="D7:E7"/>
    <mergeCell ref="F7:G7"/>
    <mergeCell ref="H7:I7"/>
    <mergeCell ref="J7:K7"/>
    <mergeCell ref="L7:M7"/>
    <mergeCell ref="N7:O7"/>
    <mergeCell ref="B2:C2"/>
    <mergeCell ref="B7:C7"/>
    <mergeCell ref="B8:C8"/>
    <mergeCell ref="D8:E8"/>
    <mergeCell ref="F8:G8"/>
    <mergeCell ref="H8:I8"/>
    <mergeCell ref="J8:K8"/>
    <mergeCell ref="L8:M8"/>
    <mergeCell ref="B13:C13"/>
    <mergeCell ref="D13:E13"/>
    <mergeCell ref="F13:G13"/>
    <mergeCell ref="H13:I13"/>
    <mergeCell ref="J13:K13"/>
    <mergeCell ref="L13:M13"/>
    <mergeCell ref="J23:K23"/>
    <mergeCell ref="L23:M23"/>
    <mergeCell ref="F22:G22"/>
    <mergeCell ref="H22:I22"/>
    <mergeCell ref="J22:K22"/>
    <mergeCell ref="L22:M22"/>
    <mergeCell ref="N22:O22"/>
    <mergeCell ref="F23:G23"/>
    <mergeCell ref="H23:I23"/>
    <mergeCell ref="N23:O23"/>
    <mergeCell ref="N8:O8"/>
    <mergeCell ref="B9:C9"/>
    <mergeCell ref="D9:E9"/>
    <mergeCell ref="F9:G9"/>
    <mergeCell ref="H9:I9"/>
    <mergeCell ref="J9:K9"/>
    <mergeCell ref="L9:M9"/>
    <mergeCell ref="N9:O9"/>
    <mergeCell ref="N13:O13"/>
    <mergeCell ref="B14:C14"/>
    <mergeCell ref="D14:E14"/>
    <mergeCell ref="F14:G14"/>
    <mergeCell ref="H14:I14"/>
    <mergeCell ref="J14:K14"/>
    <mergeCell ref="L14:M14"/>
    <mergeCell ref="N14:O14"/>
    <mergeCell ref="J15:K15"/>
    <mergeCell ref="L15:M15"/>
    <mergeCell ref="J16:K16"/>
    <mergeCell ref="L16:M16"/>
    <mergeCell ref="N16:O16"/>
    <mergeCell ref="A1:O1"/>
    <mergeCell ref="A2:A15"/>
    <mergeCell ref="D2:E2"/>
    <mergeCell ref="F2:G2"/>
    <mergeCell ref="H2:I2"/>
    <mergeCell ref="J2:K2"/>
    <mergeCell ref="N6:O6"/>
    <mergeCell ref="N15:O15"/>
    <mergeCell ref="L20:M20"/>
    <mergeCell ref="N20:O20"/>
    <mergeCell ref="B21:C21"/>
    <mergeCell ref="D21:E21"/>
    <mergeCell ref="F21:G21"/>
    <mergeCell ref="H21:I21"/>
    <mergeCell ref="J21:K21"/>
    <mergeCell ref="L21:M21"/>
    <mergeCell ref="N21:O21"/>
    <mergeCell ref="F15:G15"/>
    <mergeCell ref="H15:I15"/>
    <mergeCell ref="F16:G16"/>
    <mergeCell ref="H16:I16"/>
    <mergeCell ref="F20:G20"/>
    <mergeCell ref="H20:I20"/>
    <mergeCell ref="J20:K20"/>
    <mergeCell ref="B22:C22"/>
    <mergeCell ref="D22:E22"/>
    <mergeCell ref="B23:C23"/>
    <mergeCell ref="D23:E23"/>
    <mergeCell ref="B27:C27"/>
    <mergeCell ref="D27:E27"/>
    <mergeCell ref="F27:G27"/>
    <mergeCell ref="H27:I27"/>
    <mergeCell ref="J27:K27"/>
    <mergeCell ref="L27:M27"/>
    <mergeCell ref="N27:O27"/>
    <mergeCell ref="B28:C28"/>
    <mergeCell ref="D28:E28"/>
    <mergeCell ref="F28:G28"/>
    <mergeCell ref="H28:I28"/>
    <mergeCell ref="J28:K28"/>
    <mergeCell ref="L28:M28"/>
    <mergeCell ref="N28:O28"/>
    <mergeCell ref="F30:G30"/>
    <mergeCell ref="H30:I30"/>
    <mergeCell ref="J30:K30"/>
    <mergeCell ref="L30:M30"/>
    <mergeCell ref="N30:O30"/>
    <mergeCell ref="B29:C29"/>
    <mergeCell ref="D29:E29"/>
    <mergeCell ref="F29:G29"/>
    <mergeCell ref="H29:I29"/>
    <mergeCell ref="J29:K29"/>
    <mergeCell ref="L29:M29"/>
    <mergeCell ref="N29:O29"/>
    <mergeCell ref="D30:E30"/>
    <mergeCell ref="B34:C34"/>
    <mergeCell ref="F34:G34"/>
    <mergeCell ref="H34:I34"/>
    <mergeCell ref="J34:K34"/>
    <mergeCell ref="L34:M34"/>
    <mergeCell ref="N34:O34"/>
    <mergeCell ref="B20:C20"/>
    <mergeCell ref="B30:C30"/>
    <mergeCell ref="B15:C15"/>
    <mergeCell ref="D15:E15"/>
    <mergeCell ref="A16:A29"/>
    <mergeCell ref="B16:C16"/>
    <mergeCell ref="D16:E16"/>
    <mergeCell ref="D20:E20"/>
    <mergeCell ref="A30:A43"/>
    <mergeCell ref="L56:M56"/>
    <mergeCell ref="N56:O56"/>
    <mergeCell ref="D55:E55"/>
    <mergeCell ref="F55:G55"/>
    <mergeCell ref="H55:I55"/>
    <mergeCell ref="J55:K55"/>
    <mergeCell ref="L55:M55"/>
    <mergeCell ref="N55:O55"/>
    <mergeCell ref="F56:G56"/>
    <mergeCell ref="D100:E100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18:E118"/>
    <mergeCell ref="D119:E119"/>
    <mergeCell ref="D120:E120"/>
    <mergeCell ref="D121:E121"/>
    <mergeCell ref="D125:E125"/>
    <mergeCell ref="D126:E126"/>
    <mergeCell ref="D127:E127"/>
    <mergeCell ref="D128:E128"/>
    <mergeCell ref="D132:E132"/>
    <mergeCell ref="D133:E133"/>
    <mergeCell ref="D134:E134"/>
    <mergeCell ref="D135:E135"/>
    <mergeCell ref="D149:E149"/>
    <mergeCell ref="D153:E153"/>
    <mergeCell ref="D154:E154"/>
    <mergeCell ref="D155:E155"/>
    <mergeCell ref="D139:E139"/>
    <mergeCell ref="D140:E140"/>
    <mergeCell ref="D141:E141"/>
    <mergeCell ref="D142:E142"/>
    <mergeCell ref="D146:E146"/>
    <mergeCell ref="D147:E147"/>
    <mergeCell ref="D148:E148"/>
    <mergeCell ref="B43:C43"/>
    <mergeCell ref="D43:E43"/>
    <mergeCell ref="D44:E44"/>
    <mergeCell ref="D48:E48"/>
    <mergeCell ref="D49:E49"/>
    <mergeCell ref="D50:E50"/>
    <mergeCell ref="D51:E51"/>
    <mergeCell ref="D56:E56"/>
    <mergeCell ref="B56:C56"/>
    <mergeCell ref="B57:C57"/>
    <mergeCell ref="D57:E57"/>
    <mergeCell ref="D58:E58"/>
    <mergeCell ref="D62:E62"/>
    <mergeCell ref="B62:C62"/>
    <mergeCell ref="B63:C63"/>
    <mergeCell ref="D63:E63"/>
    <mergeCell ref="D64:E64"/>
    <mergeCell ref="B64:C64"/>
    <mergeCell ref="B65:C65"/>
    <mergeCell ref="D65:E65"/>
    <mergeCell ref="D69:E69"/>
    <mergeCell ref="B69:C69"/>
    <mergeCell ref="B70:C70"/>
    <mergeCell ref="D70:E70"/>
    <mergeCell ref="D71:E71"/>
    <mergeCell ref="B71:C71"/>
    <mergeCell ref="B72:C72"/>
    <mergeCell ref="D72:E72"/>
    <mergeCell ref="D76:E76"/>
    <mergeCell ref="B76:C76"/>
    <mergeCell ref="B77:C77"/>
    <mergeCell ref="D77:E77"/>
    <mergeCell ref="D78:E78"/>
    <mergeCell ref="D79:E79"/>
    <mergeCell ref="D83:E83"/>
    <mergeCell ref="D84:E84"/>
    <mergeCell ref="B128:C128"/>
    <mergeCell ref="B132:C132"/>
    <mergeCell ref="B133:C133"/>
    <mergeCell ref="B134:C134"/>
    <mergeCell ref="B135:C135"/>
    <mergeCell ref="B139:C139"/>
    <mergeCell ref="B140:C140"/>
    <mergeCell ref="B154:C154"/>
    <mergeCell ref="B155:C155"/>
    <mergeCell ref="B141:C141"/>
    <mergeCell ref="B142:C142"/>
    <mergeCell ref="B146:C146"/>
    <mergeCell ref="B147:C147"/>
    <mergeCell ref="B148:C148"/>
    <mergeCell ref="B149:C149"/>
    <mergeCell ref="B153:C153"/>
    <mergeCell ref="B55:C55"/>
    <mergeCell ref="B58:C58"/>
    <mergeCell ref="A58:A78"/>
    <mergeCell ref="A79:A92"/>
    <mergeCell ref="A93:A106"/>
    <mergeCell ref="A107:A120"/>
    <mergeCell ref="A44:A57"/>
    <mergeCell ref="B44:C44"/>
    <mergeCell ref="B48:C48"/>
    <mergeCell ref="B49:C49"/>
    <mergeCell ref="B50:C50"/>
    <mergeCell ref="B51:C51"/>
    <mergeCell ref="B78:C78"/>
    <mergeCell ref="B79:C79"/>
    <mergeCell ref="B83:C83"/>
    <mergeCell ref="B84:C84"/>
    <mergeCell ref="B85:C85"/>
    <mergeCell ref="B86:C86"/>
    <mergeCell ref="B90:C90"/>
    <mergeCell ref="B91:C91"/>
    <mergeCell ref="B92:C92"/>
    <mergeCell ref="B93:C93"/>
    <mergeCell ref="B97:C97"/>
    <mergeCell ref="B98:C98"/>
    <mergeCell ref="B99:C99"/>
    <mergeCell ref="B100:C100"/>
    <mergeCell ref="B104:C104"/>
    <mergeCell ref="B105:C105"/>
    <mergeCell ref="B106:C106"/>
    <mergeCell ref="B107:C107"/>
    <mergeCell ref="B111:C111"/>
    <mergeCell ref="B112:C112"/>
    <mergeCell ref="B113:C113"/>
    <mergeCell ref="B114:C114"/>
    <mergeCell ref="B118:C118"/>
    <mergeCell ref="B119:C119"/>
    <mergeCell ref="B120:C120"/>
    <mergeCell ref="B121:C121"/>
    <mergeCell ref="B125:C125"/>
    <mergeCell ref="B126:C126"/>
    <mergeCell ref="B127:C127"/>
    <mergeCell ref="D34:E34"/>
    <mergeCell ref="B35:C35"/>
    <mergeCell ref="D35:E35"/>
    <mergeCell ref="B36:C36"/>
    <mergeCell ref="D36:E36"/>
    <mergeCell ref="B37:C37"/>
    <mergeCell ref="D37:E37"/>
    <mergeCell ref="B41:C41"/>
    <mergeCell ref="D41:E41"/>
    <mergeCell ref="B42:C42"/>
    <mergeCell ref="D42:E42"/>
    <mergeCell ref="F51:G51"/>
    <mergeCell ref="H51:I51"/>
    <mergeCell ref="J51:K51"/>
    <mergeCell ref="L51:M51"/>
    <mergeCell ref="N51:O51"/>
    <mergeCell ref="H56:I56"/>
    <mergeCell ref="J56:K56"/>
    <mergeCell ref="F57:G57"/>
    <mergeCell ref="H57:I57"/>
    <mergeCell ref="J57:K57"/>
    <mergeCell ref="L57:M57"/>
    <mergeCell ref="N57:O57"/>
    <mergeCell ref="J71:K71"/>
    <mergeCell ref="L71:M71"/>
    <mergeCell ref="F70:G70"/>
    <mergeCell ref="H70:I70"/>
    <mergeCell ref="J70:K70"/>
    <mergeCell ref="L70:M70"/>
    <mergeCell ref="N70:O70"/>
    <mergeCell ref="H71:I71"/>
    <mergeCell ref="N71:O71"/>
    <mergeCell ref="L76:M76"/>
    <mergeCell ref="N76:O76"/>
    <mergeCell ref="F71:G71"/>
    <mergeCell ref="F72:G72"/>
    <mergeCell ref="H72:I72"/>
    <mergeCell ref="J72:K72"/>
    <mergeCell ref="L72:M72"/>
    <mergeCell ref="N72:O72"/>
    <mergeCell ref="F76:G76"/>
    <mergeCell ref="J62:K62"/>
    <mergeCell ref="L62:M62"/>
    <mergeCell ref="F58:G58"/>
    <mergeCell ref="H58:I58"/>
    <mergeCell ref="J58:K58"/>
    <mergeCell ref="L58:M58"/>
    <mergeCell ref="N58:O58"/>
    <mergeCell ref="H62:I62"/>
    <mergeCell ref="N62:O62"/>
    <mergeCell ref="L64:M64"/>
    <mergeCell ref="N64:O64"/>
    <mergeCell ref="L65:M65"/>
    <mergeCell ref="N65:O65"/>
    <mergeCell ref="F62:G62"/>
    <mergeCell ref="F63:G63"/>
    <mergeCell ref="H63:I63"/>
    <mergeCell ref="J63:K63"/>
    <mergeCell ref="L63:M63"/>
    <mergeCell ref="N63:O63"/>
    <mergeCell ref="F64:G64"/>
    <mergeCell ref="J69:K69"/>
    <mergeCell ref="L69:M69"/>
    <mergeCell ref="N69:O69"/>
    <mergeCell ref="H64:I64"/>
    <mergeCell ref="J64:K64"/>
    <mergeCell ref="F65:G65"/>
    <mergeCell ref="H65:I65"/>
    <mergeCell ref="J65:K65"/>
    <mergeCell ref="F69:G69"/>
    <mergeCell ref="H69:I69"/>
    <mergeCell ref="H76:I76"/>
    <mergeCell ref="J76:K76"/>
    <mergeCell ref="F77:G77"/>
    <mergeCell ref="H77:I77"/>
    <mergeCell ref="J77:K77"/>
    <mergeCell ref="L77:M77"/>
    <mergeCell ref="N77:O77"/>
    <mergeCell ref="L90:M90"/>
    <mergeCell ref="N90:O90"/>
    <mergeCell ref="L91:M91"/>
    <mergeCell ref="N91:O91"/>
    <mergeCell ref="L92:M92"/>
    <mergeCell ref="N92:O92"/>
    <mergeCell ref="H90:I90"/>
    <mergeCell ref="J90:K90"/>
    <mergeCell ref="F91:G91"/>
    <mergeCell ref="H91:I91"/>
    <mergeCell ref="J91:K91"/>
    <mergeCell ref="H92:I92"/>
    <mergeCell ref="J92:K92"/>
    <mergeCell ref="D98:E98"/>
    <mergeCell ref="D99:E99"/>
    <mergeCell ref="D85:E85"/>
    <mergeCell ref="D86:E86"/>
    <mergeCell ref="D90:E90"/>
    <mergeCell ref="D91:E91"/>
    <mergeCell ref="D92:E92"/>
    <mergeCell ref="D93:E93"/>
    <mergeCell ref="D97:E97"/>
    <mergeCell ref="J98:K98"/>
    <mergeCell ref="L98:M98"/>
    <mergeCell ref="F97:G97"/>
    <mergeCell ref="H97:I97"/>
    <mergeCell ref="J97:K97"/>
    <mergeCell ref="L97:M97"/>
    <mergeCell ref="N97:O97"/>
    <mergeCell ref="H98:I98"/>
    <mergeCell ref="N98:O98"/>
    <mergeCell ref="L142:M142"/>
    <mergeCell ref="N142:O142"/>
    <mergeCell ref="F140:G140"/>
    <mergeCell ref="F141:G141"/>
    <mergeCell ref="H141:I141"/>
    <mergeCell ref="J141:K141"/>
    <mergeCell ref="L141:M141"/>
    <mergeCell ref="N141:O141"/>
    <mergeCell ref="F142:G142"/>
    <mergeCell ref="J127:K127"/>
    <mergeCell ref="L127:M127"/>
    <mergeCell ref="F126:G126"/>
    <mergeCell ref="H126:I126"/>
    <mergeCell ref="J126:K126"/>
    <mergeCell ref="L126:M126"/>
    <mergeCell ref="N126:O126"/>
    <mergeCell ref="H127:I127"/>
    <mergeCell ref="N127:O127"/>
    <mergeCell ref="L132:M132"/>
    <mergeCell ref="N132:O132"/>
    <mergeCell ref="L133:M133"/>
    <mergeCell ref="N133:O133"/>
    <mergeCell ref="L134:M134"/>
    <mergeCell ref="N134:O134"/>
    <mergeCell ref="F127:G127"/>
    <mergeCell ref="F128:G128"/>
    <mergeCell ref="H128:I128"/>
    <mergeCell ref="J128:K128"/>
    <mergeCell ref="L128:M128"/>
    <mergeCell ref="N128:O128"/>
    <mergeCell ref="F132:G132"/>
    <mergeCell ref="F134:G134"/>
    <mergeCell ref="F135:G135"/>
    <mergeCell ref="H135:I135"/>
    <mergeCell ref="J135:K135"/>
    <mergeCell ref="L135:M135"/>
    <mergeCell ref="N135:O135"/>
    <mergeCell ref="H132:I132"/>
    <mergeCell ref="J132:K132"/>
    <mergeCell ref="F133:G133"/>
    <mergeCell ref="H133:I133"/>
    <mergeCell ref="J133:K133"/>
    <mergeCell ref="H134:I134"/>
    <mergeCell ref="J134:K134"/>
    <mergeCell ref="H142:I142"/>
    <mergeCell ref="J142:K142"/>
    <mergeCell ref="F146:G146"/>
    <mergeCell ref="H146:I146"/>
    <mergeCell ref="J146:K146"/>
    <mergeCell ref="L146:M146"/>
    <mergeCell ref="N146:O146"/>
    <mergeCell ref="L100:M100"/>
    <mergeCell ref="N100:O100"/>
    <mergeCell ref="F98:G98"/>
    <mergeCell ref="F99:G99"/>
    <mergeCell ref="H99:I99"/>
    <mergeCell ref="J99:K99"/>
    <mergeCell ref="L99:M99"/>
    <mergeCell ref="N99:O99"/>
    <mergeCell ref="F100:G100"/>
    <mergeCell ref="F78:G78"/>
    <mergeCell ref="H78:I78"/>
    <mergeCell ref="J78:K78"/>
    <mergeCell ref="L78:M78"/>
    <mergeCell ref="N78:O78"/>
    <mergeCell ref="F79:G79"/>
    <mergeCell ref="H79:I79"/>
    <mergeCell ref="N79:O79"/>
    <mergeCell ref="J79:K79"/>
    <mergeCell ref="L79:M79"/>
    <mergeCell ref="F83:G83"/>
    <mergeCell ref="H83:I83"/>
    <mergeCell ref="J83:K83"/>
    <mergeCell ref="L83:M83"/>
    <mergeCell ref="N83:O83"/>
    <mergeCell ref="J85:K85"/>
    <mergeCell ref="L85:M85"/>
    <mergeCell ref="F84:G84"/>
    <mergeCell ref="H84:I84"/>
    <mergeCell ref="J84:K84"/>
    <mergeCell ref="L84:M84"/>
    <mergeCell ref="N84:O84"/>
    <mergeCell ref="H85:I85"/>
    <mergeCell ref="N85:O85"/>
    <mergeCell ref="F85:G85"/>
    <mergeCell ref="F86:G86"/>
    <mergeCell ref="H86:I86"/>
    <mergeCell ref="J86:K86"/>
    <mergeCell ref="L86:M86"/>
    <mergeCell ref="N86:O86"/>
    <mergeCell ref="F90:G90"/>
    <mergeCell ref="F92:G92"/>
    <mergeCell ref="F93:G93"/>
    <mergeCell ref="H93:I93"/>
    <mergeCell ref="J93:K93"/>
    <mergeCell ref="L93:M93"/>
    <mergeCell ref="N93:O93"/>
    <mergeCell ref="H100:I100"/>
    <mergeCell ref="J100:K100"/>
    <mergeCell ref="F104:G104"/>
    <mergeCell ref="H104:I104"/>
    <mergeCell ref="J104:K104"/>
    <mergeCell ref="L104:M104"/>
    <mergeCell ref="N104:O104"/>
    <mergeCell ref="J119:K119"/>
    <mergeCell ref="L119:M119"/>
    <mergeCell ref="F118:G118"/>
    <mergeCell ref="H118:I118"/>
    <mergeCell ref="J118:K118"/>
    <mergeCell ref="L118:M118"/>
    <mergeCell ref="N118:O118"/>
    <mergeCell ref="H119:I119"/>
    <mergeCell ref="N119:O119"/>
    <mergeCell ref="L121:M121"/>
    <mergeCell ref="N121:O121"/>
    <mergeCell ref="F119:G119"/>
    <mergeCell ref="F120:G120"/>
    <mergeCell ref="H120:I120"/>
    <mergeCell ref="J120:K120"/>
    <mergeCell ref="L120:M120"/>
    <mergeCell ref="N120:O120"/>
    <mergeCell ref="F121:G121"/>
    <mergeCell ref="J106:K106"/>
    <mergeCell ref="L106:M106"/>
    <mergeCell ref="F105:G105"/>
    <mergeCell ref="H105:I105"/>
    <mergeCell ref="J105:K105"/>
    <mergeCell ref="L105:M105"/>
    <mergeCell ref="N105:O105"/>
    <mergeCell ref="H106:I106"/>
    <mergeCell ref="N106:O106"/>
    <mergeCell ref="L111:M111"/>
    <mergeCell ref="N111:O111"/>
    <mergeCell ref="L112:M112"/>
    <mergeCell ref="N112:O112"/>
    <mergeCell ref="L113:M113"/>
    <mergeCell ref="N113:O113"/>
    <mergeCell ref="F106:G106"/>
    <mergeCell ref="F107:G107"/>
    <mergeCell ref="H107:I107"/>
    <mergeCell ref="J107:K107"/>
    <mergeCell ref="L107:M107"/>
    <mergeCell ref="N107:O107"/>
    <mergeCell ref="F111:G111"/>
    <mergeCell ref="F113:G113"/>
    <mergeCell ref="F114:G114"/>
    <mergeCell ref="H114:I114"/>
    <mergeCell ref="J114:K114"/>
    <mergeCell ref="L114:M114"/>
    <mergeCell ref="N114:O114"/>
    <mergeCell ref="H111:I111"/>
    <mergeCell ref="J111:K111"/>
    <mergeCell ref="F112:G112"/>
    <mergeCell ref="H112:I112"/>
    <mergeCell ref="J112:K112"/>
    <mergeCell ref="H113:I113"/>
    <mergeCell ref="J113:K113"/>
    <mergeCell ref="H121:I121"/>
    <mergeCell ref="J121:K121"/>
    <mergeCell ref="F125:G125"/>
    <mergeCell ref="H125:I125"/>
    <mergeCell ref="J125:K125"/>
    <mergeCell ref="L125:M125"/>
    <mergeCell ref="N125:O125"/>
    <mergeCell ref="J140:K140"/>
    <mergeCell ref="L140:M140"/>
    <mergeCell ref="F139:G139"/>
    <mergeCell ref="H139:I139"/>
    <mergeCell ref="J139:K139"/>
    <mergeCell ref="L139:M139"/>
    <mergeCell ref="N139:O139"/>
    <mergeCell ref="H140:I140"/>
    <mergeCell ref="N140:O140"/>
    <mergeCell ref="J148:K148"/>
    <mergeCell ref="L148:M148"/>
    <mergeCell ref="F147:G147"/>
    <mergeCell ref="H147:I147"/>
    <mergeCell ref="J147:K147"/>
    <mergeCell ref="L147:M147"/>
    <mergeCell ref="N147:O147"/>
    <mergeCell ref="H148:I148"/>
    <mergeCell ref="N148:O148"/>
    <mergeCell ref="H153:I153"/>
    <mergeCell ref="J153:K153"/>
    <mergeCell ref="F154:G154"/>
    <mergeCell ref="H154:I154"/>
    <mergeCell ref="J154:K154"/>
    <mergeCell ref="F155:G155"/>
    <mergeCell ref="H155:I155"/>
    <mergeCell ref="J155:K155"/>
    <mergeCell ref="L153:M153"/>
    <mergeCell ref="N153:O153"/>
    <mergeCell ref="L154:M154"/>
    <mergeCell ref="N154:O154"/>
    <mergeCell ref="L155:M155"/>
    <mergeCell ref="N155:O155"/>
    <mergeCell ref="F148:G148"/>
    <mergeCell ref="F149:G149"/>
    <mergeCell ref="H149:I149"/>
    <mergeCell ref="J149:K149"/>
    <mergeCell ref="L149:M149"/>
    <mergeCell ref="N149:O149"/>
    <mergeCell ref="F153:G153"/>
  </mergeCells>
  <conditionalFormatting sqref="B2:O155">
    <cfRule type="expression" dxfId="0" priority="1">
      <formula>REGEXMATCH(A2,"ZL")</formula>
    </cfRule>
  </conditionalFormatting>
  <conditionalFormatting sqref="B2:O155">
    <cfRule type="expression" dxfId="1" priority="2">
      <formula>AND(OR(MOD(ROW(B2),7)=5,MOD(ROW(B2),7)=3,MOD(ROW(B2),7)=4),CODE(B2)=32)</formula>
    </cfRule>
  </conditionalFormatting>
  <conditionalFormatting sqref="B2:O155">
    <cfRule type="expression" dxfId="2" priority="3">
      <formula>AND(B2&lt;&gt;"",OR(MOD(ROW(B2),7)=5,MOD(ROW(B2),7)=3,MOD(ROW(B2),7)=4),MOD(COLUMN(B2),2)=0)</formula>
    </cfRule>
  </conditionalFormatting>
  <conditionalFormatting sqref="A1:O155">
    <cfRule type="expression" dxfId="3" priority="4">
      <formula>AND("Ames"=SORTN(FILTER(INDIRECT("Sheet1!A1:A"&amp;ROW(A1)),INDIRECT("Sheet1!A1:A"&amp;ROW(A1))&lt;&gt;""),1,0,ARRAYFORMULA(ROW(INDIRECT("Sheet1!A1:A"&amp;COUNTA(UNIQUE(INDIRECT("Sheet1!A1:A"&amp;ROW(A1))))))),FALSE),MOD(ROW(A1),7)=2,A1&lt;&gt;"")</formula>
    </cfRule>
  </conditionalFormatting>
  <conditionalFormatting sqref="A1:O155">
    <cfRule type="expression" dxfId="4" priority="5">
      <formula>AND("Cedar Rapids"=SORTN(FILTER(INDIRECT("Sheet1!A1:A"&amp;ROW(A1)),INDIRECT("Sheet1!A1:A"&amp;ROW(A1))&lt;&gt;""),1,0,ARRAYFORMULA(ROW(INDIRECT("Sheet1!A1:A"&amp;COUNTA(UNIQUE(INDIRECT("Sheet1!A1:A"&amp;ROW(A1))))))),FALSE),MOD(ROW(A1),7)=2,A1&lt;&gt;"")</formula>
    </cfRule>
  </conditionalFormatting>
  <conditionalFormatting sqref="A1:O155">
    <cfRule type="expression" dxfId="5" priority="6">
      <formula>AND("Davenport"=SORTN(FILTER(INDIRECT("Sheet1!A1:A"&amp;ROW(A1)),INDIRECT("Sheet1!A1:A"&amp;ROW(A1))&lt;&gt;""),1,0,ARRAYFORMULA(ROW(INDIRECT("Sheet1!A1:A"&amp;COUNTA(UNIQUE(INDIRECT("Sheet1!A1:A"&amp;ROW(A1))))))),FALSE),MOD(ROW(A1),7)=2,A1&lt;&gt;"")</formula>
    </cfRule>
  </conditionalFormatting>
  <conditionalFormatting sqref="A1:O155">
    <cfRule type="expression" dxfId="6" priority="7">
      <formula>AND("Des Moines"=SORTN(FILTER(INDIRECT("Sheet1!A1:A"&amp;ROW(A1)),INDIRECT("Sheet1!A1:A"&amp;ROW(A1))&lt;&gt;""),1,0,ARRAYFORMULA(ROW(INDIRECT("Sheet1!A1:A"&amp;COUNTA(UNIQUE(INDIRECT("Sheet1!A1:A"&amp;ROW(A1))))))),FALSE),MOD(ROW(A1),7)=2,A1&lt;&gt;"")</formula>
    </cfRule>
  </conditionalFormatting>
  <conditionalFormatting sqref="A1:O155">
    <cfRule type="expression" dxfId="7" priority="8">
      <formula>AND("Iowa City"=SORTN(FILTER(INDIRECT("Sheet1!A1:A"&amp;ROW(A1)),INDIRECT("Sheet1!A1:A"&amp;ROW(A1))&lt;&gt;""),1,0,ARRAYFORMULA(ROW(INDIRECT("Sheet1!A1:A"&amp;COUNTA(UNIQUE(INDIRECT("Sheet1!A1:A"&amp;ROW(A1))))))),FALSE),MOD(ROW(A1),7)=2,A1&lt;&gt;"")</formula>
    </cfRule>
  </conditionalFormatting>
  <conditionalFormatting sqref="A1:O155">
    <cfRule type="expression" dxfId="8" priority="9">
      <formula>AND("Mt. Pisgah"=SORTN(FILTER(INDIRECT("Sheet1!A1:A"&amp;ROW(A1)),INDIRECT("Sheet1!A1:A"&amp;ROW(A1))&lt;&gt;""),1,0,ARRAYFORMULA(ROW(INDIRECT("Sheet1!A1:A"&amp;COUNTA(UNIQUE(INDIRECT("Sheet1!A1:A"&amp;ROW(A1))))))),FALSE),MOD(ROW(A1),7)=2,A1&lt;&gt;"")</formula>
    </cfRule>
  </conditionalFormatting>
  <conditionalFormatting sqref="A1:O155">
    <cfRule type="expression" dxfId="9" priority="10">
      <formula>AND("Nauvoo"=SORTN(FILTER(INDIRECT("Sheet1!A1:A"&amp;ROW(A1)),INDIRECT("Sheet1!A1:A"&amp;ROW(A1))&lt;&gt;""),1,0,ARRAYFORMULA(ROW(INDIRECT("Sheet1!A1:A"&amp;COUNTA(UNIQUE(INDIRECT("Sheet1!A1:A"&amp;ROW(A1))))))),FALSE),MOD(ROW(A1),7)=2,A1&lt;&gt;"")</formula>
    </cfRule>
  </conditionalFormatting>
  <conditionalFormatting sqref="A1:O155">
    <cfRule type="expression" dxfId="10" priority="11">
      <formula>AND("Peoria"=SORTN(FILTER(INDIRECT("Sheet1!A1:A"&amp;ROW(A1)),INDIRECT("Sheet1!A1:A"&amp;ROW(A1))&lt;&gt;""),1,0,ARRAYFORMULA(ROW(INDIRECT("Sheet1!A1:A"&amp;COUNTA(UNIQUE(INDIRECT("Sheet1!A1:A"&amp;ROW(A1))))))),FALSE),MOD(ROW(A1),7)=2,A1&lt;&gt;"")</formula>
    </cfRule>
  </conditionalFormatting>
  <printOptions horizontalCentered="1"/>
  <pageMargins bottom="0.65" footer="0.0" header="0.0" left="0.2" right="0.2" top="0.65"/>
  <pageSetup fitToHeight="0" orientation="portrait" pageOrder="overThenDown"/>
  <drawing r:id="rId1"/>
</worksheet>
</file>