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ocumentação\Planilhas Modelos\"/>
    </mc:Choice>
  </mc:AlternateContent>
  <bookViews>
    <workbookView xWindow="0" yWindow="0" windowWidth="11295" windowHeight="5880"/>
  </bookViews>
  <sheets>
    <sheet name="Parameters" sheetId="1" r:id="rId1"/>
    <sheet name="Karra" sheetId="7" r:id="rId2"/>
  </sheets>
  <definedNames>
    <definedName name="Beta00">#REF!</definedName>
    <definedName name="Beta01">#REF!</definedName>
    <definedName name="Beta1">#REF!</definedName>
    <definedName name="Beta2">#REF!</definedName>
    <definedName name="UExpoent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B12" i="7"/>
  <c r="E5" i="7" s="1"/>
  <c r="H2" i="7" s="1"/>
  <c r="B13" i="7"/>
  <c r="B14" i="7"/>
  <c r="E22" i="7" s="1"/>
  <c r="H6" i="7" s="1"/>
  <c r="B15" i="7"/>
  <c r="B16" i="7"/>
  <c r="H10" i="7" s="1"/>
  <c r="C31" i="7"/>
  <c r="C30" i="7"/>
  <c r="C28" i="7"/>
  <c r="C26" i="7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J16" i="7"/>
  <c r="Q16" i="7" s="1"/>
  <c r="J17" i="7"/>
  <c r="Q17" i="7" s="1"/>
  <c r="J18" i="7"/>
  <c r="Q18" i="7" s="1"/>
  <c r="J19" i="7"/>
  <c r="Q19" i="7" s="1"/>
  <c r="J20" i="7"/>
  <c r="Q20" i="7" s="1"/>
  <c r="J21" i="7"/>
  <c r="Q21" i="7" s="1"/>
  <c r="J22" i="7"/>
  <c r="Q22" i="7" s="1"/>
  <c r="J2" i="7"/>
  <c r="Q2" i="7" s="1"/>
  <c r="B4" i="7"/>
  <c r="A13" i="7"/>
  <c r="E8" i="7"/>
  <c r="H3" i="7" s="1"/>
  <c r="A14" i="7"/>
  <c r="A15" i="7"/>
  <c r="E23" i="7"/>
  <c r="H7" i="7" s="1"/>
  <c r="A16" i="7"/>
  <c r="A17" i="7"/>
  <c r="B17" i="7"/>
  <c r="A18" i="7"/>
  <c r="B18" i="7"/>
  <c r="A19" i="7"/>
  <c r="B19" i="7"/>
  <c r="B10" i="7"/>
  <c r="A12" i="7"/>
  <c r="A11" i="7"/>
  <c r="A2" i="7"/>
  <c r="B2" i="7"/>
  <c r="H11" i="7" s="1"/>
  <c r="A3" i="7"/>
  <c r="B3" i="7"/>
  <c r="A4" i="7"/>
  <c r="A5" i="7"/>
  <c r="B5" i="7"/>
  <c r="A6" i="7"/>
  <c r="B6" i="7"/>
  <c r="A7" i="7"/>
  <c r="B7" i="7"/>
  <c r="E11" i="7" s="1"/>
  <c r="H4" i="7" s="1"/>
  <c r="A8" i="7"/>
  <c r="B8" i="7"/>
  <c r="A9" i="7"/>
  <c r="B9" i="7"/>
  <c r="A10" i="7"/>
  <c r="B1" i="7"/>
  <c r="A1" i="7"/>
  <c r="F3" i="1"/>
  <c r="L3" i="7" s="1"/>
  <c r="S3" i="7" s="1"/>
  <c r="F4" i="1"/>
  <c r="L4" i="7" s="1"/>
  <c r="S4" i="7" s="1"/>
  <c r="F5" i="1"/>
  <c r="L5" i="7" s="1"/>
  <c r="S5" i="7" s="1"/>
  <c r="F6" i="1"/>
  <c r="L6" i="7" s="1"/>
  <c r="S6" i="7" s="1"/>
  <c r="F7" i="1"/>
  <c r="L7" i="7" s="1"/>
  <c r="S7" i="7" s="1"/>
  <c r="F8" i="1"/>
  <c r="L8" i="7" s="1"/>
  <c r="S8" i="7" s="1"/>
  <c r="F9" i="1"/>
  <c r="L9" i="7" s="1"/>
  <c r="S9" i="7" s="1"/>
  <c r="F10" i="1"/>
  <c r="L10" i="7" s="1"/>
  <c r="S10" i="7" s="1"/>
  <c r="F11" i="1"/>
  <c r="L11" i="7" s="1"/>
  <c r="S11" i="7" s="1"/>
  <c r="F12" i="1"/>
  <c r="L12" i="7" s="1"/>
  <c r="S12" i="7" s="1"/>
  <c r="F13" i="1"/>
  <c r="L13" i="7" s="1"/>
  <c r="S13" i="7" s="1"/>
  <c r="F14" i="1"/>
  <c r="L14" i="7" s="1"/>
  <c r="S14" i="7" s="1"/>
  <c r="F15" i="1"/>
  <c r="L15" i="7" s="1"/>
  <c r="S15" i="7" s="1"/>
  <c r="F16" i="1"/>
  <c r="L16" i="7" s="1"/>
  <c r="S16" i="7" s="1"/>
  <c r="F17" i="1"/>
  <c r="L17" i="7" s="1"/>
  <c r="S17" i="7" s="1"/>
  <c r="F18" i="1"/>
  <c r="L18" i="7" s="1"/>
  <c r="S18" i="7" s="1"/>
  <c r="F19" i="1"/>
  <c r="L19" i="7" s="1"/>
  <c r="S19" i="7" s="1"/>
  <c r="F20" i="1"/>
  <c r="L20" i="7" s="1"/>
  <c r="S20" i="7" s="1"/>
  <c r="F21" i="1"/>
  <c r="L21" i="7" s="1"/>
  <c r="S21" i="7" s="1"/>
  <c r="F22" i="1"/>
  <c r="L22" i="7" s="1"/>
  <c r="S22" i="7" s="1"/>
  <c r="F2" i="1"/>
  <c r="L2" i="7" s="1"/>
  <c r="S2" i="7" s="1"/>
  <c r="E6" i="7" l="1"/>
  <c r="E9" i="7"/>
  <c r="E10" i="7"/>
  <c r="E1" i="7"/>
  <c r="E2" i="7" s="1"/>
  <c r="E18" i="7" s="1"/>
  <c r="E7" i="7"/>
  <c r="E3" i="7"/>
  <c r="H1" i="7" s="1"/>
  <c r="E16" i="7" l="1"/>
  <c r="E17" i="7"/>
  <c r="E20" i="7"/>
  <c r="E14" i="7"/>
  <c r="H5" i="7" s="1"/>
  <c r="H8" i="7" s="1"/>
  <c r="H12" i="7" s="1"/>
  <c r="E13" i="7"/>
  <c r="E4" i="7"/>
  <c r="E19" i="7"/>
  <c r="K22" i="7" l="1"/>
  <c r="K6" i="7"/>
  <c r="K9" i="7"/>
  <c r="K12" i="7"/>
  <c r="K19" i="7"/>
  <c r="K3" i="7"/>
  <c r="K10" i="7"/>
  <c r="K13" i="7"/>
  <c r="K16" i="7"/>
  <c r="K2" i="7"/>
  <c r="K7" i="7"/>
  <c r="K18" i="7"/>
  <c r="K21" i="7"/>
  <c r="K5" i="7"/>
  <c r="K8" i="7"/>
  <c r="K15" i="7"/>
  <c r="K14" i="7"/>
  <c r="K17" i="7"/>
  <c r="K20" i="7"/>
  <c r="K4" i="7"/>
  <c r="K11" i="7"/>
  <c r="M13" i="7"/>
  <c r="M3" i="7"/>
  <c r="M18" i="7"/>
  <c r="M2" i="7"/>
  <c r="M12" i="7"/>
  <c r="M8" i="7"/>
  <c r="M21" i="7"/>
  <c r="M5" i="7"/>
  <c r="M7" i="7"/>
  <c r="M22" i="7"/>
  <c r="M9" i="7"/>
  <c r="M10" i="7"/>
  <c r="M14" i="7"/>
  <c r="M6" i="7"/>
  <c r="M19" i="7"/>
  <c r="M20" i="7"/>
  <c r="M16" i="7"/>
  <c r="M17" i="7"/>
  <c r="M11" i="7"/>
  <c r="M15" i="7" l="1"/>
  <c r="M4" i="7"/>
  <c r="M24" i="7" s="1"/>
  <c r="O2" i="7" l="1"/>
  <c r="O6" i="7" l="1"/>
  <c r="O4" i="7"/>
  <c r="N26" i="7"/>
  <c r="R6" i="7" l="1"/>
  <c r="T6" i="7" s="1"/>
  <c r="R18" i="7"/>
  <c r="T18" i="7" s="1"/>
  <c r="R8" i="7"/>
  <c r="T8" i="7" s="1"/>
  <c r="R4" i="7"/>
  <c r="T4" i="7" s="1"/>
  <c r="R3" i="7"/>
  <c r="T3" i="7" s="1"/>
  <c r="R16" i="7"/>
  <c r="T16" i="7" s="1"/>
  <c r="R17" i="7"/>
  <c r="T17" i="7" s="1"/>
  <c r="R11" i="7"/>
  <c r="T11" i="7" s="1"/>
  <c r="R13" i="7"/>
  <c r="T13" i="7" s="1"/>
  <c r="R7" i="7"/>
  <c r="T7" i="7" s="1"/>
  <c r="R15" i="7"/>
  <c r="T15" i="7" s="1"/>
  <c r="R19" i="7"/>
  <c r="T19" i="7" s="1"/>
  <c r="R12" i="7"/>
  <c r="T12" i="7" s="1"/>
  <c r="R10" i="7"/>
  <c r="T10" i="7" s="1"/>
  <c r="R5" i="7"/>
  <c r="T5" i="7" s="1"/>
  <c r="R14" i="7"/>
  <c r="T14" i="7" s="1"/>
  <c r="R22" i="7"/>
  <c r="T22" i="7" s="1"/>
  <c r="R20" i="7"/>
  <c r="T20" i="7" s="1"/>
  <c r="R9" i="7"/>
  <c r="T9" i="7" s="1"/>
  <c r="R2" i="7"/>
  <c r="T2" i="7" s="1"/>
  <c r="R21" i="7"/>
  <c r="T21" i="7" s="1"/>
  <c r="T24" i="7" l="1"/>
</calcChain>
</file>

<file path=xl/sharedStrings.xml><?xml version="1.0" encoding="utf-8"?>
<sst xmlns="http://schemas.openxmlformats.org/spreadsheetml/2006/main" count="68" uniqueCount="63">
  <si>
    <t>Opening (µm)</t>
  </si>
  <si>
    <t>C</t>
  </si>
  <si>
    <t>Feed %Retained</t>
  </si>
  <si>
    <t>Feed %Retained mass</t>
  </si>
  <si>
    <t>adjustmentd50,</t>
  </si>
  <si>
    <t xml:space="preserve"> adjustmentImperfection,</t>
  </si>
  <si>
    <t xml:space="preserve"> adjustmentBypass;</t>
  </si>
  <si>
    <t>Number of screens in parallel</t>
  </si>
  <si>
    <t>Screen width (m)</t>
  </si>
  <si>
    <t>Length / width ratio</t>
  </si>
  <si>
    <t>Minimum screen opening (mm)</t>
  </si>
  <si>
    <t>Screen wire diameter (mm), 0 for slotted or non square openings</t>
  </si>
  <si>
    <t>Angle of screen from horizontal (degree)</t>
  </si>
  <si>
    <t>Position of screen in multiple deck screen</t>
  </si>
  <si>
    <t>Feed TPH</t>
  </si>
  <si>
    <t>ht</t>
  </si>
  <si>
    <t>Q (%oversize in feed to screen)</t>
  </si>
  <si>
    <t>A - hT &gt;= 50.8mm</t>
  </si>
  <si>
    <t>A - hT &lt; 50.8mm</t>
  </si>
  <si>
    <t>B - Q =&lt; 87</t>
  </si>
  <si>
    <t>B - Q &gt; 87</t>
  </si>
  <si>
    <t>R - % half size feed to the screen deck.</t>
  </si>
  <si>
    <t>C - R =&lt; 30</t>
  </si>
  <si>
    <t>C - 30 &lt; R &lt; 55</t>
  </si>
  <si>
    <t>C - 55 =&lt; R &lt; 80</t>
  </si>
  <si>
    <t>C - R &gt;= 80</t>
  </si>
  <si>
    <t>D</t>
  </si>
  <si>
    <t>E - T &lt; 1</t>
  </si>
  <si>
    <t>T = 1.26 * hT</t>
  </si>
  <si>
    <t>E - 1 =&lt; T =&lt; 2</t>
  </si>
  <si>
    <t>E - 2 &lt; T &lt; 4</t>
  </si>
  <si>
    <t>E - 4 =&lt; T =&lt; 6</t>
  </si>
  <si>
    <t>E - 6 &lt; T =&lt; 10</t>
  </si>
  <si>
    <t>E - 10 &lt; T &lt; 12</t>
  </si>
  <si>
    <t>E - 12 =&lt; T =&lt; 16</t>
  </si>
  <si>
    <t>E - 16 &lt; T &lt; 24</t>
  </si>
  <si>
    <t>E - 24 =&lt; T =&lt; 32</t>
  </si>
  <si>
    <t xml:space="preserve">D - </t>
  </si>
  <si>
    <t>E - T &gt; 32</t>
  </si>
  <si>
    <t xml:space="preserve"> U = Solids Density (kg/m3</t>
  </si>
  <si>
    <t>F</t>
  </si>
  <si>
    <t xml:space="preserve">F - </t>
  </si>
  <si>
    <t xml:space="preserve"> Xn %(1.25hT to 0.75hT) Near-Mesh factor</t>
  </si>
  <si>
    <t xml:space="preserve">G - </t>
  </si>
  <si>
    <t>A</t>
  </si>
  <si>
    <t>B</t>
  </si>
  <si>
    <t>E</t>
  </si>
  <si>
    <t>G</t>
  </si>
  <si>
    <t>Factors</t>
  </si>
  <si>
    <t>Openig (</t>
  </si>
  <si>
    <t>FEED</t>
  </si>
  <si>
    <t>OS</t>
  </si>
  <si>
    <t>yi</t>
  </si>
  <si>
    <t>d50</t>
  </si>
  <si>
    <t>Theoretical US</t>
  </si>
  <si>
    <t>Screen area</t>
  </si>
  <si>
    <t>Feed Water (m3/h)</t>
  </si>
  <si>
    <t>%Water to coarse</t>
  </si>
  <si>
    <t>SUM</t>
  </si>
  <si>
    <t>Rf</t>
  </si>
  <si>
    <t>yi'</t>
  </si>
  <si>
    <t>Water to OS</t>
  </si>
  <si>
    <t>Water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</si>
</sst>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52525"/>
      <name val="Arial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" sqref="C1:C1048576"/>
    </sheetView>
  </sheetViews>
  <sheetFormatPr defaultRowHeight="15" x14ac:dyDescent="0.25"/>
  <cols>
    <col min="1" max="1" width="63.7109375" customWidth="1"/>
    <col min="4" max="4" width="13.42578125" bestFit="1" customWidth="1"/>
    <col min="5" max="5" width="15.5703125" bestFit="1" customWidth="1"/>
    <col min="6" max="6" width="20.5703125" bestFit="1" customWidth="1"/>
  </cols>
  <sheetData>
    <row r="1" spans="1:6" x14ac:dyDescent="0.25">
      <c r="A1" t="s">
        <v>7</v>
      </c>
      <c r="B1">
        <v>1</v>
      </c>
      <c r="D1" t="s">
        <v>0</v>
      </c>
      <c r="E1" t="s">
        <v>2</v>
      </c>
      <c r="F1" t="s">
        <v>3</v>
      </c>
    </row>
    <row r="2" spans="1:6" x14ac:dyDescent="0.25">
      <c r="A2" t="s">
        <v>8</v>
      </c>
      <c r="B2">
        <v>2</v>
      </c>
      <c r="D2" s="1">
        <v>25400</v>
      </c>
      <c r="E2" s="4">
        <v>0</v>
      </c>
      <c r="F2" s="3">
        <f>E2*$B$11/100</f>
        <v>0</v>
      </c>
    </row>
    <row r="3" spans="1:6" x14ac:dyDescent="0.25">
      <c r="A3" t="s">
        <v>9</v>
      </c>
      <c r="B3">
        <v>1.5</v>
      </c>
      <c r="D3" s="1">
        <v>19050</v>
      </c>
      <c r="E3" s="4">
        <v>2</v>
      </c>
      <c r="F3" s="3">
        <f t="shared" ref="F3:F22" si="0">E3*$B$11/100</f>
        <v>34.055999999999997</v>
      </c>
    </row>
    <row r="4" spans="1:6" x14ac:dyDescent="0.25">
      <c r="A4" t="s">
        <v>10</v>
      </c>
      <c r="B4">
        <v>2</v>
      </c>
      <c r="D4" s="1">
        <v>12700</v>
      </c>
      <c r="E4" s="4">
        <v>0.139399683120075</v>
      </c>
      <c r="F4" s="3">
        <f t="shared" si="0"/>
        <v>2.373697804168637</v>
      </c>
    </row>
    <row r="5" spans="1:6" x14ac:dyDescent="0.25">
      <c r="A5" t="s">
        <v>11</v>
      </c>
      <c r="B5">
        <v>2</v>
      </c>
      <c r="D5" s="1">
        <v>9500</v>
      </c>
      <c r="E5" s="4">
        <v>5.95567059665039</v>
      </c>
      <c r="F5" s="3">
        <f t="shared" si="0"/>
        <v>101.41315891976285</v>
      </c>
    </row>
    <row r="6" spans="1:6" x14ac:dyDescent="0.25">
      <c r="A6" t="s">
        <v>12</v>
      </c>
      <c r="B6">
        <v>10</v>
      </c>
      <c r="D6" s="1">
        <v>6700</v>
      </c>
      <c r="E6" s="4">
        <v>5.3633399743001</v>
      </c>
      <c r="F6" s="3">
        <f t="shared" si="0"/>
        <v>91.32695308238209</v>
      </c>
    </row>
    <row r="7" spans="1:6" x14ac:dyDescent="0.25">
      <c r="A7" t="s">
        <v>13</v>
      </c>
      <c r="B7" s="1">
        <v>1</v>
      </c>
      <c r="D7" s="1">
        <v>4750</v>
      </c>
      <c r="E7" s="4">
        <v>4.3448812681362901</v>
      </c>
      <c r="F7" s="3">
        <f t="shared" si="0"/>
        <v>73.984638233824739</v>
      </c>
    </row>
    <row r="8" spans="1:6" x14ac:dyDescent="0.25">
      <c r="A8" s="1" t="s">
        <v>4</v>
      </c>
      <c r="B8" s="1">
        <v>1</v>
      </c>
      <c r="D8" s="1">
        <v>3350</v>
      </c>
      <c r="E8" s="4">
        <v>4.0231502727054798</v>
      </c>
      <c r="F8" s="3">
        <f t="shared" si="0"/>
        <v>68.506202843628913</v>
      </c>
    </row>
    <row r="9" spans="1:6" x14ac:dyDescent="0.25">
      <c r="A9" s="1" t="s">
        <v>5</v>
      </c>
      <c r="B9">
        <v>1</v>
      </c>
      <c r="D9" s="1">
        <v>2360</v>
      </c>
      <c r="E9" s="4">
        <v>4.0689233568503802</v>
      </c>
      <c r="F9" s="3">
        <f t="shared" si="0"/>
        <v>69.28562692044828</v>
      </c>
    </row>
    <row r="10" spans="1:6" x14ac:dyDescent="0.25">
      <c r="A10" s="1" t="s">
        <v>6</v>
      </c>
      <c r="B10">
        <v>1</v>
      </c>
      <c r="D10" s="1">
        <v>1700</v>
      </c>
      <c r="E10" s="4">
        <v>4.2502359822160001</v>
      </c>
      <c r="F10" s="3">
        <f t="shared" si="0"/>
        <v>72.373018305174043</v>
      </c>
    </row>
    <row r="11" spans="1:6" x14ac:dyDescent="0.25">
      <c r="A11" s="1" t="s">
        <v>14</v>
      </c>
      <c r="B11">
        <v>1702.8</v>
      </c>
      <c r="D11" s="1">
        <v>1180</v>
      </c>
      <c r="E11" s="4">
        <v>5.2258702995234199</v>
      </c>
      <c r="F11" s="3">
        <f t="shared" si="0"/>
        <v>88.986119460284783</v>
      </c>
    </row>
    <row r="12" spans="1:6" x14ac:dyDescent="0.25">
      <c r="A12" t="s">
        <v>16</v>
      </c>
      <c r="B12">
        <v>28.419697284698401</v>
      </c>
      <c r="D12" s="1">
        <v>850</v>
      </c>
      <c r="E12" s="4">
        <v>5.7932167032219901</v>
      </c>
      <c r="F12" s="3">
        <f t="shared" si="0"/>
        <v>98.646894022464039</v>
      </c>
    </row>
    <row r="13" spans="1:6" x14ac:dyDescent="0.25">
      <c r="A13" s="5" t="s">
        <v>21</v>
      </c>
      <c r="B13">
        <v>38.735926151275599</v>
      </c>
      <c r="D13" s="1">
        <v>600</v>
      </c>
      <c r="E13" s="4">
        <v>7.1649699097144799</v>
      </c>
      <c r="F13" s="3">
        <f t="shared" si="0"/>
        <v>122.00510762261816</v>
      </c>
    </row>
    <row r="14" spans="1:6" x14ac:dyDescent="0.25">
      <c r="A14" s="1" t="s">
        <v>39</v>
      </c>
      <c r="B14">
        <v>2800</v>
      </c>
      <c r="D14" s="1">
        <v>425</v>
      </c>
      <c r="E14" s="4">
        <v>8.4919140425127395</v>
      </c>
      <c r="F14" s="3">
        <f t="shared" si="0"/>
        <v>144.60031231590693</v>
      </c>
    </row>
    <row r="15" spans="1:6" x14ac:dyDescent="0.25">
      <c r="A15" s="1" t="s">
        <v>42</v>
      </c>
      <c r="B15">
        <v>6.6658020019531197</v>
      </c>
      <c r="D15" s="1">
        <v>300</v>
      </c>
      <c r="E15" s="4">
        <v>9.36651316295813</v>
      </c>
      <c r="F15" s="3">
        <f t="shared" si="0"/>
        <v>159.49298613885102</v>
      </c>
    </row>
    <row r="16" spans="1:6" x14ac:dyDescent="0.25">
      <c r="A16" t="s">
        <v>54</v>
      </c>
      <c r="B16">
        <v>483.93179955952502</v>
      </c>
      <c r="D16" s="1">
        <v>212</v>
      </c>
      <c r="E16" s="4">
        <v>8.6049677965451092</v>
      </c>
      <c r="F16" s="3">
        <f t="shared" si="0"/>
        <v>146.5253916395701</v>
      </c>
    </row>
    <row r="17" spans="1:6" x14ac:dyDescent="0.25">
      <c r="A17" t="s">
        <v>56</v>
      </c>
      <c r="B17" s="1">
        <v>662.2</v>
      </c>
      <c r="D17" s="1">
        <v>150</v>
      </c>
      <c r="E17" s="4">
        <v>6.49693240549575</v>
      </c>
      <c r="F17" s="3">
        <f t="shared" si="0"/>
        <v>110.62976500078163</v>
      </c>
    </row>
    <row r="18" spans="1:6" x14ac:dyDescent="0.25">
      <c r="A18" t="s">
        <v>57</v>
      </c>
      <c r="B18">
        <v>95</v>
      </c>
      <c r="D18" s="1">
        <v>106</v>
      </c>
      <c r="E18" s="4">
        <v>4.3235200842592301</v>
      </c>
      <c r="F18" s="3">
        <f t="shared" si="0"/>
        <v>73.620899994766162</v>
      </c>
    </row>
    <row r="19" spans="1:6" x14ac:dyDescent="0.25">
      <c r="D19" s="1">
        <v>75</v>
      </c>
      <c r="E19" s="4">
        <v>2.7486295322981702</v>
      </c>
      <c r="F19" s="3">
        <f t="shared" si="0"/>
        <v>46.80366367597324</v>
      </c>
    </row>
    <row r="20" spans="1:6" x14ac:dyDescent="0.25">
      <c r="D20" s="1">
        <v>53</v>
      </c>
      <c r="E20" s="4">
        <v>1.81675558044806</v>
      </c>
      <c r="F20" s="3">
        <f t="shared" si="0"/>
        <v>30.935714023869565</v>
      </c>
    </row>
    <row r="21" spans="1:6" x14ac:dyDescent="0.25">
      <c r="D21" s="1">
        <v>38</v>
      </c>
      <c r="E21" s="4">
        <v>1.20340947830359</v>
      </c>
      <c r="F21" s="3">
        <f t="shared" si="0"/>
        <v>20.491656596553529</v>
      </c>
    </row>
    <row r="22" spans="1:6" x14ac:dyDescent="0.25">
      <c r="D22" s="1">
        <v>0</v>
      </c>
      <c r="E22" s="4">
        <v>8.6176998707406103</v>
      </c>
      <c r="F22" s="3">
        <f t="shared" si="0"/>
        <v>146.7421933989711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0" zoomScaleNormal="70" workbookViewId="0">
      <selection activeCell="K9" sqref="K9"/>
    </sheetView>
  </sheetViews>
  <sheetFormatPr defaultRowHeight="15" x14ac:dyDescent="0.25"/>
  <cols>
    <col min="1" max="1" width="34" customWidth="1"/>
    <col min="2" max="2" width="7" bestFit="1" customWidth="1"/>
    <col min="4" max="4" width="16" bestFit="1" customWidth="1"/>
    <col min="5" max="5" width="12" bestFit="1" customWidth="1"/>
    <col min="15" max="15" width="12.42578125" bestFit="1" customWidth="1"/>
  </cols>
  <sheetData>
    <row r="1" spans="1:20" x14ac:dyDescent="0.25">
      <c r="A1" t="str">
        <f>Parameters!A1</f>
        <v>Number of screens in parallel</v>
      </c>
      <c r="B1">
        <f>Parameters!B1</f>
        <v>1</v>
      </c>
      <c r="D1" t="s">
        <v>15</v>
      </c>
      <c r="E1">
        <f>(B4+B5)*COS(RADIANS(B6))-B5</f>
        <v>1.9392310120488321</v>
      </c>
      <c r="G1" t="s">
        <v>44</v>
      </c>
      <c r="H1">
        <f>E3</f>
        <v>4.6549606015768319</v>
      </c>
      <c r="J1" t="s">
        <v>49</v>
      </c>
      <c r="K1" t="s">
        <v>52</v>
      </c>
      <c r="L1" t="s">
        <v>50</v>
      </c>
      <c r="M1" t="s">
        <v>51</v>
      </c>
      <c r="O1" t="s">
        <v>61</v>
      </c>
      <c r="Q1" t="s">
        <v>49</v>
      </c>
      <c r="R1" t="s">
        <v>60</v>
      </c>
      <c r="S1" t="s">
        <v>50</v>
      </c>
      <c r="T1" t="s">
        <v>51</v>
      </c>
    </row>
    <row r="2" spans="1:20" x14ac:dyDescent="0.25">
      <c r="A2" t="str">
        <f>Parameters!A2</f>
        <v>Screen width (m)</v>
      </c>
      <c r="B2">
        <f>Parameters!B2</f>
        <v>2</v>
      </c>
      <c r="D2" t="s">
        <v>28</v>
      </c>
      <c r="E2">
        <f>1.26*E1</f>
        <v>2.4434310751815285</v>
      </c>
      <c r="G2" t="s">
        <v>45</v>
      </c>
      <c r="H2">
        <f>E5</f>
        <v>1.2589636325836193</v>
      </c>
      <c r="J2">
        <f>Parameters!D2</f>
        <v>25400</v>
      </c>
      <c r="K2">
        <f>1-EXP(-0.693*(J2/$H$12)^(5.846*$B$9))</f>
        <v>1</v>
      </c>
      <c r="L2" s="3">
        <f>Parameters!F2</f>
        <v>0</v>
      </c>
      <c r="M2">
        <f>L2*K2</f>
        <v>0</v>
      </c>
      <c r="O2">
        <f>(M24 * (1 - 0.01 *B18)) / (0.01 * B18)</f>
        <v>26.645737566714065</v>
      </c>
      <c r="Q2">
        <f>J2</f>
        <v>25400</v>
      </c>
      <c r="R2">
        <f>K2 + $O$6 * (1 - K2)</f>
        <v>1</v>
      </c>
      <c r="S2" s="3">
        <f>L2</f>
        <v>0</v>
      </c>
      <c r="T2">
        <f>S2*R2</f>
        <v>0</v>
      </c>
    </row>
    <row r="3" spans="1:20" x14ac:dyDescent="0.25">
      <c r="A3" t="str">
        <f>Parameters!A3</f>
        <v>Length / width ratio</v>
      </c>
      <c r="B3">
        <f>Parameters!B3</f>
        <v>1.5</v>
      </c>
      <c r="D3" s="6" t="s">
        <v>18</v>
      </c>
      <c r="E3" s="6">
        <f>12.1286 * (E1)^0.3162 - 10.2991</f>
        <v>4.6549606015768319</v>
      </c>
      <c r="G3" t="s">
        <v>1</v>
      </c>
      <c r="H3">
        <f>E8</f>
        <v>1.2017651859172314</v>
      </c>
      <c r="J3">
        <f>Parameters!D3</f>
        <v>19050</v>
      </c>
      <c r="K3">
        <f t="shared" ref="K3:K22" si="0">1-EXP(-0.693*(J3/$H$12)^(5.846*$B$9))</f>
        <v>1</v>
      </c>
      <c r="L3" s="3">
        <f>Parameters!F3</f>
        <v>34.055999999999997</v>
      </c>
      <c r="M3">
        <f t="shared" ref="M3:M22" si="1">L3*K3</f>
        <v>34.055999999999997</v>
      </c>
      <c r="O3" t="s">
        <v>62</v>
      </c>
      <c r="Q3">
        <f t="shared" ref="Q3:Q22" si="2">J3</f>
        <v>19050</v>
      </c>
      <c r="R3">
        <f t="shared" ref="R3:R22" si="3">K3 + $O$6 * (1 - K3)</f>
        <v>1</v>
      </c>
      <c r="S3" s="3">
        <f t="shared" ref="S3:S22" si="4">L3</f>
        <v>34.055999999999997</v>
      </c>
      <c r="T3">
        <f t="shared" ref="T3:T22" si="5">S3*R3</f>
        <v>34.055999999999997</v>
      </c>
    </row>
    <row r="4" spans="1:20" x14ac:dyDescent="0.25">
      <c r="A4" t="str">
        <f>Parameters!A4</f>
        <v>Minimum screen opening (mm)</v>
      </c>
      <c r="B4">
        <f>Parameters!B4</f>
        <v>2</v>
      </c>
      <c r="D4" s="6" t="s">
        <v>17</v>
      </c>
      <c r="E4" s="6">
        <f>0.3388 * E1 + 14.4122</f>
        <v>15.069211466882145</v>
      </c>
      <c r="G4" t="s">
        <v>26</v>
      </c>
      <c r="H4">
        <f>E11</f>
        <v>1</v>
      </c>
      <c r="J4">
        <f>Parameters!D4</f>
        <v>12700</v>
      </c>
      <c r="K4">
        <f t="shared" si="0"/>
        <v>1</v>
      </c>
      <c r="L4" s="3">
        <f>Parameters!F4</f>
        <v>2.373697804168637</v>
      </c>
      <c r="M4">
        <f t="shared" si="1"/>
        <v>2.373697804168637</v>
      </c>
      <c r="O4">
        <f>B17-O2</f>
        <v>635.554262433286</v>
      </c>
      <c r="Q4">
        <f t="shared" si="2"/>
        <v>12700</v>
      </c>
      <c r="R4">
        <f t="shared" si="3"/>
        <v>1</v>
      </c>
      <c r="S4" s="3">
        <f t="shared" si="4"/>
        <v>2.373697804168637</v>
      </c>
      <c r="T4">
        <f t="shared" si="5"/>
        <v>2.373697804168637</v>
      </c>
    </row>
    <row r="5" spans="1:20" x14ac:dyDescent="0.25">
      <c r="A5" t="str">
        <f>Parameters!A5</f>
        <v>Screen wire diameter (mm), 0 for slotted or non square openings</v>
      </c>
      <c r="B5">
        <f>Parameters!B5</f>
        <v>2</v>
      </c>
      <c r="D5" s="7" t="s">
        <v>19</v>
      </c>
      <c r="E5" s="7">
        <f xml:space="preserve"> 1.6 - 0.012*B12</f>
        <v>1.2589636325836193</v>
      </c>
      <c r="G5" t="s">
        <v>46</v>
      </c>
      <c r="H5">
        <f>E14</f>
        <v>2.1108577687953822</v>
      </c>
      <c r="J5">
        <f>Parameters!D5</f>
        <v>9500</v>
      </c>
      <c r="K5">
        <f t="shared" si="0"/>
        <v>1</v>
      </c>
      <c r="L5" s="3">
        <f>Parameters!F5</f>
        <v>101.41315891976285</v>
      </c>
      <c r="M5">
        <f t="shared" si="1"/>
        <v>101.41315891976285</v>
      </c>
      <c r="O5" t="s">
        <v>59</v>
      </c>
      <c r="Q5">
        <f t="shared" si="2"/>
        <v>9500</v>
      </c>
      <c r="R5">
        <f t="shared" si="3"/>
        <v>1</v>
      </c>
      <c r="S5" s="3">
        <f t="shared" si="4"/>
        <v>101.41315891976285</v>
      </c>
      <c r="T5">
        <f t="shared" si="5"/>
        <v>101.41315891976285</v>
      </c>
    </row>
    <row r="6" spans="1:20" x14ac:dyDescent="0.25">
      <c r="A6" t="str">
        <f>Parameters!A6</f>
        <v>Angle of screen from horizontal (degree)</v>
      </c>
      <c r="B6">
        <f>Parameters!B6</f>
        <v>10</v>
      </c>
      <c r="D6" s="7" t="s">
        <v>20</v>
      </c>
      <c r="E6" s="7">
        <f>4.275 + 0.0425 *B12</f>
        <v>5.4828371345996825</v>
      </c>
      <c r="G6" t="s">
        <v>40</v>
      </c>
      <c r="H6">
        <f>E22</f>
        <v>1.7478152309612984</v>
      </c>
      <c r="J6">
        <f>Parameters!D6</f>
        <v>6700</v>
      </c>
      <c r="K6">
        <f t="shared" si="0"/>
        <v>1</v>
      </c>
      <c r="L6" s="3">
        <f>Parameters!F6</f>
        <v>91.32695308238209</v>
      </c>
      <c r="M6">
        <f t="shared" si="1"/>
        <v>91.32695308238209</v>
      </c>
      <c r="O6">
        <f>O2/B17</f>
        <v>4.0238202305518063E-2</v>
      </c>
      <c r="Q6">
        <f t="shared" si="2"/>
        <v>6700</v>
      </c>
      <c r="R6">
        <f t="shared" si="3"/>
        <v>1</v>
      </c>
      <c r="S6" s="3">
        <f t="shared" si="4"/>
        <v>91.32695308238209</v>
      </c>
      <c r="T6">
        <f t="shared" si="5"/>
        <v>91.32695308238209</v>
      </c>
    </row>
    <row r="7" spans="1:20" x14ac:dyDescent="0.25">
      <c r="A7" t="str">
        <f>Parameters!A7</f>
        <v>Position of screen in multiple deck screen</v>
      </c>
      <c r="B7">
        <f>Parameters!B7</f>
        <v>1</v>
      </c>
      <c r="D7" s="8" t="s">
        <v>22</v>
      </c>
      <c r="E7" s="8">
        <f xml:space="preserve"> 0.012 *B13 + 0.7</f>
        <v>1.1648311138153071</v>
      </c>
      <c r="G7" t="s">
        <v>47</v>
      </c>
      <c r="H7">
        <f>E23</f>
        <v>0.66510977266495486</v>
      </c>
      <c r="J7">
        <f>Parameters!D7</f>
        <v>4750</v>
      </c>
      <c r="K7">
        <f t="shared" si="0"/>
        <v>1</v>
      </c>
      <c r="L7" s="3">
        <f>Parameters!F7</f>
        <v>73.984638233824739</v>
      </c>
      <c r="M7">
        <f t="shared" si="1"/>
        <v>73.984638233824739</v>
      </c>
      <c r="Q7">
        <f t="shared" si="2"/>
        <v>4750</v>
      </c>
      <c r="R7">
        <f t="shared" si="3"/>
        <v>1</v>
      </c>
      <c r="S7" s="3">
        <f t="shared" si="4"/>
        <v>73.984638233824739</v>
      </c>
      <c r="T7">
        <f t="shared" si="5"/>
        <v>73.984638233824739</v>
      </c>
    </row>
    <row r="8" spans="1:20" x14ac:dyDescent="0.25">
      <c r="A8" t="str">
        <f>Parameters!A8</f>
        <v>adjustmentd50,</v>
      </c>
      <c r="B8">
        <f>Parameters!B8</f>
        <v>1</v>
      </c>
      <c r="D8" s="8" t="s">
        <v>23</v>
      </c>
      <c r="E8" s="8">
        <f xml:space="preserve"> 0.1528*B13^0.564</f>
        <v>1.2017651859172314</v>
      </c>
      <c r="G8" t="s">
        <v>48</v>
      </c>
      <c r="H8">
        <f>H1*H2*H3*H4*H5*H6*H7</f>
        <v>17.282104748904903</v>
      </c>
      <c r="J8">
        <f>Parameters!D8</f>
        <v>3350</v>
      </c>
      <c r="K8">
        <f t="shared" si="0"/>
        <v>1</v>
      </c>
      <c r="L8" s="3">
        <f>Parameters!F8</f>
        <v>68.506202843628913</v>
      </c>
      <c r="M8">
        <f t="shared" si="1"/>
        <v>68.506202843628913</v>
      </c>
      <c r="Q8">
        <f t="shared" si="2"/>
        <v>3350</v>
      </c>
      <c r="R8">
        <f t="shared" si="3"/>
        <v>1</v>
      </c>
      <c r="S8" s="3">
        <f t="shared" si="4"/>
        <v>68.506202843628913</v>
      </c>
      <c r="T8">
        <f t="shared" si="5"/>
        <v>68.506202843628913</v>
      </c>
    </row>
    <row r="9" spans="1:20" x14ac:dyDescent="0.25">
      <c r="A9" t="str">
        <f>Parameters!A9</f>
        <v xml:space="preserve"> adjustmentImperfection,</v>
      </c>
      <c r="B9">
        <f>Parameters!B9</f>
        <v>1</v>
      </c>
      <c r="D9" s="8" t="s">
        <v>24</v>
      </c>
      <c r="E9" s="8">
        <f>0.0061*B13^1.37</f>
        <v>0.91420993895656055</v>
      </c>
      <c r="J9">
        <f>Parameters!D9</f>
        <v>2360</v>
      </c>
      <c r="K9">
        <f t="shared" si="0"/>
        <v>0.99974704068226861</v>
      </c>
      <c r="L9" s="3">
        <f>Parameters!F9</f>
        <v>69.28562692044828</v>
      </c>
      <c r="M9">
        <f t="shared" si="1"/>
        <v>69.268100475533885</v>
      </c>
      <c r="Q9">
        <f t="shared" si="2"/>
        <v>2360</v>
      </c>
      <c r="R9">
        <f t="shared" si="3"/>
        <v>0.99975721931047057</v>
      </c>
      <c r="S9" s="3">
        <f t="shared" si="4"/>
        <v>69.28562692044828</v>
      </c>
      <c r="T9">
        <f t="shared" si="5"/>
        <v>69.268805708170049</v>
      </c>
    </row>
    <row r="10" spans="1:20" x14ac:dyDescent="0.25">
      <c r="A10" t="str">
        <f>Parameters!A10</f>
        <v xml:space="preserve"> adjustmentBypass;</v>
      </c>
      <c r="B10">
        <f>Parameters!B10</f>
        <v>1</v>
      </c>
      <c r="D10" s="9" t="s">
        <v>25</v>
      </c>
      <c r="E10" s="8">
        <f>0.05*B13- 1.5</f>
        <v>0.43679630756377996</v>
      </c>
      <c r="G10" t="s">
        <v>54</v>
      </c>
      <c r="H10" s="2">
        <f>B16</f>
        <v>483.93179955952502</v>
      </c>
      <c r="J10">
        <f>Parameters!D10</f>
        <v>1700</v>
      </c>
      <c r="K10">
        <f t="shared" si="0"/>
        <v>0.70389961934777245</v>
      </c>
      <c r="L10" s="3">
        <f>Parameters!F10</f>
        <v>72.373018305174043</v>
      </c>
      <c r="M10">
        <f t="shared" si="1"/>
        <v>50.943340036061379</v>
      </c>
      <c r="Q10">
        <f t="shared" si="2"/>
        <v>1700</v>
      </c>
      <c r="R10">
        <f t="shared" si="3"/>
        <v>0.71581416636719775</v>
      </c>
      <c r="S10" s="3">
        <f t="shared" si="4"/>
        <v>72.373018305174043</v>
      </c>
      <c r="T10">
        <f t="shared" si="5"/>
        <v>51.805631765596097</v>
      </c>
    </row>
    <row r="11" spans="1:20" x14ac:dyDescent="0.25">
      <c r="A11" t="str">
        <f>Parameters!A11</f>
        <v>Feed TPH</v>
      </c>
      <c r="B11">
        <f>Parameters!B11</f>
        <v>1702.8</v>
      </c>
      <c r="D11" s="10" t="s">
        <v>37</v>
      </c>
      <c r="E11" s="10">
        <f xml:space="preserve"> 1.1 - 0.1*B7</f>
        <v>1</v>
      </c>
      <c r="G11" t="s">
        <v>55</v>
      </c>
      <c r="H11">
        <f>B2*(B2*B3)</f>
        <v>6</v>
      </c>
      <c r="J11">
        <f>Parameters!D11</f>
        <v>1180</v>
      </c>
      <c r="K11">
        <f t="shared" si="0"/>
        <v>0.13410253681967099</v>
      </c>
      <c r="L11" s="3">
        <f>Parameters!F11</f>
        <v>88.986119460284783</v>
      </c>
      <c r="M11">
        <f t="shared" si="1"/>
        <v>11.933264361362481</v>
      </c>
      <c r="Q11">
        <f t="shared" si="2"/>
        <v>1180</v>
      </c>
      <c r="R11">
        <f t="shared" si="3"/>
        <v>0.16894469411895596</v>
      </c>
      <c r="S11" s="3">
        <f t="shared" si="4"/>
        <v>88.986119460284783</v>
      </c>
      <c r="T11">
        <f t="shared" si="5"/>
        <v>15.033732733050687</v>
      </c>
    </row>
    <row r="12" spans="1:20" x14ac:dyDescent="0.25">
      <c r="A12" t="str">
        <f>Parameters!A12</f>
        <v>Q (%oversize in feed to screen)</v>
      </c>
      <c r="B12">
        <f>Parameters!B12</f>
        <v>28.419697284698401</v>
      </c>
      <c r="D12" s="11" t="s">
        <v>27</v>
      </c>
      <c r="E12" s="11">
        <v>1</v>
      </c>
      <c r="G12" t="s">
        <v>53</v>
      </c>
      <c r="H12">
        <f>1000*E1*B8*((H10/H11)/H8)^-0.148</f>
        <v>1543.8751563074752</v>
      </c>
      <c r="J12">
        <f>Parameters!D12</f>
        <v>850</v>
      </c>
      <c r="K12">
        <f t="shared" si="0"/>
        <v>2.0936448844678268E-2</v>
      </c>
      <c r="L12" s="3">
        <f>Parameters!F12</f>
        <v>98.646894022464039</v>
      </c>
      <c r="M12">
        <f t="shared" si="1"/>
        <v>2.0653156503877166</v>
      </c>
      <c r="Q12">
        <f t="shared" si="2"/>
        <v>850</v>
      </c>
      <c r="R12">
        <f t="shared" si="3"/>
        <v>6.0332206086025034E-2</v>
      </c>
      <c r="S12" s="3">
        <f t="shared" si="4"/>
        <v>98.646894022464039</v>
      </c>
      <c r="T12">
        <f t="shared" si="5"/>
        <v>5.9515847399095714</v>
      </c>
    </row>
    <row r="13" spans="1:20" x14ac:dyDescent="0.25">
      <c r="A13" t="str">
        <f>Parameters!A13</f>
        <v>R - % half size feed to the screen deck.</v>
      </c>
      <c r="B13">
        <f>Parameters!B13</f>
        <v>38.735926151275599</v>
      </c>
      <c r="D13" s="11" t="s">
        <v>29</v>
      </c>
      <c r="E13" s="11">
        <f>E2</f>
        <v>2.4434310751815285</v>
      </c>
      <c r="J13">
        <f>Parameters!D13</f>
        <v>600</v>
      </c>
      <c r="K13">
        <f t="shared" si="0"/>
        <v>2.7579036348118757E-3</v>
      </c>
      <c r="L13" s="3">
        <f>Parameters!F13</f>
        <v>122.00510762261816</v>
      </c>
      <c r="M13">
        <f t="shared" si="1"/>
        <v>0.33647832977803271</v>
      </c>
      <c r="Q13">
        <f t="shared" si="2"/>
        <v>600</v>
      </c>
      <c r="R13">
        <f t="shared" si="3"/>
        <v>4.2885132855933254E-2</v>
      </c>
      <c r="S13" s="3">
        <f t="shared" si="4"/>
        <v>122.00510762261816</v>
      </c>
      <c r="T13">
        <f t="shared" si="5"/>
        <v>5.2322052494984144</v>
      </c>
    </row>
    <row r="14" spans="1:20" x14ac:dyDescent="0.25">
      <c r="A14" t="str">
        <f>Parameters!A14</f>
        <v xml:space="preserve"> U = Solids Density (kg/m3</v>
      </c>
      <c r="B14">
        <f>Parameters!B14</f>
        <v>2800</v>
      </c>
      <c r="D14" s="11" t="s">
        <v>30</v>
      </c>
      <c r="E14" s="11">
        <f xml:space="preserve"> 1.5 + 0.25*E2</f>
        <v>2.1108577687953822</v>
      </c>
      <c r="J14">
        <f>Parameters!D14</f>
        <v>425</v>
      </c>
      <c r="K14">
        <f t="shared" si="0"/>
        <v>3.6778011846783087E-4</v>
      </c>
      <c r="L14" s="3">
        <f>Parameters!F14</f>
        <v>144.60031231590693</v>
      </c>
      <c r="M14">
        <f t="shared" si="1"/>
        <v>5.3181119994029594E-2</v>
      </c>
      <c r="Q14">
        <f t="shared" si="2"/>
        <v>425</v>
      </c>
      <c r="R14">
        <f t="shared" si="3"/>
        <v>4.0591183613175034E-2</v>
      </c>
      <c r="S14" s="3">
        <f t="shared" si="4"/>
        <v>144.60031231590693</v>
      </c>
      <c r="T14">
        <f t="shared" si="5"/>
        <v>5.8694978277374332</v>
      </c>
    </row>
    <row r="15" spans="1:20" x14ac:dyDescent="0.25">
      <c r="A15" t="str">
        <f>Parameters!A15</f>
        <v xml:space="preserve"> Xn %(1.25hT to 0.75hT) Near-Mesh factor</v>
      </c>
      <c r="B15">
        <f>Parameters!B15</f>
        <v>6.6658020019531197</v>
      </c>
      <c r="D15" s="11" t="s">
        <v>31</v>
      </c>
      <c r="E15" s="11">
        <v>2.5</v>
      </c>
      <c r="J15">
        <f>Parameters!D15</f>
        <v>300</v>
      </c>
      <c r="K15">
        <f t="shared" si="0"/>
        <v>4.8011676064163566E-5</v>
      </c>
      <c r="L15" s="3">
        <f>Parameters!F15</f>
        <v>159.49298613885102</v>
      </c>
      <c r="M15">
        <f t="shared" si="1"/>
        <v>7.6575255850046455E-3</v>
      </c>
      <c r="Q15">
        <f t="shared" si="2"/>
        <v>300</v>
      </c>
      <c r="R15">
        <f t="shared" si="3"/>
        <v>4.0284282078047733E-2</v>
      </c>
      <c r="S15" s="3">
        <f t="shared" si="4"/>
        <v>159.49298613885102</v>
      </c>
      <c r="T15">
        <f t="shared" si="5"/>
        <v>6.4250604430876317</v>
      </c>
    </row>
    <row r="16" spans="1:20" x14ac:dyDescent="0.25">
      <c r="A16" t="str">
        <f>Parameters!A16</f>
        <v>Theoretical US</v>
      </c>
      <c r="B16">
        <f>Parameters!B16</f>
        <v>483.93179955952502</v>
      </c>
      <c r="D16" s="11" t="s">
        <v>32</v>
      </c>
      <c r="E16" s="11">
        <f>3.25 - 0.125*E2</f>
        <v>2.9445711156023089</v>
      </c>
      <c r="J16">
        <f>Parameters!D16</f>
        <v>212</v>
      </c>
      <c r="K16">
        <f t="shared" si="0"/>
        <v>6.3076053268273924E-6</v>
      </c>
      <c r="L16" s="3">
        <f>Parameters!F16</f>
        <v>146.5253916395701</v>
      </c>
      <c r="M16">
        <f t="shared" si="1"/>
        <v>9.2422434082122223E-4</v>
      </c>
      <c r="Q16">
        <f t="shared" si="2"/>
        <v>212</v>
      </c>
      <c r="R16">
        <f t="shared" si="3"/>
        <v>4.0244256104145684E-2</v>
      </c>
      <c r="S16" s="3">
        <f t="shared" si="4"/>
        <v>146.5253916395701</v>
      </c>
      <c r="T16">
        <f t="shared" si="5"/>
        <v>5.8968053869031065</v>
      </c>
    </row>
    <row r="17" spans="1:20" x14ac:dyDescent="0.25">
      <c r="A17" t="str">
        <f>Parameters!A17</f>
        <v>Feed Water (m3/h)</v>
      </c>
      <c r="B17">
        <f>Parameters!B17</f>
        <v>662.2</v>
      </c>
      <c r="D17" s="11" t="s">
        <v>33</v>
      </c>
      <c r="E17" s="11">
        <f>4.5 - 0.25*E2</f>
        <v>3.8891422312046178</v>
      </c>
      <c r="J17">
        <f>Parameters!D17</f>
        <v>150</v>
      </c>
      <c r="K17">
        <f t="shared" si="0"/>
        <v>8.3471027034764944E-7</v>
      </c>
      <c r="L17" s="3">
        <f>Parameters!F17</f>
        <v>110.62976500078163</v>
      </c>
      <c r="M17">
        <f t="shared" si="1"/>
        <v>9.2343801052299356E-5</v>
      </c>
      <c r="Q17">
        <f t="shared" si="2"/>
        <v>150</v>
      </c>
      <c r="R17">
        <f t="shared" si="3"/>
        <v>4.0239003428547686E-2</v>
      </c>
      <c r="S17" s="3">
        <f t="shared" si="4"/>
        <v>110.62976500078163</v>
      </c>
      <c r="T17">
        <f t="shared" si="5"/>
        <v>4.4516314931658769</v>
      </c>
    </row>
    <row r="18" spans="1:20" x14ac:dyDescent="0.25">
      <c r="A18" t="str">
        <f>Parameters!A18</f>
        <v>%Water to coarse</v>
      </c>
      <c r="B18">
        <f>Parameters!B18</f>
        <v>95</v>
      </c>
      <c r="D18" s="11" t="s">
        <v>34</v>
      </c>
      <c r="E18" s="11">
        <f>2.1 - 0.05*E2</f>
        <v>1.9778284462409237</v>
      </c>
      <c r="J18">
        <f>Parameters!D18</f>
        <v>106</v>
      </c>
      <c r="K18">
        <f t="shared" si="0"/>
        <v>1.0965905583582014E-7</v>
      </c>
      <c r="L18" s="3">
        <f>Parameters!F18</f>
        <v>73.620899994766162</v>
      </c>
      <c r="M18">
        <f t="shared" si="1"/>
        <v>8.0731983832093931E-6</v>
      </c>
      <c r="Q18">
        <f t="shared" si="2"/>
        <v>106</v>
      </c>
      <c r="R18">
        <f t="shared" si="3"/>
        <v>4.0238307552090624E-2</v>
      </c>
      <c r="S18" s="3">
        <f t="shared" si="4"/>
        <v>73.620899994766162</v>
      </c>
      <c r="T18">
        <f t="shared" si="5"/>
        <v>2.9623804162511078</v>
      </c>
    </row>
    <row r="19" spans="1:20" x14ac:dyDescent="0.25">
      <c r="A19">
        <f>Parameters!A19</f>
        <v>0</v>
      </c>
      <c r="B19">
        <f>Parameters!B19</f>
        <v>0</v>
      </c>
      <c r="D19" s="11" t="s">
        <v>35</v>
      </c>
      <c r="E19" s="11">
        <f>1.5 - 0.125*E2</f>
        <v>1.1945711156023089</v>
      </c>
      <c r="J19">
        <f>Parameters!D19</f>
        <v>75</v>
      </c>
      <c r="K19">
        <f t="shared" si="0"/>
        <v>1.4511576051923214E-8</v>
      </c>
      <c r="L19" s="3">
        <f>Parameters!F19</f>
        <v>46.80366367597324</v>
      </c>
      <c r="M19">
        <f t="shared" si="1"/>
        <v>6.7919492494252173E-7</v>
      </c>
      <c r="Q19">
        <f t="shared" si="2"/>
        <v>75</v>
      </c>
      <c r="R19">
        <f t="shared" si="3"/>
        <v>4.0238216233174383E-2</v>
      </c>
      <c r="S19" s="3">
        <f t="shared" si="4"/>
        <v>46.80366367597324</v>
      </c>
      <c r="T19">
        <f t="shared" si="5"/>
        <v>1.8832959394985807</v>
      </c>
    </row>
    <row r="20" spans="1:20" x14ac:dyDescent="0.25">
      <c r="D20" s="11" t="s">
        <v>36</v>
      </c>
      <c r="E20" s="11">
        <f>1.35 - 0.00625*E2</f>
        <v>1.3347285557801156</v>
      </c>
      <c r="J20">
        <f>Parameters!D20</f>
        <v>53</v>
      </c>
      <c r="K20">
        <f t="shared" si="0"/>
        <v>1.9064401168833456E-9</v>
      </c>
      <c r="L20" s="3">
        <f>Parameters!F20</f>
        <v>30.935714023869565</v>
      </c>
      <c r="M20">
        <f t="shared" si="1"/>
        <v>5.8977086259535647E-8</v>
      </c>
      <c r="Q20">
        <f t="shared" si="2"/>
        <v>53</v>
      </c>
      <c r="R20">
        <f t="shared" si="3"/>
        <v>4.023820413524646E-2</v>
      </c>
      <c r="S20" s="3">
        <f t="shared" si="4"/>
        <v>30.935714023869565</v>
      </c>
      <c r="T20">
        <f t="shared" si="5"/>
        <v>1.2447975759620702</v>
      </c>
    </row>
    <row r="21" spans="1:20" x14ac:dyDescent="0.25">
      <c r="D21" s="11" t="s">
        <v>38</v>
      </c>
      <c r="E21" s="11">
        <v>1.1499999999999999</v>
      </c>
      <c r="J21">
        <f>Parameters!D21</f>
        <v>38</v>
      </c>
      <c r="K21">
        <f t="shared" si="0"/>
        <v>2.725971670614058E-10</v>
      </c>
      <c r="L21" s="3">
        <f>Parameters!F21</f>
        <v>20.491656596553529</v>
      </c>
      <c r="M21">
        <f t="shared" si="1"/>
        <v>5.5859675366156609E-9</v>
      </c>
      <c r="Q21">
        <f t="shared" si="2"/>
        <v>38</v>
      </c>
      <c r="R21">
        <f t="shared" si="3"/>
        <v>4.0238202567146407E-2</v>
      </c>
      <c r="S21" s="3">
        <f t="shared" si="4"/>
        <v>20.491656596553529</v>
      </c>
      <c r="T21">
        <f t="shared" si="5"/>
        <v>0.82454742906852285</v>
      </c>
    </row>
    <row r="22" spans="1:20" x14ac:dyDescent="0.25">
      <c r="D22" s="12" t="s">
        <v>41</v>
      </c>
      <c r="E22" s="12">
        <f>B14/1602</f>
        <v>1.7478152309612984</v>
      </c>
      <c r="J22">
        <f>Parameters!D22</f>
        <v>0</v>
      </c>
      <c r="K22">
        <f t="shared" si="0"/>
        <v>0</v>
      </c>
      <c r="L22" s="3">
        <f>Parameters!F22</f>
        <v>146.7421933989711</v>
      </c>
      <c r="M22">
        <f t="shared" si="1"/>
        <v>0</v>
      </c>
      <c r="Q22">
        <f t="shared" si="2"/>
        <v>0</v>
      </c>
      <c r="R22">
        <f t="shared" si="3"/>
        <v>4.0238202305518063E-2</v>
      </c>
      <c r="S22" s="3">
        <f t="shared" si="4"/>
        <v>146.7421933989711</v>
      </c>
      <c r="T22">
        <f t="shared" si="5"/>
        <v>5.904642064743256</v>
      </c>
    </row>
    <row r="23" spans="1:20" x14ac:dyDescent="0.25">
      <c r="D23" s="13" t="s">
        <v>43</v>
      </c>
      <c r="E23" s="13">
        <f>0.844 *(1 - B15/100)^3.453</f>
        <v>0.66510977266495486</v>
      </c>
    </row>
    <row r="24" spans="1:20" x14ac:dyDescent="0.25">
      <c r="L24" t="s">
        <v>58</v>
      </c>
      <c r="M24">
        <f>SUM(M2:M22)</f>
        <v>506.26901376756791</v>
      </c>
      <c r="S24" t="s">
        <v>58</v>
      </c>
      <c r="T24">
        <f>SUM(T2:T22)</f>
        <v>554.41526965640946</v>
      </c>
    </row>
    <row r="26" spans="1:20" x14ac:dyDescent="0.25">
      <c r="C26">
        <f>PI()</f>
        <v>3.1415926535897931</v>
      </c>
      <c r="N26">
        <f>M24/(M24+O2)</f>
        <v>0.95000000000000007</v>
      </c>
    </row>
    <row r="27" spans="1:20" x14ac:dyDescent="0.25">
      <c r="C27">
        <v>180</v>
      </c>
    </row>
    <row r="28" spans="1:20" x14ac:dyDescent="0.25">
      <c r="C28">
        <f>C26/C27</f>
        <v>1.7453292519943295E-2</v>
      </c>
    </row>
    <row r="29" spans="1:20" x14ac:dyDescent="0.25">
      <c r="C29">
        <v>10</v>
      </c>
    </row>
    <row r="30" spans="1:20" x14ac:dyDescent="0.25">
      <c r="C30">
        <f>C29*C28</f>
        <v>0.17453292519943295</v>
      </c>
    </row>
    <row r="31" spans="1:20" x14ac:dyDescent="0.25">
      <c r="C31">
        <f>RADIANS(C29)</f>
        <v>0.17453292519943295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Karra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Valadares Nascimento</dc:creator>
  <cp:lastModifiedBy>Dirceu Valadares Nascimento</cp:lastModifiedBy>
  <dcterms:created xsi:type="dcterms:W3CDTF">2017-09-30T12:56:28Z</dcterms:created>
  <dcterms:modified xsi:type="dcterms:W3CDTF">2017-10-04T13:23:08Z</dcterms:modified>
</cp:coreProperties>
</file>