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5084d7f136e201d/Documents/COMP372/"/>
    </mc:Choice>
  </mc:AlternateContent>
  <xr:revisionPtr revIDLastSave="137" documentId="8_{F5B70B53-D5EC-4CB8-B28A-EA09D83F2C19}" xr6:coauthVersionLast="47" xr6:coauthVersionMax="47" xr10:uidLastSave="{CD778ED5-A1CE-4816-ADB0-EFF730691814}"/>
  <bookViews>
    <workbookView xWindow="-120" yWindow="-120" windowWidth="20730" windowHeight="11160" xr2:uid="{37565D3F-57F6-40C4-AC38-9DA678AC92E9}"/>
  </bookViews>
  <sheets>
    <sheet name="Base scenario" sheetId="5" r:id="rId1"/>
    <sheet name="Variable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1" i="5" l="1"/>
  <c r="F31" i="5"/>
  <c r="P30" i="5"/>
  <c r="O30" i="5"/>
  <c r="O32" i="5" s="1"/>
  <c r="N30" i="5"/>
  <c r="M30" i="5"/>
  <c r="L30" i="5"/>
  <c r="K30" i="5"/>
  <c r="J30" i="5"/>
  <c r="I30" i="5"/>
  <c r="H30" i="5"/>
  <c r="G30" i="5"/>
  <c r="E30" i="5"/>
  <c r="D30" i="5"/>
  <c r="D32" i="5" s="1"/>
  <c r="C30" i="5"/>
  <c r="F28" i="5"/>
  <c r="F30" i="5" s="1"/>
  <c r="D23" i="5"/>
  <c r="G22" i="5"/>
  <c r="H22" i="5" s="1"/>
  <c r="I22" i="5" s="1"/>
  <c r="G21" i="5"/>
  <c r="H21" i="5" s="1"/>
  <c r="I21" i="5" s="1"/>
  <c r="J21" i="5" s="1"/>
  <c r="K21" i="5" s="1"/>
  <c r="L21" i="5" s="1"/>
  <c r="M21" i="5" s="1"/>
  <c r="N21" i="5" s="1"/>
  <c r="O21" i="5" s="1"/>
  <c r="P21" i="5" s="1"/>
  <c r="D21" i="5"/>
  <c r="E21" i="5" s="1"/>
  <c r="E13" i="5" s="1"/>
  <c r="G19" i="5"/>
  <c r="H19" i="5" s="1"/>
  <c r="I19" i="5" s="1"/>
  <c r="J19" i="5" s="1"/>
  <c r="K19" i="5" s="1"/>
  <c r="L19" i="5" s="1"/>
  <c r="M19" i="5" s="1"/>
  <c r="N19" i="5" s="1"/>
  <c r="O19" i="5" s="1"/>
  <c r="P19" i="5" s="1"/>
  <c r="C19" i="5"/>
  <c r="H18" i="5"/>
  <c r="I18" i="5" s="1"/>
  <c r="J18" i="5" s="1"/>
  <c r="K18" i="5" s="1"/>
  <c r="L18" i="5" s="1"/>
  <c r="M18" i="5" s="1"/>
  <c r="N18" i="5" s="1"/>
  <c r="O18" i="5" s="1"/>
  <c r="P18" i="5" s="1"/>
  <c r="G17" i="5"/>
  <c r="H17" i="5" s="1"/>
  <c r="I17" i="5" s="1"/>
  <c r="J17" i="5" s="1"/>
  <c r="K17" i="5" s="1"/>
  <c r="L17" i="5" s="1"/>
  <c r="M17" i="5" s="1"/>
  <c r="N17" i="5" s="1"/>
  <c r="O17" i="5" s="1"/>
  <c r="P17" i="5" s="1"/>
  <c r="C17" i="5"/>
  <c r="C16" i="5"/>
  <c r="F15" i="5"/>
  <c r="G15" i="5" s="1"/>
  <c r="D15" i="5"/>
  <c r="F12" i="5"/>
  <c r="G12" i="5" s="1"/>
  <c r="H12" i="5" s="1"/>
  <c r="I12" i="5" s="1"/>
  <c r="F11" i="5"/>
  <c r="G11" i="5" s="1"/>
  <c r="F9" i="5"/>
  <c r="G9" i="5" s="1"/>
  <c r="C9" i="5"/>
  <c r="F8" i="5"/>
  <c r="D8" i="5"/>
  <c r="F7" i="5"/>
  <c r="C7" i="5"/>
  <c r="D7" i="5" s="1"/>
  <c r="C6" i="5"/>
  <c r="H5" i="5"/>
  <c r="O4" i="5"/>
  <c r="C4" i="5"/>
  <c r="G32" i="5" l="1"/>
  <c r="P32" i="5"/>
  <c r="F13" i="5"/>
  <c r="F25" i="5" s="1"/>
  <c r="G8" i="5"/>
  <c r="H11" i="5"/>
  <c r="I11" i="5" s="1"/>
  <c r="J11" i="5" s="1"/>
  <c r="D17" i="5"/>
  <c r="N32" i="5"/>
  <c r="D9" i="5"/>
  <c r="C13" i="5"/>
  <c r="C25" i="5" s="1"/>
  <c r="C34" i="5" s="1"/>
  <c r="H31" i="5"/>
  <c r="D16" i="5"/>
  <c r="G13" i="5"/>
  <c r="H15" i="5"/>
  <c r="F32" i="5"/>
  <c r="P4" i="5"/>
  <c r="G7" i="5"/>
  <c r="I5" i="5"/>
  <c r="H9" i="5"/>
  <c r="C32" i="5"/>
  <c r="D6" i="5"/>
  <c r="E32" i="5"/>
  <c r="M32" i="5"/>
  <c r="H8" i="5" l="1"/>
  <c r="I8" i="5" s="1"/>
  <c r="J8" i="5" s="1"/>
  <c r="K8" i="5" s="1"/>
  <c r="L31" i="5"/>
  <c r="D13" i="5"/>
  <c r="D25" i="5" s="1"/>
  <c r="I31" i="5"/>
  <c r="J31" i="5"/>
  <c r="H32" i="5"/>
  <c r="F34" i="5"/>
  <c r="K31" i="5"/>
  <c r="E6" i="5"/>
  <c r="J5" i="5"/>
  <c r="H7" i="5"/>
  <c r="G25" i="5"/>
  <c r="K11" i="5"/>
  <c r="I15" i="5"/>
  <c r="H13" i="5"/>
  <c r="I9" i="5"/>
  <c r="L32" i="5" l="1"/>
  <c r="J32" i="5"/>
  <c r="K32" i="5"/>
  <c r="I32" i="5"/>
  <c r="I7" i="5"/>
  <c r="H25" i="5"/>
  <c r="L8" i="5"/>
  <c r="J15" i="5"/>
  <c r="I13" i="5"/>
  <c r="K5" i="5"/>
  <c r="L11" i="5"/>
  <c r="J9" i="5"/>
  <c r="D34" i="5"/>
  <c r="E25" i="5"/>
  <c r="G34" i="5"/>
  <c r="K15" i="5" l="1"/>
  <c r="J13" i="5"/>
  <c r="J7" i="5"/>
  <c r="I25" i="5"/>
  <c r="K9" i="5"/>
  <c r="M11" i="5"/>
  <c r="M8" i="5"/>
  <c r="E34" i="5"/>
  <c r="L5" i="5"/>
  <c r="H34" i="5"/>
  <c r="I34" i="5" l="1"/>
  <c r="N11" i="5"/>
  <c r="L15" i="5"/>
  <c r="K13" i="5"/>
  <c r="M5" i="5"/>
  <c r="K7" i="5"/>
  <c r="J25" i="5"/>
  <c r="L9" i="5"/>
  <c r="N8" i="5"/>
  <c r="O8" i="5" l="1"/>
  <c r="N5" i="5"/>
  <c r="L13" i="5"/>
  <c r="M15" i="5"/>
  <c r="O11" i="5"/>
  <c r="M9" i="5"/>
  <c r="J34" i="5"/>
  <c r="L7" i="5"/>
  <c r="K25" i="5"/>
  <c r="K34" i="5" l="1"/>
  <c r="M7" i="5"/>
  <c r="L25" i="5"/>
  <c r="O5" i="5"/>
  <c r="M13" i="5"/>
  <c r="N15" i="5"/>
  <c r="N9" i="5"/>
  <c r="P11" i="5"/>
  <c r="P8" i="5"/>
  <c r="O9" i="5" l="1"/>
  <c r="L34" i="5"/>
  <c r="N7" i="5"/>
  <c r="M25" i="5"/>
  <c r="M34" i="5" s="1"/>
  <c r="P5" i="5"/>
  <c r="N13" i="5"/>
  <c r="O15" i="5"/>
  <c r="O13" i="5" l="1"/>
  <c r="P15" i="5"/>
  <c r="O7" i="5"/>
  <c r="N25" i="5"/>
  <c r="N34" i="5" s="1"/>
  <c r="P9" i="5"/>
  <c r="P7" i="5" l="1"/>
  <c r="O25" i="5"/>
  <c r="O34" i="5" s="1"/>
  <c r="P13" i="5"/>
  <c r="P25" i="5" l="1"/>
  <c r="P34" i="5" s="1"/>
</calcChain>
</file>

<file path=xl/sharedStrings.xml><?xml version="1.0" encoding="utf-8"?>
<sst xmlns="http://schemas.openxmlformats.org/spreadsheetml/2006/main" count="104" uniqueCount="87">
  <si>
    <t>Emissions</t>
  </si>
  <si>
    <t>Offsets</t>
  </si>
  <si>
    <t>Steam &amp; MTHW - coal (incl losses)</t>
  </si>
  <si>
    <t>Mobile Combustion - diesel, petrol, pcard &amp; marine</t>
  </si>
  <si>
    <t>Purchased Goods and Services - Food</t>
  </si>
  <si>
    <t>Waste from operations - to landfill, recycling and water processing</t>
  </si>
  <si>
    <t>Construction &amp; demolition</t>
  </si>
  <si>
    <t>Steam &amp; MTHW - biomass (incl losses)</t>
  </si>
  <si>
    <t>Business Travel - mileage, taxis and shuttles</t>
  </si>
  <si>
    <t>Business Travel - accomodation</t>
  </si>
  <si>
    <t>Stationary Combustion - LPG</t>
  </si>
  <si>
    <t>Employee Commuting - Private vehicles</t>
  </si>
  <si>
    <t>Employee Commuting -public transport</t>
  </si>
  <si>
    <t>Stationary Combustion - diesel</t>
  </si>
  <si>
    <t>Purchased Goods and Services - water</t>
  </si>
  <si>
    <t>Stationary Combustion - biomass</t>
  </si>
  <si>
    <t>Fugitive Emissions - refrigerants</t>
  </si>
  <si>
    <t>Mahu Whenua</t>
  </si>
  <si>
    <t>Other insetting</t>
  </si>
  <si>
    <t>Total</t>
  </si>
  <si>
    <t>Electricity (incl transmission losses)</t>
  </si>
  <si>
    <t>Other</t>
  </si>
  <si>
    <t>Student commuting</t>
  </si>
  <si>
    <t>Net emissions</t>
  </si>
  <si>
    <t>Total offsets/insets</t>
  </si>
  <si>
    <t>Purchased offsets</t>
  </si>
  <si>
    <t>Student air travel - domestic and international</t>
  </si>
  <si>
    <t>Students (EFTS) (% growth or decline)</t>
  </si>
  <si>
    <t>Staff (FTE) (% growth or decline)</t>
  </si>
  <si>
    <t>Staff Air Travel - domestic and international</t>
  </si>
  <si>
    <t>Stationary Combustion - coal</t>
  </si>
  <si>
    <t>Insetting projects</t>
  </si>
  <si>
    <t>Likely linked to student numbers, so not as important a driver</t>
  </si>
  <si>
    <t>Range</t>
  </si>
  <si>
    <t>+/-100%</t>
  </si>
  <si>
    <t>Level of behavioural change</t>
  </si>
  <si>
    <t>Low/Med/High</t>
  </si>
  <si>
    <t>Impacts</t>
  </si>
  <si>
    <t>Most emissions factors &amp; the need for offsetting</t>
  </si>
  <si>
    <t>Assumption in base scenario</t>
  </si>
  <si>
    <t>0% growth (static EFTS)</t>
  </si>
  <si>
    <t>Medium</t>
  </si>
  <si>
    <t>Internal</t>
  </si>
  <si>
    <t>Level of emissions reductions targets set by University</t>
  </si>
  <si>
    <t>All emissions factors &amp; need for offsetting</t>
  </si>
  <si>
    <t>Medium (most categories reducing 6% pa)</t>
  </si>
  <si>
    <t>NZ Electricity grid renewables percentage</t>
  </si>
  <si>
    <t>External</t>
  </si>
  <si>
    <t>No change to 100% renewable by 20230</t>
  </si>
  <si>
    <t>Electricity and the need for offsetting. May also make electric vehicles more attractive sooner.</t>
  </si>
  <si>
    <t>None to 10% by 2035 (5% at 2030)</t>
  </si>
  <si>
    <t>Low emissions domestic air travel</t>
  </si>
  <si>
    <t>Domestic air travel for staff and students</t>
  </si>
  <si>
    <t>No change (80%)</t>
  </si>
  <si>
    <t>None</t>
  </si>
  <si>
    <t>Growth rates of insetting projects</t>
  </si>
  <si>
    <t>No change to +20%</t>
  </si>
  <si>
    <t>Insetting</t>
  </si>
  <si>
    <t>No change (based on Ministry for the Environment Lookup Tables, which are quite conservative)</t>
  </si>
  <si>
    <t>Mix of offsetting and insetting</t>
  </si>
  <si>
    <t>100% offsetting to 100% insetting</t>
  </si>
  <si>
    <t>Offsetting and Insetting</t>
  </si>
  <si>
    <t>Others (not for inclusion at this stage)</t>
  </si>
  <si>
    <t>Variables (for consideration for inclusion)</t>
  </si>
  <si>
    <t>Type (who controls the outcome)</t>
  </si>
  <si>
    <t>Local council investment in better active transport infrastructure</t>
  </si>
  <si>
    <t>Free public transport for staff and students</t>
  </si>
  <si>
    <t>No/Yes</t>
  </si>
  <si>
    <t>No</t>
  </si>
  <si>
    <t>Staff and Student Commuting emissions</t>
  </si>
  <si>
    <t>Target 100% insetting by 2032</t>
  </si>
  <si>
    <t>Staff air travel offset from [date]</t>
  </si>
  <si>
    <t>Food policy</t>
  </si>
  <si>
    <t>Current to fully vegan</t>
  </si>
  <si>
    <t xml:space="preserve">Food emissions </t>
  </si>
  <si>
    <t>Current</t>
  </si>
  <si>
    <t>Business case currently being considered</t>
  </si>
  <si>
    <t>Offset from 2022</t>
  </si>
  <si>
    <t>Student air travel</t>
  </si>
  <si>
    <t>Student air travel offset from [date]</t>
  </si>
  <si>
    <t>2023 to 2030</t>
  </si>
  <si>
    <t>2022 to 2030</t>
  </si>
  <si>
    <t>Offset from 2023</t>
  </si>
  <si>
    <t>Base scenario</t>
  </si>
  <si>
    <t>Percentage of energy generated onsite (eg solar)</t>
  </si>
  <si>
    <t>0% - 100%</t>
  </si>
  <si>
    <t>Mostly just electricity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</si>
</sst>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3" fontId="3" fillId="0" borderId="1" applyBorder="0">
      <alignment vertical="center"/>
    </xf>
  </cellStyleXfs>
  <cellXfs count="21">
    <xf numFmtId="0" fontId="0" fillId="0" borderId="0" xfId="0"/>
    <xf numFmtId="0" fontId="0" fillId="0" borderId="0" xfId="0" applyFont="1"/>
    <xf numFmtId="0" fontId="0" fillId="0" borderId="0" xfId="0" applyBorder="1"/>
    <xf numFmtId="0" fontId="0" fillId="0" borderId="0" xfId="0" applyFont="1" applyBorder="1"/>
    <xf numFmtId="0" fontId="1" fillId="0" borderId="0" xfId="0" applyFont="1" applyFill="1" applyBorder="1" applyAlignment="1">
      <alignment horizontal="left" vertical="center"/>
    </xf>
    <xf numFmtId="3" fontId="1" fillId="0" borderId="0" xfId="0" applyNumberFormat="1" applyFont="1" applyFill="1" applyBorder="1" applyAlignment="1">
      <alignment horizontal="right" vertical="center"/>
    </xf>
    <xf numFmtId="3" fontId="0" fillId="0" borderId="0" xfId="0" applyNumberFormat="1" applyBorder="1"/>
    <xf numFmtId="0" fontId="0" fillId="0" borderId="0" xfId="0" applyFill="1" applyBorder="1"/>
    <xf numFmtId="3" fontId="0" fillId="0" borderId="0" xfId="0" applyNumberFormat="1"/>
    <xf numFmtId="0" fontId="2" fillId="0" borderId="0" xfId="0" applyFont="1" applyBorder="1"/>
    <xf numFmtId="0" fontId="2" fillId="0" borderId="0" xfId="0" applyFont="1" applyFill="1" applyBorder="1"/>
    <xf numFmtId="0" fontId="2" fillId="0" borderId="0" xfId="0" applyFont="1"/>
    <xf numFmtId="1" fontId="0" fillId="0" borderId="0" xfId="0" applyNumberFormat="1" applyFill="1" applyBorder="1"/>
    <xf numFmtId="3" fontId="0" fillId="0" borderId="0" xfId="0" applyNumberFormat="1" applyFill="1" applyBorder="1"/>
    <xf numFmtId="0" fontId="1" fillId="2" borderId="0" xfId="0" applyFont="1" applyFill="1" applyBorder="1" applyAlignment="1">
      <alignment horizontal="left" vertical="center"/>
    </xf>
    <xf numFmtId="0" fontId="0" fillId="2" borderId="0" xfId="0" applyFill="1" applyBorder="1"/>
    <xf numFmtId="0" fontId="1" fillId="2" borderId="0" xfId="0" applyFont="1" applyFill="1" applyBorder="1" applyAlignment="1">
      <alignment horizontal="right" vertical="center"/>
    </xf>
    <xf numFmtId="1" fontId="0" fillId="2" borderId="0" xfId="0" applyNumberFormat="1" applyFill="1" applyBorder="1"/>
    <xf numFmtId="1" fontId="1" fillId="2" borderId="0" xfId="0" applyNumberFormat="1" applyFont="1" applyFill="1" applyBorder="1" applyAlignment="1">
      <alignment horizontal="right" vertical="center"/>
    </xf>
    <xf numFmtId="0" fontId="0" fillId="0" borderId="0" xfId="0" quotePrefix="1"/>
    <xf numFmtId="9" fontId="0" fillId="0" borderId="0" xfId="0" applyNumberFormat="1" applyAlignment="1">
      <alignment horizontal="left"/>
    </xf>
  </cellXfs>
  <cellStyles count="2">
    <cellStyle name="Normal" xfId="0" builtinId="0"/>
    <cellStyle name="Style 1" xfId="1" xr:uid="{790E9ECE-C4E5-4C7A-8199-D3FDCB6194CA}"/>
  </cellStyles>
  <dxfs count="0"/>
  <tableStyles count="0" defaultTableStyle="TableStyleMedium2" defaultPivotStyle="PivotStyleLight16"/>
  <colors>
    <mruColors>
      <color rgb="FF9900FF"/>
      <color rgb="FFFF99CC"/>
      <color rgb="FF00CC00"/>
      <color rgb="FF000000"/>
      <color rgb="FFFC3A5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 sz="2000" b="1"/>
              <a:t>Net Carbon Emissions</a:t>
            </a:r>
          </a:p>
          <a:p>
            <a:pPr>
              <a:defRPr/>
            </a:pPr>
            <a:r>
              <a:rPr lang="en-NZ" sz="2000"/>
              <a:t>2019-2032</a:t>
            </a:r>
          </a:p>
        </c:rich>
      </c:tx>
      <c:layout>
        <c:manualLayout>
          <c:xMode val="edge"/>
          <c:yMode val="edge"/>
          <c:x val="0.41989630423830732"/>
          <c:y val="0.1426937007369374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'Base scenario'!$B$4</c:f>
              <c:strCache>
                <c:ptCount val="1"/>
                <c:pt idx="0">
                  <c:v>Staff Air Travel - domestic and international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scenario'!$C$4:$N$4</c:f>
              <c:numCache>
                <c:formatCode>#,##0</c:formatCode>
                <c:ptCount val="12"/>
                <c:pt idx="0">
                  <c:v>11894</c:v>
                </c:pt>
                <c:pt idx="1">
                  <c:v>2555</c:v>
                </c:pt>
                <c:pt idx="2">
                  <c:v>3713</c:v>
                </c:pt>
                <c:pt idx="3" formatCode="General">
                  <c:v>5480</c:v>
                </c:pt>
                <c:pt idx="4" formatCode="General">
                  <c:v>5480</c:v>
                </c:pt>
                <c:pt idx="5" formatCode="General">
                  <c:v>5480</c:v>
                </c:pt>
                <c:pt idx="6" formatCode="General">
                  <c:v>5480</c:v>
                </c:pt>
                <c:pt idx="7" formatCode="General">
                  <c:v>5480</c:v>
                </c:pt>
                <c:pt idx="8" formatCode="General">
                  <c:v>5480</c:v>
                </c:pt>
                <c:pt idx="9" formatCode="General">
                  <c:v>5480</c:v>
                </c:pt>
                <c:pt idx="10" formatCode="General">
                  <c:v>5480</c:v>
                </c:pt>
                <c:pt idx="11" formatCode="General">
                  <c:v>5480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3D-44FE-84CD-C9B94698E245}"/>
            </c:ext>
          </c:extLst>
        </c:ser>
        <c:ser>
          <c:idx val="1"/>
          <c:order val="1"/>
          <c:tx>
            <c:strRef>
              <c:f>'Base scenario'!$B$5</c:f>
              <c:strCache>
                <c:ptCount val="1"/>
                <c:pt idx="0">
                  <c:v>Student air travel - domestic and international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scenario'!$C$5:$N$5</c:f>
              <c:numCache>
                <c:formatCode>#,##0</c:formatCode>
                <c:ptCount val="12"/>
                <c:pt idx="0">
                  <c:v>9000</c:v>
                </c:pt>
                <c:pt idx="1">
                  <c:v>4000</c:v>
                </c:pt>
                <c:pt idx="2">
                  <c:v>6000</c:v>
                </c:pt>
                <c:pt idx="3" formatCode="General">
                  <c:v>7000</c:v>
                </c:pt>
                <c:pt idx="4">
                  <c:v>9000</c:v>
                </c:pt>
                <c:pt idx="5">
                  <c:v>8460</c:v>
                </c:pt>
                <c:pt idx="6">
                  <c:v>7952.4</c:v>
                </c:pt>
                <c:pt idx="7">
                  <c:v>7475.2559999999994</c:v>
                </c:pt>
                <c:pt idx="8">
                  <c:v>7026.7406399999991</c:v>
                </c:pt>
                <c:pt idx="9">
                  <c:v>6605.1362015999985</c:v>
                </c:pt>
                <c:pt idx="10">
                  <c:v>6208.8280295039986</c:v>
                </c:pt>
                <c:pt idx="11">
                  <c:v>5836.2983477337584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3D-44FE-84CD-C9B94698E245}"/>
            </c:ext>
          </c:extLst>
        </c:ser>
        <c:ser>
          <c:idx val="2"/>
          <c:order val="2"/>
          <c:tx>
            <c:strRef>
              <c:f>'Base scenario'!$B$6</c:f>
              <c:strCache>
                <c:ptCount val="1"/>
                <c:pt idx="0">
                  <c:v>Steam &amp; MTHW - coal (incl losses)</c:v>
                </c:pt>
              </c:strCache>
            </c:strRef>
          </c:tx>
          <c:spPr>
            <a:solidFill>
              <a:schemeClr val="accent4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scenario'!$C$6:$N$6</c:f>
              <c:numCache>
                <c:formatCode>#,##0</c:formatCode>
                <c:ptCount val="12"/>
                <c:pt idx="0">
                  <c:v>5520</c:v>
                </c:pt>
                <c:pt idx="1">
                  <c:v>460</c:v>
                </c:pt>
                <c:pt idx="2">
                  <c:v>46</c:v>
                </c:pt>
                <c:pt idx="3" formatCode="General">
                  <c:v>0</c:v>
                </c:pt>
                <c:pt idx="4" formatCode="General">
                  <c:v>0</c:v>
                </c:pt>
                <c:pt idx="5" formatCode="General">
                  <c:v>0</c:v>
                </c:pt>
                <c:pt idx="6" formatCode="General">
                  <c:v>0</c:v>
                </c:pt>
                <c:pt idx="7" formatCode="General">
                  <c:v>0</c:v>
                </c:pt>
                <c:pt idx="8" formatCode="General">
                  <c:v>0</c:v>
                </c:pt>
                <c:pt idx="9" formatCode="General">
                  <c:v>0</c:v>
                </c:pt>
                <c:pt idx="10" formatCode="General">
                  <c:v>0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3D-44FE-84CD-C9B94698E245}"/>
            </c:ext>
          </c:extLst>
        </c:ser>
        <c:ser>
          <c:idx val="3"/>
          <c:order val="3"/>
          <c:tx>
            <c:strRef>
              <c:f>'Base scenario'!$B$7</c:f>
              <c:strCache>
                <c:ptCount val="1"/>
                <c:pt idx="0">
                  <c:v>Electricity (incl transmission losses)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scenario'!$C$7:$N$7</c:f>
              <c:numCache>
                <c:formatCode>#,##0</c:formatCode>
                <c:ptCount val="12"/>
                <c:pt idx="0">
                  <c:v>5433</c:v>
                </c:pt>
                <c:pt idx="1">
                  <c:v>4346.4000000000005</c:v>
                </c:pt>
                <c:pt idx="2">
                  <c:v>5000</c:v>
                </c:pt>
                <c:pt idx="3" formatCode="0">
                  <c:v>5000</c:v>
                </c:pt>
                <c:pt idx="4" formatCode="0">
                  <c:v>4700</c:v>
                </c:pt>
                <c:pt idx="5" formatCode="0">
                  <c:v>4418</c:v>
                </c:pt>
                <c:pt idx="6" formatCode="0">
                  <c:v>4152.92</c:v>
                </c:pt>
                <c:pt idx="7" formatCode="0">
                  <c:v>3903.7447999999999</c:v>
                </c:pt>
                <c:pt idx="8" formatCode="0">
                  <c:v>3669.5201119999997</c:v>
                </c:pt>
                <c:pt idx="9" formatCode="0">
                  <c:v>3449.3489052799996</c:v>
                </c:pt>
                <c:pt idx="10" formatCode="0">
                  <c:v>3242.3879709631992</c:v>
                </c:pt>
                <c:pt idx="11" formatCode="0">
                  <c:v>3047.8446927054069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3D-44FE-84CD-C9B94698E245}"/>
            </c:ext>
          </c:extLst>
        </c:ser>
        <c:ser>
          <c:idx val="4"/>
          <c:order val="4"/>
          <c:tx>
            <c:strRef>
              <c:f>'Base scenario'!$B$8</c:f>
              <c:strCache>
                <c:ptCount val="1"/>
                <c:pt idx="0">
                  <c:v>Purchased Goods and Services - Food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scenario'!$C$8:$N$8</c:f>
              <c:numCache>
                <c:formatCode>#,##0</c:formatCode>
                <c:ptCount val="12"/>
                <c:pt idx="0">
                  <c:v>4541</c:v>
                </c:pt>
                <c:pt idx="1">
                  <c:v>3632.8</c:v>
                </c:pt>
                <c:pt idx="2">
                  <c:v>4500</c:v>
                </c:pt>
                <c:pt idx="3" formatCode="General">
                  <c:v>4005</c:v>
                </c:pt>
                <c:pt idx="4" formatCode="0">
                  <c:v>3764.7</c:v>
                </c:pt>
                <c:pt idx="5" formatCode="0">
                  <c:v>3538.8179999999998</c:v>
                </c:pt>
                <c:pt idx="6" formatCode="0">
                  <c:v>3326.4889199999998</c:v>
                </c:pt>
                <c:pt idx="7" formatCode="0">
                  <c:v>3126.8995847999995</c:v>
                </c:pt>
                <c:pt idx="8" formatCode="0">
                  <c:v>2939.2856097119993</c:v>
                </c:pt>
                <c:pt idx="9" formatCode="0">
                  <c:v>2762.9284731292792</c:v>
                </c:pt>
                <c:pt idx="10" formatCode="0">
                  <c:v>2597.1527647415223</c:v>
                </c:pt>
                <c:pt idx="11" formatCode="0">
                  <c:v>2441.3235988570309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3D-44FE-84CD-C9B94698E245}"/>
            </c:ext>
          </c:extLst>
        </c:ser>
        <c:ser>
          <c:idx val="5"/>
          <c:order val="5"/>
          <c:tx>
            <c:strRef>
              <c:f>'Base scenario'!$B$9</c:f>
              <c:strCache>
                <c:ptCount val="1"/>
                <c:pt idx="0">
                  <c:v>Waste from operations - to landfill, recycling and water processing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scenario'!$C$9:$N$9</c:f>
              <c:numCache>
                <c:formatCode>#,##0</c:formatCode>
                <c:ptCount val="12"/>
                <c:pt idx="0">
                  <c:v>2357</c:v>
                </c:pt>
                <c:pt idx="1">
                  <c:v>1767.75</c:v>
                </c:pt>
                <c:pt idx="2">
                  <c:v>1500</c:v>
                </c:pt>
                <c:pt idx="3" formatCode="0">
                  <c:v>1410</c:v>
                </c:pt>
                <c:pt idx="4" formatCode="0">
                  <c:v>1325.3999999999999</c:v>
                </c:pt>
                <c:pt idx="5" formatCode="0">
                  <c:v>1245.8759999999997</c:v>
                </c:pt>
                <c:pt idx="6" formatCode="0">
                  <c:v>1171.1234399999996</c:v>
                </c:pt>
                <c:pt idx="7" formatCode="0">
                  <c:v>1100.8560335999996</c:v>
                </c:pt>
                <c:pt idx="8" formatCode="0">
                  <c:v>1034.8046715839996</c:v>
                </c:pt>
                <c:pt idx="9" formatCode="0">
                  <c:v>972.71639128895958</c:v>
                </c:pt>
                <c:pt idx="10" formatCode="0">
                  <c:v>914.35340781162199</c:v>
                </c:pt>
                <c:pt idx="11" formatCode="0">
                  <c:v>859.49220334292465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3D-44FE-84CD-C9B94698E245}"/>
            </c:ext>
          </c:extLst>
        </c:ser>
        <c:ser>
          <c:idx val="6"/>
          <c:order val="6"/>
          <c:tx>
            <c:strRef>
              <c:f>'Base scenario'!$B$10</c:f>
              <c:strCache>
                <c:ptCount val="1"/>
                <c:pt idx="0">
                  <c:v>Stationary Combustion - coal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scenario'!$C$10:$N$10</c:f>
              <c:numCache>
                <c:formatCode>#,##0</c:formatCode>
                <c:ptCount val="12"/>
                <c:pt idx="0">
                  <c:v>1559</c:v>
                </c:pt>
                <c:pt idx="1">
                  <c:v>1384</c:v>
                </c:pt>
                <c:pt idx="2">
                  <c:v>1300</c:v>
                </c:pt>
                <c:pt idx="3" formatCode="General">
                  <c:v>200</c:v>
                </c:pt>
                <c:pt idx="4">
                  <c:v>0</c:v>
                </c:pt>
                <c:pt idx="5">
                  <c:v>0</c:v>
                </c:pt>
                <c:pt idx="6" formatCode="General">
                  <c:v>0</c:v>
                </c:pt>
                <c:pt idx="7">
                  <c:v>0</c:v>
                </c:pt>
                <c:pt idx="8">
                  <c:v>0</c:v>
                </c:pt>
                <c:pt idx="9" formatCode="General">
                  <c:v>0</c:v>
                </c:pt>
                <c:pt idx="10">
                  <c:v>0</c:v>
                </c:pt>
                <c:pt idx="11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3D-44FE-84CD-C9B94698E245}"/>
            </c:ext>
          </c:extLst>
        </c:ser>
        <c:ser>
          <c:idx val="7"/>
          <c:order val="7"/>
          <c:tx>
            <c:strRef>
              <c:f>'Base scenario'!$B$11</c:f>
              <c:strCache>
                <c:ptCount val="1"/>
                <c:pt idx="0">
                  <c:v>Employee Commuting - Private vehicles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scenario'!$C$11:$N$11</c:f>
              <c:numCache>
                <c:formatCode>#,##0</c:formatCode>
                <c:ptCount val="12"/>
                <c:pt idx="0">
                  <c:v>1434</c:v>
                </c:pt>
                <c:pt idx="1">
                  <c:v>1269</c:v>
                </c:pt>
                <c:pt idx="2">
                  <c:v>1400</c:v>
                </c:pt>
                <c:pt idx="3" formatCode="0">
                  <c:v>1316</c:v>
                </c:pt>
                <c:pt idx="4" formatCode="0">
                  <c:v>1237.04</c:v>
                </c:pt>
                <c:pt idx="5" formatCode="0">
                  <c:v>1162.8175999999999</c:v>
                </c:pt>
                <c:pt idx="6" formatCode="0">
                  <c:v>1093.0485439999998</c:v>
                </c:pt>
                <c:pt idx="7" formatCode="0">
                  <c:v>1027.4656313599996</c:v>
                </c:pt>
                <c:pt idx="8" formatCode="0">
                  <c:v>965.81769347839963</c:v>
                </c:pt>
                <c:pt idx="9" formatCode="0">
                  <c:v>907.86863186969561</c:v>
                </c:pt>
                <c:pt idx="10" formatCode="0">
                  <c:v>853.39651395751378</c:v>
                </c:pt>
                <c:pt idx="11" formatCode="0">
                  <c:v>802.19272312006285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53D-44FE-84CD-C9B94698E245}"/>
            </c:ext>
          </c:extLst>
        </c:ser>
        <c:ser>
          <c:idx val="8"/>
          <c:order val="8"/>
          <c:tx>
            <c:strRef>
              <c:f>'Base scenario'!$B$12</c:f>
              <c:strCache>
                <c:ptCount val="1"/>
                <c:pt idx="0">
                  <c:v>Stationary Combustion - LPG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scenario'!$C$12:$N$12</c:f>
              <c:numCache>
                <c:formatCode>#,##0</c:formatCode>
                <c:ptCount val="12"/>
                <c:pt idx="0">
                  <c:v>1276</c:v>
                </c:pt>
                <c:pt idx="1">
                  <c:v>1116</c:v>
                </c:pt>
                <c:pt idx="2">
                  <c:v>1000</c:v>
                </c:pt>
                <c:pt idx="3">
                  <c:v>940</c:v>
                </c:pt>
                <c:pt idx="4">
                  <c:v>883.59999999999991</c:v>
                </c:pt>
                <c:pt idx="5">
                  <c:v>830.58399999999983</c:v>
                </c:pt>
                <c:pt idx="6">
                  <c:v>780.74895999999978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53D-44FE-84CD-C9B94698E245}"/>
            </c:ext>
          </c:extLst>
        </c:ser>
        <c:ser>
          <c:idx val="9"/>
          <c:order val="9"/>
          <c:tx>
            <c:strRef>
              <c:f>'Base scenario'!$B$13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00FF"/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scenario'!$C$13:$N$13</c:f>
              <c:numCache>
                <c:formatCode>#,##0</c:formatCode>
                <c:ptCount val="12"/>
                <c:pt idx="0">
                  <c:v>1602</c:v>
                </c:pt>
                <c:pt idx="1">
                  <c:v>1047.5</c:v>
                </c:pt>
                <c:pt idx="2">
                  <c:v>1272</c:v>
                </c:pt>
                <c:pt idx="3">
                  <c:v>1388.74</c:v>
                </c:pt>
                <c:pt idx="4">
                  <c:v>1414.5955999999999</c:v>
                </c:pt>
                <c:pt idx="5">
                  <c:v>1379.919864</c:v>
                </c:pt>
                <c:pt idx="6">
                  <c:v>1357.9246721599998</c:v>
                </c:pt>
                <c:pt idx="7">
                  <c:v>1255.9892750303998</c:v>
                </c:pt>
                <c:pt idx="8">
                  <c:v>1222.6299185285759</c:v>
                </c:pt>
                <c:pt idx="9">
                  <c:v>1191.2721234168612</c:v>
                </c:pt>
                <c:pt idx="10">
                  <c:v>1161.7957960118492</c:v>
                </c:pt>
                <c:pt idx="11">
                  <c:v>1134.0880482511386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3D-44FE-84CD-C9B94698E245}"/>
            </c:ext>
          </c:extLst>
        </c:ser>
        <c:ser>
          <c:idx val="11"/>
          <c:order val="10"/>
          <c:tx>
            <c:strRef>
              <c:f>'Base scenario'!$B$30</c:f>
              <c:strCache>
                <c:ptCount val="1"/>
                <c:pt idx="0">
                  <c:v>Insetting projects</c:v>
                </c:pt>
              </c:strCache>
            </c:strRef>
          </c:tx>
          <c:spPr>
            <a:solidFill>
              <a:srgbClr val="00CC00">
                <a:alpha val="60000"/>
              </a:srgbClr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scenario'!$C$30:$N$30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-1248</c:v>
                </c:pt>
                <c:pt idx="7">
                  <c:v>-1936</c:v>
                </c:pt>
                <c:pt idx="8">
                  <c:v>-3800</c:v>
                </c:pt>
                <c:pt idx="9">
                  <c:v>-6840</c:v>
                </c:pt>
                <c:pt idx="10">
                  <c:v>-15411</c:v>
                </c:pt>
                <c:pt idx="11">
                  <c:v>-17184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53D-44FE-84CD-C9B94698E245}"/>
            </c:ext>
          </c:extLst>
        </c:ser>
        <c:ser>
          <c:idx val="12"/>
          <c:order val="11"/>
          <c:tx>
            <c:strRef>
              <c:f>'Base scenario'!$B$31</c:f>
              <c:strCache>
                <c:ptCount val="1"/>
                <c:pt idx="0">
                  <c:v>Purchased offsets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'Base scenario'!$C$3:$P$3</c:f>
              <c:numCache>
                <c:formatCode>General</c:formatCode>
                <c:ptCount val="1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</c:numCache>
            </c:numRef>
          </c:cat>
          <c:val>
            <c:numRef>
              <c:f>'Base scenario'!$C$31:$N$31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3">
                  <c:v>-5480</c:v>
                </c:pt>
                <c:pt idx="4" formatCode="#,##0">
                  <c:v>-14480</c:v>
                </c:pt>
                <c:pt idx="5" formatCode="#,##0">
                  <c:v>-13940</c:v>
                </c:pt>
                <c:pt idx="6" formatCode="#,##0">
                  <c:v>-12692</c:v>
                </c:pt>
                <c:pt idx="7" formatCode="#,##0">
                  <c:v>-12004</c:v>
                </c:pt>
                <c:pt idx="8" formatCode="#,##0">
                  <c:v>-10140</c:v>
                </c:pt>
                <c:pt idx="9" formatCode="#,##0">
                  <c:v>-7100</c:v>
                </c:pt>
                <c:pt idx="10" formatCode="#,##0">
                  <c:v>-5047</c:v>
                </c:pt>
                <c:pt idx="11" formatCode="#,##0">
                  <c:v>-2500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53D-44FE-84CD-C9B94698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290554399"/>
        <c:axId val="2047866911"/>
      </c:barChart>
      <c:lineChart>
        <c:grouping val="standard"/>
        <c:varyColors val="0"/>
        <c:ser>
          <c:idx val="10"/>
          <c:order val="12"/>
          <c:tx>
            <c:strRef>
              <c:f>'Base scenario'!$B$34</c:f>
              <c:strCache>
                <c:ptCount val="1"/>
                <c:pt idx="0">
                  <c:v>Net emissions</c:v>
                </c:pt>
              </c:strCache>
            </c:strRef>
          </c:tx>
          <c:spPr>
            <a:ln w="57150" cap="rnd">
              <a:solidFill>
                <a:srgbClr val="FC3A56"/>
              </a:solidFill>
              <a:round/>
            </a:ln>
            <a:effectLst/>
          </c:spPr>
          <c:marker>
            <c:symbol val="none"/>
          </c:marker>
          <c:cat>
            <c:numRef>
              <c:f>'Base scenario'!$C$3:$N$3</c:f>
              <c:numCache>
                <c:formatCode>General</c:formatCode>
                <c:ptCount val="1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</c:numCache>
            </c:numRef>
          </c:cat>
          <c:val>
            <c:numRef>
              <c:f>'Base scenario'!$C$34:$N$34</c:f>
              <c:numCache>
                <c:formatCode>#,##0</c:formatCode>
                <c:ptCount val="12"/>
                <c:pt idx="0">
                  <c:v>44616</c:v>
                </c:pt>
                <c:pt idx="1">
                  <c:v>21578.45</c:v>
                </c:pt>
                <c:pt idx="2">
                  <c:v>25731</c:v>
                </c:pt>
                <c:pt idx="3">
                  <c:v>21259.74</c:v>
                </c:pt>
                <c:pt idx="4">
                  <c:v>13325.335600000002</c:v>
                </c:pt>
                <c:pt idx="5">
                  <c:v>12576.015463999996</c:v>
                </c:pt>
                <c:pt idx="6">
                  <c:v>11374.65453616</c:v>
                </c:pt>
                <c:pt idx="7">
                  <c:v>9430.2113247903981</c:v>
                </c:pt>
                <c:pt idx="8">
                  <c:v>8398.7986453029735</c:v>
                </c:pt>
                <c:pt idx="9">
                  <c:v>7429.270726584793</c:v>
                </c:pt>
                <c:pt idx="10">
                  <c:v>-8.551701030228287E-2</c:v>
                </c:pt>
                <c:pt idx="11">
                  <c:v>-82.760385989677161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D53D-44FE-84CD-C9B94698E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0554399"/>
        <c:axId val="2047866911"/>
      </c:lineChart>
      <c:catAx>
        <c:axId val="1290554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866911"/>
        <c:crosses val="autoZero"/>
        <c:auto val="1"/>
        <c:lblAlgn val="ctr"/>
        <c:lblOffset val="100"/>
        <c:noMultiLvlLbl val="0"/>
      </c:catAx>
      <c:valAx>
        <c:axId val="204786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0554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553057</xdr:colOff>
      <xdr:row>0</xdr:row>
      <xdr:rowOff>131380</xdr:rowOff>
    </xdr:from>
    <xdr:to>
      <xdr:col>39</xdr:col>
      <xdr:colOff>140138</xdr:colOff>
      <xdr:row>37</xdr:row>
      <xdr:rowOff>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3FE525-7036-49F3-BA6C-8D1355EA1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C28E7-5675-4D27-96B3-D9EB6087B14C}">
  <sheetPr>
    <outlinePr summaryBelow="0"/>
  </sheetPr>
  <dimension ref="A1:P34"/>
  <sheetViews>
    <sheetView tabSelected="1" zoomScale="87" zoomScaleNormal="100" workbookViewId="0">
      <selection activeCell="P34" sqref="P34"/>
    </sheetView>
  </sheetViews>
  <sheetFormatPr defaultRowHeight="15" outlineLevelRow="1" x14ac:dyDescent="0.25"/>
  <cols>
    <col min="1" max="1" width="11.5703125" customWidth="1"/>
    <col min="2" max="2" width="36.7109375" style="1" customWidth="1"/>
    <col min="14" max="14" width="11" bestFit="1" customWidth="1"/>
  </cols>
  <sheetData>
    <row r="1" spans="1:16" x14ac:dyDescent="0.25">
      <c r="A1" s="11" t="s">
        <v>83</v>
      </c>
    </row>
    <row r="2" spans="1:16" x14ac:dyDescent="0.25">
      <c r="A2" s="11"/>
    </row>
    <row r="3" spans="1:16" x14ac:dyDescent="0.25">
      <c r="A3" s="2"/>
      <c r="B3" s="3"/>
      <c r="C3" s="9">
        <v>2019</v>
      </c>
      <c r="D3" s="9">
        <v>2020</v>
      </c>
      <c r="E3" s="9">
        <v>2021</v>
      </c>
      <c r="F3" s="9">
        <v>2022</v>
      </c>
      <c r="G3" s="9">
        <v>2023</v>
      </c>
      <c r="H3" s="9">
        <v>2024</v>
      </c>
      <c r="I3" s="9">
        <v>2025</v>
      </c>
      <c r="J3" s="10">
        <v>2026</v>
      </c>
      <c r="K3" s="10">
        <v>2027</v>
      </c>
      <c r="L3" s="9">
        <v>2028</v>
      </c>
      <c r="M3" s="10">
        <v>2029</v>
      </c>
      <c r="N3" s="9">
        <v>2030</v>
      </c>
      <c r="O3" s="10">
        <v>2031</v>
      </c>
      <c r="P3" s="10">
        <v>2032</v>
      </c>
    </row>
    <row r="4" spans="1:16" x14ac:dyDescent="0.25">
      <c r="A4" s="9" t="s">
        <v>0</v>
      </c>
      <c r="B4" s="4" t="s">
        <v>29</v>
      </c>
      <c r="C4" s="5">
        <f>6394+3536+1102+632+230</f>
        <v>11894</v>
      </c>
      <c r="D4" s="5">
        <v>2555</v>
      </c>
      <c r="E4" s="5">
        <v>3713</v>
      </c>
      <c r="F4" s="7">
        <v>5480</v>
      </c>
      <c r="G4" s="7">
        <v>5480</v>
      </c>
      <c r="H4" s="7">
        <v>5480</v>
      </c>
      <c r="I4" s="7">
        <v>5480</v>
      </c>
      <c r="J4" s="7">
        <v>5480</v>
      </c>
      <c r="K4" s="7">
        <v>5480</v>
      </c>
      <c r="L4" s="7">
        <v>5480</v>
      </c>
      <c r="M4" s="7">
        <v>5480</v>
      </c>
      <c r="N4" s="7">
        <v>5480</v>
      </c>
      <c r="O4" s="7">
        <f>N4*0.94</f>
        <v>5151.2</v>
      </c>
      <c r="P4" s="7">
        <f>O4*0.94</f>
        <v>4842.1279999999997</v>
      </c>
    </row>
    <row r="5" spans="1:16" x14ac:dyDescent="0.25">
      <c r="A5" s="2"/>
      <c r="B5" s="4" t="s">
        <v>26</v>
      </c>
      <c r="C5" s="5">
        <v>9000</v>
      </c>
      <c r="D5" s="5">
        <v>4000</v>
      </c>
      <c r="E5" s="5">
        <v>6000</v>
      </c>
      <c r="F5" s="7">
        <v>7000</v>
      </c>
      <c r="G5" s="5">
        <v>9000</v>
      </c>
      <c r="H5" s="5">
        <f>G5*0.94</f>
        <v>8460</v>
      </c>
      <c r="I5" s="5">
        <f t="shared" ref="I5:P5" si="0">H5*0.94</f>
        <v>7952.4</v>
      </c>
      <c r="J5" s="5">
        <f t="shared" si="0"/>
        <v>7475.2559999999994</v>
      </c>
      <c r="K5" s="5">
        <f t="shared" si="0"/>
        <v>7026.7406399999991</v>
      </c>
      <c r="L5" s="5">
        <f t="shared" si="0"/>
        <v>6605.1362015999985</v>
      </c>
      <c r="M5" s="5">
        <f t="shared" si="0"/>
        <v>6208.8280295039986</v>
      </c>
      <c r="N5" s="5">
        <f t="shared" si="0"/>
        <v>5836.2983477337584</v>
      </c>
      <c r="O5" s="5">
        <f t="shared" si="0"/>
        <v>5486.1204468697324</v>
      </c>
      <c r="P5" s="5">
        <f t="shared" si="0"/>
        <v>5156.9532200575486</v>
      </c>
    </row>
    <row r="6" spans="1:16" x14ac:dyDescent="0.25">
      <c r="A6" s="2"/>
      <c r="B6" s="4" t="s">
        <v>2</v>
      </c>
      <c r="C6" s="5">
        <f>5257+263</f>
        <v>5520</v>
      </c>
      <c r="D6" s="5">
        <f>C6/12</f>
        <v>460</v>
      </c>
      <c r="E6" s="5">
        <f>D6*0.1</f>
        <v>46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</row>
    <row r="7" spans="1:16" x14ac:dyDescent="0.25">
      <c r="A7" s="2"/>
      <c r="B7" s="4" t="s">
        <v>20</v>
      </c>
      <c r="C7" s="5">
        <f>5082+351</f>
        <v>5433</v>
      </c>
      <c r="D7" s="5">
        <f>C7*0.8</f>
        <v>4346.4000000000005</v>
      </c>
      <c r="E7" s="5">
        <v>5000</v>
      </c>
      <c r="F7" s="12">
        <f>E7</f>
        <v>5000</v>
      </c>
      <c r="G7" s="12">
        <f t="shared" ref="G7:P9" si="1">F7*0.94</f>
        <v>4700</v>
      </c>
      <c r="H7" s="12">
        <f t="shared" si="1"/>
        <v>4418</v>
      </c>
      <c r="I7" s="12">
        <f t="shared" si="1"/>
        <v>4152.92</v>
      </c>
      <c r="J7" s="12">
        <f t="shared" si="1"/>
        <v>3903.7447999999999</v>
      </c>
      <c r="K7" s="12">
        <f t="shared" si="1"/>
        <v>3669.5201119999997</v>
      </c>
      <c r="L7" s="12">
        <f t="shared" si="1"/>
        <v>3449.3489052799996</v>
      </c>
      <c r="M7" s="12">
        <f t="shared" si="1"/>
        <v>3242.3879709631992</v>
      </c>
      <c r="N7" s="12">
        <f t="shared" si="1"/>
        <v>3047.8446927054069</v>
      </c>
      <c r="O7" s="12">
        <f>N7*0.8</f>
        <v>2438.2757541643255</v>
      </c>
      <c r="P7" s="12">
        <f>O7*0.8</f>
        <v>1950.6206033314604</v>
      </c>
    </row>
    <row r="8" spans="1:16" x14ac:dyDescent="0.25">
      <c r="A8" s="2"/>
      <c r="B8" s="4" t="s">
        <v>4</v>
      </c>
      <c r="C8" s="5">
        <v>4541</v>
      </c>
      <c r="D8" s="5">
        <f>C8*0.8</f>
        <v>3632.8</v>
      </c>
      <c r="E8" s="5">
        <v>4500</v>
      </c>
      <c r="F8" s="7">
        <f>E8*0.89</f>
        <v>4005</v>
      </c>
      <c r="G8" s="12">
        <f>F8*0.94</f>
        <v>3764.7</v>
      </c>
      <c r="H8" s="12">
        <f t="shared" si="1"/>
        <v>3538.8179999999998</v>
      </c>
      <c r="I8" s="12">
        <f t="shared" si="1"/>
        <v>3326.4889199999998</v>
      </c>
      <c r="J8" s="12">
        <f t="shared" si="1"/>
        <v>3126.8995847999995</v>
      </c>
      <c r="K8" s="12">
        <f t="shared" si="1"/>
        <v>2939.2856097119993</v>
      </c>
      <c r="L8" s="12">
        <f t="shared" si="1"/>
        <v>2762.9284731292792</v>
      </c>
      <c r="M8" s="12">
        <f t="shared" si="1"/>
        <v>2597.1527647415223</v>
      </c>
      <c r="N8" s="12">
        <f t="shared" si="1"/>
        <v>2441.3235988570309</v>
      </c>
      <c r="O8" s="12">
        <f t="shared" si="1"/>
        <v>2294.8441829256089</v>
      </c>
      <c r="P8" s="12">
        <f t="shared" si="1"/>
        <v>2157.1535319500722</v>
      </c>
    </row>
    <row r="9" spans="1:16" x14ac:dyDescent="0.25">
      <c r="A9" s="2"/>
      <c r="B9" s="4" t="s">
        <v>5</v>
      </c>
      <c r="C9" s="5">
        <f>2232+118+7</f>
        <v>2357</v>
      </c>
      <c r="D9" s="5">
        <f>C9*0.75</f>
        <v>1767.75</v>
      </c>
      <c r="E9" s="5">
        <v>1500</v>
      </c>
      <c r="F9" s="12">
        <f>E9*0.94</f>
        <v>1410</v>
      </c>
      <c r="G9" s="12">
        <f t="shared" ref="G9:N9" si="2">F9*0.94</f>
        <v>1325.3999999999999</v>
      </c>
      <c r="H9" s="12">
        <f t="shared" si="2"/>
        <v>1245.8759999999997</v>
      </c>
      <c r="I9" s="12">
        <f t="shared" si="2"/>
        <v>1171.1234399999996</v>
      </c>
      <c r="J9" s="12">
        <f t="shared" si="2"/>
        <v>1100.8560335999996</v>
      </c>
      <c r="K9" s="12">
        <f t="shared" si="2"/>
        <v>1034.8046715839996</v>
      </c>
      <c r="L9" s="12">
        <f t="shared" si="2"/>
        <v>972.71639128895958</v>
      </c>
      <c r="M9" s="12">
        <f t="shared" si="2"/>
        <v>914.35340781162199</v>
      </c>
      <c r="N9" s="12">
        <f t="shared" si="2"/>
        <v>859.49220334292465</v>
      </c>
      <c r="O9" s="12">
        <f t="shared" si="1"/>
        <v>807.92267114234915</v>
      </c>
      <c r="P9" s="12">
        <f t="shared" si="1"/>
        <v>759.44731087380819</v>
      </c>
    </row>
    <row r="10" spans="1:16" x14ac:dyDescent="0.25">
      <c r="A10" s="2"/>
      <c r="B10" s="4" t="s">
        <v>30</v>
      </c>
      <c r="C10" s="5">
        <v>1559</v>
      </c>
      <c r="D10" s="5">
        <v>1384</v>
      </c>
      <c r="E10" s="5">
        <v>1300</v>
      </c>
      <c r="F10" s="7">
        <v>200</v>
      </c>
      <c r="G10" s="5">
        <v>0</v>
      </c>
      <c r="H10" s="5">
        <v>0</v>
      </c>
      <c r="I10" s="7">
        <v>0</v>
      </c>
      <c r="J10" s="5">
        <v>0</v>
      </c>
      <c r="K10" s="5">
        <v>0</v>
      </c>
      <c r="L10" s="7">
        <v>0</v>
      </c>
      <c r="M10" s="5">
        <v>0</v>
      </c>
      <c r="N10" s="7">
        <v>0</v>
      </c>
      <c r="O10" s="7">
        <v>0</v>
      </c>
      <c r="P10" s="7">
        <v>0</v>
      </c>
    </row>
    <row r="11" spans="1:16" x14ac:dyDescent="0.25">
      <c r="A11" s="2"/>
      <c r="B11" s="4" t="s">
        <v>11</v>
      </c>
      <c r="C11" s="5">
        <v>1434</v>
      </c>
      <c r="D11" s="5">
        <v>1269</v>
      </c>
      <c r="E11" s="5">
        <v>1400</v>
      </c>
      <c r="F11" s="12">
        <f>E11*0.94</f>
        <v>1316</v>
      </c>
      <c r="G11" s="12">
        <f t="shared" ref="G11:N12" si="3">F11*0.94</f>
        <v>1237.04</v>
      </c>
      <c r="H11" s="12">
        <f t="shared" si="3"/>
        <v>1162.8175999999999</v>
      </c>
      <c r="I11" s="12">
        <f t="shared" si="3"/>
        <v>1093.0485439999998</v>
      </c>
      <c r="J11" s="12">
        <f t="shared" si="3"/>
        <v>1027.4656313599996</v>
      </c>
      <c r="K11" s="12">
        <f t="shared" si="3"/>
        <v>965.81769347839963</v>
      </c>
      <c r="L11" s="12">
        <f t="shared" si="3"/>
        <v>907.86863186969561</v>
      </c>
      <c r="M11" s="12">
        <f t="shared" si="3"/>
        <v>853.39651395751378</v>
      </c>
      <c r="N11" s="12">
        <f t="shared" si="3"/>
        <v>802.19272312006285</v>
      </c>
      <c r="O11" s="12">
        <f>N11*0.9</f>
        <v>721.97345080805655</v>
      </c>
      <c r="P11" s="12">
        <f>O11*0.9</f>
        <v>649.77610572725087</v>
      </c>
    </row>
    <row r="12" spans="1:16" x14ac:dyDescent="0.25">
      <c r="A12" s="2"/>
      <c r="B12" s="4" t="s">
        <v>10</v>
      </c>
      <c r="C12" s="5">
        <v>1276</v>
      </c>
      <c r="D12" s="5">
        <v>1116</v>
      </c>
      <c r="E12" s="5">
        <v>1000</v>
      </c>
      <c r="F12" s="5">
        <f>E12*0.94</f>
        <v>940</v>
      </c>
      <c r="G12" s="5">
        <f t="shared" si="3"/>
        <v>883.59999999999991</v>
      </c>
      <c r="H12" s="5">
        <f t="shared" si="3"/>
        <v>830.58399999999983</v>
      </c>
      <c r="I12" s="5">
        <f t="shared" si="3"/>
        <v>780.74895999999978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</row>
    <row r="13" spans="1:16" collapsed="1" x14ac:dyDescent="0.25">
      <c r="A13" s="2"/>
      <c r="B13" s="4" t="s">
        <v>21</v>
      </c>
      <c r="C13" s="5">
        <f t="shared" ref="C13:P13" si="4">SUM(C14:C23)</f>
        <v>1602</v>
      </c>
      <c r="D13" s="5">
        <f t="shared" si="4"/>
        <v>1047.5</v>
      </c>
      <c r="E13" s="5">
        <f t="shared" si="4"/>
        <v>1272</v>
      </c>
      <c r="F13" s="5">
        <f t="shared" si="4"/>
        <v>1388.74</v>
      </c>
      <c r="G13" s="5">
        <f t="shared" si="4"/>
        <v>1414.5955999999999</v>
      </c>
      <c r="H13" s="5">
        <f t="shared" si="4"/>
        <v>1379.919864</v>
      </c>
      <c r="I13" s="5">
        <f t="shared" si="4"/>
        <v>1357.9246721599998</v>
      </c>
      <c r="J13" s="5">
        <f t="shared" si="4"/>
        <v>1255.9892750303998</v>
      </c>
      <c r="K13" s="5">
        <f t="shared" si="4"/>
        <v>1222.6299185285759</v>
      </c>
      <c r="L13" s="5">
        <f t="shared" si="4"/>
        <v>1191.2721234168612</v>
      </c>
      <c r="M13" s="5">
        <f t="shared" si="4"/>
        <v>1161.7957960118492</v>
      </c>
      <c r="N13" s="5">
        <f t="shared" si="4"/>
        <v>1134.0880482511386</v>
      </c>
      <c r="O13" s="5">
        <f t="shared" si="4"/>
        <v>1099.2896623394129</v>
      </c>
      <c r="P13" s="5">
        <f t="shared" si="4"/>
        <v>1067.6144898840566</v>
      </c>
    </row>
    <row r="14" spans="1:16" hidden="1" outlineLevel="1" x14ac:dyDescent="0.25">
      <c r="A14" s="2"/>
      <c r="B14" s="14" t="s">
        <v>22</v>
      </c>
      <c r="C14" s="15">
        <v>200</v>
      </c>
      <c r="D14" s="15">
        <v>200</v>
      </c>
      <c r="E14" s="15">
        <v>200</v>
      </c>
      <c r="F14" s="15">
        <v>200</v>
      </c>
      <c r="G14" s="15">
        <v>150</v>
      </c>
      <c r="H14" s="15">
        <v>150</v>
      </c>
      <c r="I14" s="15">
        <v>150</v>
      </c>
      <c r="J14" s="15">
        <v>150</v>
      </c>
      <c r="K14" s="15">
        <v>150</v>
      </c>
      <c r="L14" s="15">
        <v>150</v>
      </c>
      <c r="M14" s="15">
        <v>150</v>
      </c>
      <c r="N14" s="15">
        <v>150</v>
      </c>
      <c r="O14" s="15">
        <v>151</v>
      </c>
      <c r="P14" s="15">
        <v>152</v>
      </c>
    </row>
    <row r="15" spans="1:16" hidden="1" outlineLevel="1" x14ac:dyDescent="0.25">
      <c r="A15" s="2"/>
      <c r="B15" s="14" t="s">
        <v>9</v>
      </c>
      <c r="C15" s="16">
        <v>269</v>
      </c>
      <c r="D15" s="16">
        <f>C15/10</f>
        <v>26.9</v>
      </c>
      <c r="E15" s="16">
        <v>100</v>
      </c>
      <c r="F15" s="17">
        <f>C15*0.46</f>
        <v>123.74000000000001</v>
      </c>
      <c r="G15" s="18">
        <f>F15*0.94</f>
        <v>116.3156</v>
      </c>
      <c r="H15" s="18">
        <f t="shared" ref="H15:P15" si="5">G15*0.94</f>
        <v>109.336664</v>
      </c>
      <c r="I15" s="18">
        <f t="shared" si="5"/>
        <v>102.77646415999999</v>
      </c>
      <c r="J15" s="18">
        <f t="shared" si="5"/>
        <v>96.609876310399983</v>
      </c>
      <c r="K15" s="18">
        <f t="shared" si="5"/>
        <v>90.813283731775982</v>
      </c>
      <c r="L15" s="18">
        <f t="shared" si="5"/>
        <v>85.364486707869418</v>
      </c>
      <c r="M15" s="18">
        <f t="shared" si="5"/>
        <v>80.242617505397249</v>
      </c>
      <c r="N15" s="18">
        <f t="shared" si="5"/>
        <v>75.428060455073407</v>
      </c>
      <c r="O15" s="18">
        <f t="shared" si="5"/>
        <v>70.902376827769004</v>
      </c>
      <c r="P15" s="18">
        <f t="shared" si="5"/>
        <v>66.648234218102857</v>
      </c>
    </row>
    <row r="16" spans="1:16" hidden="1" outlineLevel="1" x14ac:dyDescent="0.25">
      <c r="A16" s="2"/>
      <c r="B16" s="14" t="s">
        <v>7</v>
      </c>
      <c r="C16" s="16">
        <f>273+14</f>
        <v>287</v>
      </c>
      <c r="D16" s="16">
        <f>C16*0.8</f>
        <v>229.60000000000002</v>
      </c>
      <c r="E16" s="16">
        <v>250</v>
      </c>
      <c r="F16" s="15">
        <v>287</v>
      </c>
      <c r="G16" s="15">
        <v>400</v>
      </c>
      <c r="H16" s="16">
        <v>400</v>
      </c>
      <c r="I16" s="15">
        <v>400</v>
      </c>
      <c r="J16" s="15">
        <v>400</v>
      </c>
      <c r="K16" s="15">
        <v>400</v>
      </c>
      <c r="L16" s="15">
        <v>400</v>
      </c>
      <c r="M16" s="15">
        <v>400</v>
      </c>
      <c r="N16" s="15">
        <v>400</v>
      </c>
      <c r="O16" s="15">
        <v>400</v>
      </c>
      <c r="P16" s="15">
        <v>400</v>
      </c>
    </row>
    <row r="17" spans="1:16" hidden="1" outlineLevel="1" x14ac:dyDescent="0.25">
      <c r="A17" s="2"/>
      <c r="B17" s="14" t="s">
        <v>8</v>
      </c>
      <c r="C17" s="16">
        <f>142+82</f>
        <v>224</v>
      </c>
      <c r="D17" s="16">
        <f>C17/10</f>
        <v>22.4</v>
      </c>
      <c r="E17" s="16">
        <v>100</v>
      </c>
      <c r="F17" s="15">
        <v>150</v>
      </c>
      <c r="G17" s="17">
        <f>F17*0.94</f>
        <v>141</v>
      </c>
      <c r="H17" s="17">
        <f t="shared" ref="H17:P18" si="6">G17*0.94</f>
        <v>132.54</v>
      </c>
      <c r="I17" s="17">
        <f t="shared" si="6"/>
        <v>124.58759999999998</v>
      </c>
      <c r="J17" s="17">
        <f t="shared" si="6"/>
        <v>117.11234399999998</v>
      </c>
      <c r="K17" s="17">
        <f t="shared" si="6"/>
        <v>110.08560335999998</v>
      </c>
      <c r="L17" s="17">
        <f t="shared" si="6"/>
        <v>103.48046715839997</v>
      </c>
      <c r="M17" s="17">
        <f t="shared" si="6"/>
        <v>97.27163912889597</v>
      </c>
      <c r="N17" s="17">
        <f t="shared" si="6"/>
        <v>91.435340781162211</v>
      </c>
      <c r="O17" s="17">
        <f>N17*0.9</f>
        <v>82.291806703045992</v>
      </c>
      <c r="P17" s="17">
        <f>O17*0.9</f>
        <v>74.062626032741392</v>
      </c>
    </row>
    <row r="18" spans="1:16" hidden="1" outlineLevel="1" x14ac:dyDescent="0.25">
      <c r="A18" s="2"/>
      <c r="B18" s="14" t="s">
        <v>16</v>
      </c>
      <c r="C18" s="16">
        <v>106</v>
      </c>
      <c r="D18" s="16">
        <v>100</v>
      </c>
      <c r="E18" s="16">
        <v>100</v>
      </c>
      <c r="F18" s="16">
        <v>100</v>
      </c>
      <c r="G18" s="16">
        <v>100</v>
      </c>
      <c r="H18" s="18">
        <f>G18*0.94</f>
        <v>94</v>
      </c>
      <c r="I18" s="18">
        <f t="shared" si="6"/>
        <v>88.36</v>
      </c>
      <c r="J18" s="18">
        <f t="shared" si="6"/>
        <v>83.058399999999992</v>
      </c>
      <c r="K18" s="18">
        <f t="shared" si="6"/>
        <v>78.074895999999981</v>
      </c>
      <c r="L18" s="18">
        <f t="shared" si="6"/>
        <v>73.390402239999972</v>
      </c>
      <c r="M18" s="18">
        <f t="shared" si="6"/>
        <v>68.986978105599974</v>
      </c>
      <c r="N18" s="18">
        <f t="shared" si="6"/>
        <v>64.847759419263966</v>
      </c>
      <c r="O18" s="18">
        <f t="shared" si="6"/>
        <v>60.956893854108124</v>
      </c>
      <c r="P18" s="18">
        <f t="shared" si="6"/>
        <v>57.299480222861632</v>
      </c>
    </row>
    <row r="19" spans="1:16" hidden="1" outlineLevel="1" x14ac:dyDescent="0.25">
      <c r="A19" s="2"/>
      <c r="B19" s="14" t="s">
        <v>3</v>
      </c>
      <c r="C19" s="16">
        <f>100+95+31+17</f>
        <v>243</v>
      </c>
      <c r="D19" s="16">
        <v>227</v>
      </c>
      <c r="E19" s="16">
        <v>250</v>
      </c>
      <c r="F19" s="16">
        <v>250</v>
      </c>
      <c r="G19" s="18">
        <f>F19*0.94</f>
        <v>235</v>
      </c>
      <c r="H19" s="18">
        <f t="shared" ref="H19:N19" si="7">G19*0.94</f>
        <v>220.89999999999998</v>
      </c>
      <c r="I19" s="18">
        <f t="shared" si="7"/>
        <v>207.64599999999996</v>
      </c>
      <c r="J19" s="18">
        <f t="shared" si="7"/>
        <v>195.18723999999995</v>
      </c>
      <c r="K19" s="18">
        <f t="shared" si="7"/>
        <v>183.47600559999995</v>
      </c>
      <c r="L19" s="18">
        <f t="shared" si="7"/>
        <v>172.46744526399993</v>
      </c>
      <c r="M19" s="18">
        <f t="shared" si="7"/>
        <v>162.11939854815992</v>
      </c>
      <c r="N19" s="18">
        <f t="shared" si="7"/>
        <v>152.39223463527031</v>
      </c>
      <c r="O19" s="18">
        <f>N19*0.9</f>
        <v>137.15301117174329</v>
      </c>
      <c r="P19" s="18">
        <f>O19*0.9</f>
        <v>123.43771005456897</v>
      </c>
    </row>
    <row r="20" spans="1:16" hidden="1" outlineLevel="1" x14ac:dyDescent="0.25">
      <c r="A20" s="2"/>
      <c r="B20" s="14" t="s">
        <v>15</v>
      </c>
      <c r="C20" s="16">
        <v>66</v>
      </c>
      <c r="D20" s="16">
        <v>64</v>
      </c>
      <c r="E20" s="16">
        <v>60</v>
      </c>
      <c r="F20" s="15">
        <v>66</v>
      </c>
      <c r="G20" s="16">
        <v>70</v>
      </c>
      <c r="H20" s="16">
        <v>80</v>
      </c>
      <c r="I20" s="15">
        <v>100</v>
      </c>
      <c r="J20" s="16">
        <v>100</v>
      </c>
      <c r="K20" s="16">
        <v>100</v>
      </c>
      <c r="L20" s="15">
        <v>100</v>
      </c>
      <c r="M20" s="16">
        <v>100</v>
      </c>
      <c r="N20" s="15">
        <v>100</v>
      </c>
      <c r="O20" s="15">
        <v>100</v>
      </c>
      <c r="P20" s="15">
        <v>100</v>
      </c>
    </row>
    <row r="21" spans="1:16" hidden="1" outlineLevel="1" x14ac:dyDescent="0.25">
      <c r="A21" s="2"/>
      <c r="B21" s="14" t="s">
        <v>14</v>
      </c>
      <c r="C21" s="16">
        <v>82</v>
      </c>
      <c r="D21" s="16">
        <f>C21</f>
        <v>82</v>
      </c>
      <c r="E21" s="16">
        <f>D21</f>
        <v>82</v>
      </c>
      <c r="F21" s="15">
        <v>82</v>
      </c>
      <c r="G21" s="17">
        <f>F21*0.94</f>
        <v>77.08</v>
      </c>
      <c r="H21" s="17">
        <f t="shared" ref="H21:P22" si="8">G21*0.94</f>
        <v>72.455199999999991</v>
      </c>
      <c r="I21" s="17">
        <f t="shared" si="8"/>
        <v>68.107887999999988</v>
      </c>
      <c r="J21" s="17">
        <f t="shared" si="8"/>
        <v>64.021414719999981</v>
      </c>
      <c r="K21" s="17">
        <f t="shared" si="8"/>
        <v>60.180129836799978</v>
      </c>
      <c r="L21" s="17">
        <f t="shared" si="8"/>
        <v>56.569322046591978</v>
      </c>
      <c r="M21" s="17">
        <f t="shared" si="8"/>
        <v>53.175162723796454</v>
      </c>
      <c r="N21" s="17">
        <f t="shared" si="8"/>
        <v>49.984652960368663</v>
      </c>
      <c r="O21" s="17">
        <f t="shared" si="8"/>
        <v>46.985573782746542</v>
      </c>
      <c r="P21" s="17">
        <f t="shared" si="8"/>
        <v>44.166439355781748</v>
      </c>
    </row>
    <row r="22" spans="1:16" hidden="1" outlineLevel="1" x14ac:dyDescent="0.25">
      <c r="A22" s="2"/>
      <c r="B22" s="14" t="s">
        <v>13</v>
      </c>
      <c r="C22" s="16">
        <v>78</v>
      </c>
      <c r="D22" s="16">
        <v>58</v>
      </c>
      <c r="E22" s="16">
        <v>80</v>
      </c>
      <c r="F22" s="16">
        <v>80</v>
      </c>
      <c r="G22" s="18">
        <f>F22*0.94</f>
        <v>75.199999999999989</v>
      </c>
      <c r="H22" s="18">
        <f t="shared" si="8"/>
        <v>70.687999999999988</v>
      </c>
      <c r="I22" s="18">
        <f t="shared" si="8"/>
        <v>66.446719999999985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</row>
    <row r="23" spans="1:16" hidden="1" outlineLevel="1" x14ac:dyDescent="0.25">
      <c r="A23" s="2"/>
      <c r="B23" s="14" t="s">
        <v>12</v>
      </c>
      <c r="C23" s="16">
        <v>47</v>
      </c>
      <c r="D23" s="16">
        <f>47*0.8</f>
        <v>37.6</v>
      </c>
      <c r="E23" s="16">
        <v>50</v>
      </c>
      <c r="F23" s="16">
        <v>50</v>
      </c>
      <c r="G23" s="16">
        <v>50</v>
      </c>
      <c r="H23" s="16">
        <v>50</v>
      </c>
      <c r="I23" s="16">
        <v>50</v>
      </c>
      <c r="J23" s="16">
        <v>50</v>
      </c>
      <c r="K23" s="16">
        <v>50</v>
      </c>
      <c r="L23" s="16">
        <v>50</v>
      </c>
      <c r="M23" s="16">
        <v>50</v>
      </c>
      <c r="N23" s="16">
        <v>50</v>
      </c>
      <c r="O23" s="16">
        <v>50</v>
      </c>
      <c r="P23" s="16">
        <v>50</v>
      </c>
    </row>
    <row r="24" spans="1:16" hidden="1" outlineLevel="1" x14ac:dyDescent="0.25">
      <c r="A24" s="2"/>
      <c r="B24" s="14" t="s">
        <v>6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</row>
    <row r="25" spans="1:16" x14ac:dyDescent="0.25">
      <c r="A25" t="s">
        <v>19</v>
      </c>
      <c r="C25" s="6">
        <f t="shared" ref="C25:P25" si="9">SUM(C4:C13)</f>
        <v>44616</v>
      </c>
      <c r="D25" s="13">
        <f t="shared" si="9"/>
        <v>21578.45</v>
      </c>
      <c r="E25" s="6">
        <f t="shared" si="9"/>
        <v>25731</v>
      </c>
      <c r="F25" s="6">
        <f t="shared" si="9"/>
        <v>26739.74</v>
      </c>
      <c r="G25" s="6">
        <f t="shared" si="9"/>
        <v>27805.335600000002</v>
      </c>
      <c r="H25" s="6">
        <f t="shared" si="9"/>
        <v>26516.015463999996</v>
      </c>
      <c r="I25" s="6">
        <f t="shared" si="9"/>
        <v>25314.65453616</v>
      </c>
      <c r="J25" s="6">
        <f t="shared" si="9"/>
        <v>23370.211324790398</v>
      </c>
      <c r="K25" s="6">
        <f t="shared" si="9"/>
        <v>22338.798645302973</v>
      </c>
      <c r="L25" s="6">
        <f t="shared" si="9"/>
        <v>21369.270726584793</v>
      </c>
      <c r="M25" s="6">
        <f t="shared" si="9"/>
        <v>20457.914482989698</v>
      </c>
      <c r="N25" s="6">
        <f t="shared" si="9"/>
        <v>19601.239614010323</v>
      </c>
      <c r="O25" s="6">
        <f t="shared" si="9"/>
        <v>17999.626168249484</v>
      </c>
      <c r="P25" s="6">
        <f t="shared" si="9"/>
        <v>16583.693261824199</v>
      </c>
    </row>
    <row r="26" spans="1:16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 t="s">
        <v>1</v>
      </c>
    </row>
    <row r="28" spans="1:16" hidden="1" x14ac:dyDescent="0.25">
      <c r="A28" s="2"/>
      <c r="B28" s="4" t="s">
        <v>17</v>
      </c>
      <c r="C28" s="2">
        <v>0</v>
      </c>
      <c r="D28" s="2">
        <v>0</v>
      </c>
      <c r="E28" s="2">
        <v>0</v>
      </c>
      <c r="F28" s="2">
        <f>0</f>
        <v>0</v>
      </c>
      <c r="G28" s="7">
        <v>0</v>
      </c>
      <c r="H28" s="7">
        <v>0</v>
      </c>
      <c r="I28" s="2">
        <v>-1248</v>
      </c>
      <c r="J28" s="7">
        <v>-1936</v>
      </c>
      <c r="K28" s="7">
        <v>-2800</v>
      </c>
      <c r="L28" s="2">
        <v>-3840</v>
      </c>
      <c r="M28" s="7">
        <v>-5056</v>
      </c>
      <c r="N28" s="7">
        <v>-5184</v>
      </c>
      <c r="O28" s="7">
        <v>-6032</v>
      </c>
      <c r="P28" s="7">
        <v>-6848</v>
      </c>
    </row>
    <row r="29" spans="1:16" hidden="1" x14ac:dyDescent="0.25">
      <c r="A29" s="2"/>
      <c r="B29" s="4" t="s">
        <v>18</v>
      </c>
      <c r="C29">
        <v>0</v>
      </c>
      <c r="F29">
        <v>0</v>
      </c>
      <c r="I29">
        <v>0</v>
      </c>
      <c r="J29">
        <v>0</v>
      </c>
      <c r="K29">
        <v>-1000</v>
      </c>
      <c r="L29">
        <v>-3000</v>
      </c>
      <c r="M29">
        <v>-10355</v>
      </c>
      <c r="N29">
        <v>-12000</v>
      </c>
      <c r="O29">
        <v>-13000</v>
      </c>
      <c r="P29">
        <v>-15000</v>
      </c>
    </row>
    <row r="30" spans="1:16" x14ac:dyDescent="0.25">
      <c r="A30" s="2"/>
      <c r="B30" s="4" t="s">
        <v>31</v>
      </c>
      <c r="C30">
        <f>SUM(C28:C29)</f>
        <v>0</v>
      </c>
      <c r="D30">
        <f t="shared" ref="D30:N30" si="10">SUM(D28:D29)</f>
        <v>0</v>
      </c>
      <c r="E30">
        <f t="shared" si="10"/>
        <v>0</v>
      </c>
      <c r="F30">
        <f t="shared" si="10"/>
        <v>0</v>
      </c>
      <c r="G30">
        <f t="shared" si="10"/>
        <v>0</v>
      </c>
      <c r="H30">
        <f t="shared" si="10"/>
        <v>0</v>
      </c>
      <c r="I30">
        <f t="shared" si="10"/>
        <v>-1248</v>
      </c>
      <c r="J30">
        <f t="shared" si="10"/>
        <v>-1936</v>
      </c>
      <c r="K30">
        <f t="shared" si="10"/>
        <v>-3800</v>
      </c>
      <c r="L30">
        <f t="shared" si="10"/>
        <v>-6840</v>
      </c>
      <c r="M30">
        <f t="shared" si="10"/>
        <v>-15411</v>
      </c>
      <c r="N30">
        <f t="shared" si="10"/>
        <v>-17184</v>
      </c>
      <c r="O30">
        <f>SUM(O28:O29)</f>
        <v>-19032</v>
      </c>
      <c r="P30">
        <f t="shared" ref="P30" si="11">SUM(P28:P29)</f>
        <v>-21848</v>
      </c>
    </row>
    <row r="31" spans="1:16" x14ac:dyDescent="0.25">
      <c r="A31" s="2"/>
      <c r="B31" s="4" t="s">
        <v>25</v>
      </c>
      <c r="C31">
        <v>0</v>
      </c>
      <c r="D31">
        <v>0</v>
      </c>
      <c r="F31">
        <f>-F4</f>
        <v>-5480</v>
      </c>
      <c r="G31" s="8">
        <f>-G4-G5</f>
        <v>-14480</v>
      </c>
      <c r="H31" s="8">
        <f>-H4-H5</f>
        <v>-13940</v>
      </c>
      <c r="I31" s="8">
        <f>$H$31-I30</f>
        <v>-12692</v>
      </c>
      <c r="J31" s="8">
        <f>$H$31-J30</f>
        <v>-12004</v>
      </c>
      <c r="K31" s="8">
        <f>$H$31-K30</f>
        <v>-10140</v>
      </c>
      <c r="L31" s="8">
        <f>$H$31-L30</f>
        <v>-7100</v>
      </c>
      <c r="M31" s="8">
        <v>-5047</v>
      </c>
      <c r="N31" s="8">
        <v>-2500</v>
      </c>
      <c r="O31" s="8">
        <v>0</v>
      </c>
      <c r="P31" s="8">
        <v>0</v>
      </c>
    </row>
    <row r="32" spans="1:16" x14ac:dyDescent="0.25">
      <c r="B32" s="4" t="s">
        <v>24</v>
      </c>
      <c r="C32">
        <f>SUM(C30:C31)</f>
        <v>0</v>
      </c>
      <c r="D32">
        <f t="shared" ref="D32:P32" si="12">SUM(D30:D31)</f>
        <v>0</v>
      </c>
      <c r="E32">
        <f t="shared" si="12"/>
        <v>0</v>
      </c>
      <c r="F32">
        <f t="shared" si="12"/>
        <v>-5480</v>
      </c>
      <c r="G32">
        <f t="shared" si="12"/>
        <v>-14480</v>
      </c>
      <c r="H32">
        <f t="shared" si="12"/>
        <v>-13940</v>
      </c>
      <c r="I32">
        <f t="shared" si="12"/>
        <v>-13940</v>
      </c>
      <c r="J32">
        <f t="shared" si="12"/>
        <v>-13940</v>
      </c>
      <c r="K32">
        <f t="shared" si="12"/>
        <v>-13940</v>
      </c>
      <c r="L32">
        <f t="shared" si="12"/>
        <v>-13940</v>
      </c>
      <c r="M32">
        <f t="shared" si="12"/>
        <v>-20458</v>
      </c>
      <c r="N32">
        <f t="shared" si="12"/>
        <v>-19684</v>
      </c>
      <c r="O32">
        <f t="shared" si="12"/>
        <v>-19032</v>
      </c>
      <c r="P32">
        <f t="shared" si="12"/>
        <v>-21848</v>
      </c>
    </row>
    <row r="34" spans="2:16" x14ac:dyDescent="0.25">
      <c r="B34" s="4" t="s">
        <v>23</v>
      </c>
      <c r="C34" s="8">
        <f>C25</f>
        <v>44616</v>
      </c>
      <c r="D34" s="8">
        <f t="shared" ref="D34:P34" si="13">D25+D32</f>
        <v>21578.45</v>
      </c>
      <c r="E34" s="8">
        <f t="shared" si="13"/>
        <v>25731</v>
      </c>
      <c r="F34" s="8">
        <f t="shared" si="13"/>
        <v>21259.74</v>
      </c>
      <c r="G34" s="8">
        <f t="shared" si="13"/>
        <v>13325.335600000002</v>
      </c>
      <c r="H34" s="8">
        <f t="shared" si="13"/>
        <v>12576.015463999996</v>
      </c>
      <c r="I34" s="8">
        <f t="shared" si="13"/>
        <v>11374.65453616</v>
      </c>
      <c r="J34" s="8">
        <f t="shared" si="13"/>
        <v>9430.2113247903981</v>
      </c>
      <c r="K34" s="8">
        <f t="shared" si="13"/>
        <v>8398.7986453029735</v>
      </c>
      <c r="L34" s="8">
        <f t="shared" si="13"/>
        <v>7429.270726584793</v>
      </c>
      <c r="M34" s="8">
        <f t="shared" si="13"/>
        <v>-8.551701030228287E-2</v>
      </c>
      <c r="N34" s="8">
        <f t="shared" si="13"/>
        <v>-82.760385989677161</v>
      </c>
      <c r="O34" s="8">
        <f t="shared" si="13"/>
        <v>-1032.3738317505158</v>
      </c>
      <c r="P34" s="8">
        <f t="shared" si="13"/>
        <v>-5264.306738175801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4B582-743B-4BCC-9B8A-536EF276FD54}">
  <dimension ref="A1:G17"/>
  <sheetViews>
    <sheetView workbookViewId="0">
      <selection activeCell="A7" sqref="A7"/>
    </sheetView>
  </sheetViews>
  <sheetFormatPr defaultRowHeight="15" x14ac:dyDescent="0.25"/>
  <cols>
    <col min="1" max="1" width="35" bestFit="1" customWidth="1"/>
    <col min="2" max="2" width="13" customWidth="1"/>
    <col min="3" max="3" width="23.5703125" customWidth="1"/>
    <col min="4" max="4" width="44.7109375" bestFit="1" customWidth="1"/>
    <col min="5" max="5" width="26.7109375" bestFit="1" customWidth="1"/>
    <col min="7" max="7" width="22.28515625" customWidth="1"/>
  </cols>
  <sheetData>
    <row r="1" spans="1:7" s="11" customFormat="1" x14ac:dyDescent="0.25">
      <c r="A1" s="11" t="s">
        <v>63</v>
      </c>
      <c r="B1" s="11" t="s">
        <v>64</v>
      </c>
      <c r="C1" s="11" t="s">
        <v>33</v>
      </c>
      <c r="D1" s="11" t="s">
        <v>37</v>
      </c>
      <c r="E1" s="11" t="s">
        <v>39</v>
      </c>
    </row>
    <row r="2" spans="1:7" x14ac:dyDescent="0.25">
      <c r="A2" t="s">
        <v>27</v>
      </c>
      <c r="B2" t="s">
        <v>42</v>
      </c>
      <c r="C2" s="19" t="s">
        <v>34</v>
      </c>
      <c r="D2" t="s">
        <v>38</v>
      </c>
      <c r="E2" t="s">
        <v>40</v>
      </c>
    </row>
    <row r="3" spans="1:7" x14ac:dyDescent="0.25">
      <c r="A3" t="s">
        <v>35</v>
      </c>
      <c r="B3" t="s">
        <v>42</v>
      </c>
      <c r="C3" t="s">
        <v>36</v>
      </c>
      <c r="D3" t="s">
        <v>38</v>
      </c>
      <c r="E3" t="s">
        <v>41</v>
      </c>
    </row>
    <row r="4" spans="1:7" x14ac:dyDescent="0.25">
      <c r="A4" t="s">
        <v>43</v>
      </c>
      <c r="B4" t="s">
        <v>42</v>
      </c>
      <c r="C4" t="s">
        <v>36</v>
      </c>
      <c r="D4" t="s">
        <v>44</v>
      </c>
      <c r="E4" t="s">
        <v>45</v>
      </c>
    </row>
    <row r="5" spans="1:7" x14ac:dyDescent="0.25">
      <c r="A5" t="s">
        <v>46</v>
      </c>
      <c r="B5" t="s">
        <v>47</v>
      </c>
      <c r="C5" t="s">
        <v>48</v>
      </c>
      <c r="D5" t="s">
        <v>49</v>
      </c>
      <c r="E5" t="s">
        <v>53</v>
      </c>
    </row>
    <row r="6" spans="1:7" x14ac:dyDescent="0.25">
      <c r="A6" t="s">
        <v>55</v>
      </c>
      <c r="B6" t="s">
        <v>47</v>
      </c>
      <c r="C6" t="s">
        <v>56</v>
      </c>
      <c r="D6" t="s">
        <v>57</v>
      </c>
      <c r="E6" t="s">
        <v>58</v>
      </c>
      <c r="G6" s="1"/>
    </row>
    <row r="7" spans="1:7" x14ac:dyDescent="0.25">
      <c r="A7" t="s">
        <v>59</v>
      </c>
      <c r="B7" t="s">
        <v>42</v>
      </c>
      <c r="C7" t="s">
        <v>60</v>
      </c>
      <c r="D7" t="s">
        <v>61</v>
      </c>
      <c r="E7" t="s">
        <v>70</v>
      </c>
      <c r="G7" s="1"/>
    </row>
    <row r="8" spans="1:7" x14ac:dyDescent="0.25">
      <c r="A8" t="s">
        <v>84</v>
      </c>
      <c r="B8" t="s">
        <v>42</v>
      </c>
      <c r="C8" t="s">
        <v>85</v>
      </c>
      <c r="D8" t="s">
        <v>86</v>
      </c>
      <c r="E8" s="20">
        <v>0</v>
      </c>
      <c r="G8" s="1"/>
    </row>
    <row r="9" spans="1:7" x14ac:dyDescent="0.25">
      <c r="A9" t="s">
        <v>51</v>
      </c>
      <c r="B9" t="s">
        <v>47</v>
      </c>
      <c r="C9" t="s">
        <v>50</v>
      </c>
      <c r="D9" t="s">
        <v>52</v>
      </c>
      <c r="E9" t="s">
        <v>54</v>
      </c>
      <c r="G9" s="1"/>
    </row>
    <row r="10" spans="1:7" x14ac:dyDescent="0.25">
      <c r="A10" t="s">
        <v>65</v>
      </c>
      <c r="B10" t="s">
        <v>47</v>
      </c>
      <c r="C10" t="s">
        <v>67</v>
      </c>
      <c r="D10" t="s">
        <v>69</v>
      </c>
      <c r="E10" t="s">
        <v>68</v>
      </c>
      <c r="G10" s="1"/>
    </row>
    <row r="11" spans="1:7" x14ac:dyDescent="0.25">
      <c r="A11" t="s">
        <v>66</v>
      </c>
      <c r="B11" t="s">
        <v>47</v>
      </c>
      <c r="C11" t="s">
        <v>67</v>
      </c>
      <c r="D11" t="s">
        <v>69</v>
      </c>
      <c r="E11" t="s">
        <v>68</v>
      </c>
      <c r="G11" s="1"/>
    </row>
    <row r="12" spans="1:7" x14ac:dyDescent="0.25">
      <c r="A12" t="s">
        <v>72</v>
      </c>
      <c r="B12" t="s">
        <v>42</v>
      </c>
      <c r="C12" t="s">
        <v>73</v>
      </c>
      <c r="D12" t="s">
        <v>74</v>
      </c>
      <c r="E12" t="s">
        <v>75</v>
      </c>
    </row>
    <row r="13" spans="1:7" x14ac:dyDescent="0.25">
      <c r="A13" t="s">
        <v>79</v>
      </c>
      <c r="B13" t="s">
        <v>42</v>
      </c>
      <c r="C13" t="s">
        <v>80</v>
      </c>
      <c r="D13" t="s">
        <v>78</v>
      </c>
      <c r="E13" t="s">
        <v>82</v>
      </c>
    </row>
    <row r="15" spans="1:7" x14ac:dyDescent="0.25">
      <c r="A15" s="11" t="s">
        <v>62</v>
      </c>
    </row>
    <row r="16" spans="1:7" x14ac:dyDescent="0.25">
      <c r="A16" t="s">
        <v>28</v>
      </c>
      <c r="B16" t="s">
        <v>42</v>
      </c>
      <c r="D16" t="s">
        <v>32</v>
      </c>
    </row>
    <row r="17" spans="1:5" x14ac:dyDescent="0.25">
      <c r="A17" t="s">
        <v>71</v>
      </c>
      <c r="B17" t="s">
        <v>42</v>
      </c>
      <c r="C17" t="s">
        <v>81</v>
      </c>
      <c r="D17" t="s">
        <v>76</v>
      </c>
      <c r="E17" t="s">
        <v>77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7E60669E74317478F2C3409FC44E605" ma:contentTypeVersion="12" ma:contentTypeDescription="Create a new document." ma:contentTypeScope="" ma:versionID="941acbab404a17fe43e7bbc12f7ddf4e">
  <xsd:schema xmlns:xsd="http://www.w3.org/2001/XMLSchema" xmlns:xs="http://www.w3.org/2001/XMLSchema" xmlns:p="http://schemas.microsoft.com/office/2006/metadata/properties" xmlns:ns2="c6c86bc9-a6af-4236-976f-a383377d7293" xmlns:ns3="7f918446-991f-4b96-826c-43d531d6bbcb" targetNamespace="http://schemas.microsoft.com/office/2006/metadata/properties" ma:root="true" ma:fieldsID="77fbb7897d0309dfe9f7b46c548bf379" ns2:_="" ns3:_="">
    <xsd:import namespace="c6c86bc9-a6af-4236-976f-a383377d7293"/>
    <xsd:import namespace="7f918446-991f-4b96-826c-43d531d6bbc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6c86bc9-a6af-4236-976f-a383377d72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918446-991f-4b96-826c-43d531d6bbcb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9A27CC-094B-43CE-BD86-42975D20A492}">
  <ds:schemaRefs>
    <ds:schemaRef ds:uri="http://schemas.microsoft.com/office/2006/documentManagement/types"/>
    <ds:schemaRef ds:uri="http://www.w3.org/XML/1998/namespace"/>
    <ds:schemaRef ds:uri="http://schemas.microsoft.com/office/2006/metadata/properties"/>
    <ds:schemaRef ds:uri="http://purl.org/dc/dcmitype/"/>
    <ds:schemaRef ds:uri="c6c86bc9-a6af-4236-976f-a383377d7293"/>
    <ds:schemaRef ds:uri="7f918446-991f-4b96-826c-43d531d6bbcb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7DA9E29A-3E1E-4923-ACD5-856C1E7FFF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6BCD7E-E440-4C84-BDC5-F224277E0F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6c86bc9-a6af-4236-976f-a383377d7293"/>
    <ds:schemaRef ds:uri="7f918446-991f-4b96-826c-43d531d6bb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 scenario</vt:lpstr>
      <vt:lpstr>Variables</vt:lpstr>
    </vt:vector>
  </TitlesOfParts>
  <Company>University of Otago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Cliff</dc:creator>
  <cp:lastModifiedBy>Storm Trooper</cp:lastModifiedBy>
  <dcterms:created xsi:type="dcterms:W3CDTF">2021-02-15T23:39:03Z</dcterms:created>
  <dcterms:modified xsi:type="dcterms:W3CDTF">2021-07-21T02:24:54Z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0x01010047E60669E74317478F2C3409FC44E605</vt:lpwstr>
  </property>
</Properties>
</file>