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30"/>
  </bookViews>
  <sheets>
    <sheet name="salaire 21-31" sheetId="1" r:id="rId1"/>
    <sheet name="conge" sheetId="2" r:id="rId2"/>
  </sheets>
  <externalReferences>
    <externalReference r:id="rId3"/>
    <externalReference r:id="rId4"/>
  </externalReferences>
  <definedNames>
    <definedName name="_xlnm._FilterDatabase" localSheetId="1" hidden="1">conge!$A$1:$BL$76</definedName>
    <definedName name="_xlnm._FilterDatabase" localSheetId="0" hidden="1">'salaire 21-31'!$A$1:$BL$76</definedName>
    <definedName name="_xlnm.Print_Titles" localSheetId="1">conge!$A$1:$IV$1</definedName>
    <definedName name="_xlnm.Print_Titles" localSheetId="0">'salaire 21-31'!$1:$1</definedName>
  </definedNames>
  <calcPr calcId="125725"/>
</workbook>
</file>

<file path=xl/calcChain.xml><?xml version="1.0" encoding="utf-8"?>
<calcChain xmlns="http://schemas.openxmlformats.org/spreadsheetml/2006/main">
  <c r="AK2" i="2"/>
  <c r="AS2"/>
  <c r="AT2" s="1"/>
  <c r="AV2"/>
  <c r="AW2"/>
  <c r="AX2" s="1"/>
  <c r="BH2"/>
  <c r="BI2"/>
  <c r="BJ2" s="1"/>
  <c r="AK3"/>
  <c r="AS3"/>
  <c r="AT3" s="1"/>
  <c r="AV3"/>
  <c r="AW3"/>
  <c r="BH3"/>
  <c r="BI3"/>
  <c r="BJ3"/>
  <c r="AK4"/>
  <c r="AS4"/>
  <c r="AT4" s="1"/>
  <c r="AV4"/>
  <c r="AW4"/>
  <c r="AX4" s="1"/>
  <c r="BH4"/>
  <c r="BI4"/>
  <c r="BJ4" s="1"/>
  <c r="AK5"/>
  <c r="AS5"/>
  <c r="AT5" s="1"/>
  <c r="AV5"/>
  <c r="AW5"/>
  <c r="BH5"/>
  <c r="BI5"/>
  <c r="BJ5"/>
  <c r="AK6"/>
  <c r="AS6"/>
  <c r="AT6" s="1"/>
  <c r="AV6"/>
  <c r="AW6"/>
  <c r="AX6" s="1"/>
  <c r="BH6"/>
  <c r="BI6"/>
  <c r="BJ6" s="1"/>
  <c r="AK7"/>
  <c r="AS7"/>
  <c r="AT7" s="1"/>
  <c r="AV7"/>
  <c r="AW7"/>
  <c r="BH7"/>
  <c r="BI7"/>
  <c r="BJ7"/>
  <c r="AK8"/>
  <c r="AS8"/>
  <c r="AT8" s="1"/>
  <c r="AV8"/>
  <c r="AW8"/>
  <c r="AX8" s="1"/>
  <c r="BH8"/>
  <c r="BI8"/>
  <c r="BJ8" s="1"/>
  <c r="AK9"/>
  <c r="AS9"/>
  <c r="AT9" s="1"/>
  <c r="AV9"/>
  <c r="AW9"/>
  <c r="AX9" s="1"/>
  <c r="BH9"/>
  <c r="BI9"/>
  <c r="BJ9" s="1"/>
  <c r="AK10"/>
  <c r="AS10"/>
  <c r="AT10" s="1"/>
  <c r="AV10"/>
  <c r="AW10"/>
  <c r="BH10"/>
  <c r="BI10"/>
  <c r="BJ10"/>
  <c r="AK11"/>
  <c r="AS11"/>
  <c r="AT11" s="1"/>
  <c r="AV11"/>
  <c r="AW11"/>
  <c r="AX11" s="1"/>
  <c r="BH11"/>
  <c r="BI11"/>
  <c r="BJ11" s="1"/>
  <c r="AK12"/>
  <c r="AS12"/>
  <c r="AT12" s="1"/>
  <c r="AV12"/>
  <c r="AW12"/>
  <c r="BH12"/>
  <c r="BI12"/>
  <c r="BJ12"/>
  <c r="AK13"/>
  <c r="AS13"/>
  <c r="AT13" s="1"/>
  <c r="AV13"/>
  <c r="AW13"/>
  <c r="AX13" s="1"/>
  <c r="BH13"/>
  <c r="BI13"/>
  <c r="BJ13" s="1"/>
  <c r="AK14"/>
  <c r="AS14"/>
  <c r="AT14" s="1"/>
  <c r="AV14"/>
  <c r="AW14"/>
  <c r="BH14"/>
  <c r="BI14"/>
  <c r="BJ14"/>
  <c r="AK15"/>
  <c r="AS15"/>
  <c r="AT15" s="1"/>
  <c r="AV15"/>
  <c r="AW15"/>
  <c r="AX15"/>
  <c r="BH15"/>
  <c r="BI15"/>
  <c r="BJ15" s="1"/>
  <c r="AK16"/>
  <c r="AS16"/>
  <c r="AT16" s="1"/>
  <c r="AV16"/>
  <c r="AW16"/>
  <c r="AX16" s="1"/>
  <c r="BH16"/>
  <c r="BI16"/>
  <c r="BJ16" s="1"/>
  <c r="AK17"/>
  <c r="AS17"/>
  <c r="AT17" s="1"/>
  <c r="AV17"/>
  <c r="AW17"/>
  <c r="BH17"/>
  <c r="BI17"/>
  <c r="BJ17"/>
  <c r="AK18"/>
  <c r="AS18"/>
  <c r="AT18" s="1"/>
  <c r="AV18"/>
  <c r="AW18"/>
  <c r="AX18" s="1"/>
  <c r="BH18"/>
  <c r="BI18"/>
  <c r="BJ18" s="1"/>
  <c r="AK19"/>
  <c r="AS19"/>
  <c r="AT19" s="1"/>
  <c r="AV19"/>
  <c r="AW19"/>
  <c r="BH19"/>
  <c r="BI19"/>
  <c r="BJ19"/>
  <c r="AK20"/>
  <c r="AS20"/>
  <c r="AT20" s="1"/>
  <c r="AV20"/>
  <c r="AW20"/>
  <c r="AX20" s="1"/>
  <c r="BH20"/>
  <c r="BI20"/>
  <c r="BJ20" s="1"/>
  <c r="AK21"/>
  <c r="AS21"/>
  <c r="AT21" s="1"/>
  <c r="AV21"/>
  <c r="AW21"/>
  <c r="BH21"/>
  <c r="BI21"/>
  <c r="BJ21"/>
  <c r="AK22"/>
  <c r="AS22"/>
  <c r="AT22" s="1"/>
  <c r="AV22"/>
  <c r="AW22"/>
  <c r="AX22" s="1"/>
  <c r="BH22"/>
  <c r="BI22"/>
  <c r="BJ22" s="1"/>
  <c r="AK23"/>
  <c r="AS23"/>
  <c r="AT23" s="1"/>
  <c r="AV23"/>
  <c r="AW23"/>
  <c r="BH23"/>
  <c r="BI23"/>
  <c r="BJ23"/>
  <c r="AK24"/>
  <c r="AS24"/>
  <c r="AT24" s="1"/>
  <c r="AV24"/>
  <c r="AW24"/>
  <c r="AX24" s="1"/>
  <c r="BH24"/>
  <c r="BI24"/>
  <c r="BJ24" s="1"/>
  <c r="AK25"/>
  <c r="AS25"/>
  <c r="AT25" s="1"/>
  <c r="AV25"/>
  <c r="AW25"/>
  <c r="BH25"/>
  <c r="BI25"/>
  <c r="BJ25"/>
  <c r="AK26"/>
  <c r="AS26"/>
  <c r="AT26" s="1"/>
  <c r="AV26"/>
  <c r="AW26"/>
  <c r="AX26" s="1"/>
  <c r="BH26"/>
  <c r="BI26"/>
  <c r="BJ26" s="1"/>
  <c r="AK27"/>
  <c r="AS27"/>
  <c r="AT27" s="1"/>
  <c r="AV27"/>
  <c r="AW27"/>
  <c r="BH27"/>
  <c r="BI27"/>
  <c r="BJ27"/>
  <c r="AK28"/>
  <c r="AS28"/>
  <c r="AT28" s="1"/>
  <c r="AV28"/>
  <c r="AW28"/>
  <c r="AX28" s="1"/>
  <c r="BH28"/>
  <c r="BI28"/>
  <c r="BJ28" s="1"/>
  <c r="AK29"/>
  <c r="AS29"/>
  <c r="AT29" s="1"/>
  <c r="AV29"/>
  <c r="AW29"/>
  <c r="AX29" s="1"/>
  <c r="BH29"/>
  <c r="BI29"/>
  <c r="BJ29" s="1"/>
  <c r="AK30"/>
  <c r="AS30"/>
  <c r="AT30" s="1"/>
  <c r="AV30"/>
  <c r="AW30"/>
  <c r="BH30"/>
  <c r="BI30"/>
  <c r="BJ30"/>
  <c r="AK31"/>
  <c r="AS31"/>
  <c r="AT31" s="1"/>
  <c r="AV31"/>
  <c r="AW31"/>
  <c r="AX31" s="1"/>
  <c r="BH31"/>
  <c r="BI31"/>
  <c r="BJ31" s="1"/>
  <c r="AK32"/>
  <c r="AS32"/>
  <c r="AT32" s="1"/>
  <c r="AV32"/>
  <c r="AW32"/>
  <c r="BH32"/>
  <c r="BI32"/>
  <c r="BJ32"/>
  <c r="AK33"/>
  <c r="AS33"/>
  <c r="AT33" s="1"/>
  <c r="AV33"/>
  <c r="AW33"/>
  <c r="AX33" s="1"/>
  <c r="BH33"/>
  <c r="BI33"/>
  <c r="BJ33" s="1"/>
  <c r="AK34"/>
  <c r="AS34"/>
  <c r="AT34" s="1"/>
  <c r="AV34"/>
  <c r="AW34"/>
  <c r="BH34"/>
  <c r="BI34"/>
  <c r="BJ34"/>
  <c r="AK35"/>
  <c r="AS35"/>
  <c r="AT35" s="1"/>
  <c r="AV35"/>
  <c r="AW35"/>
  <c r="AX35" s="1"/>
  <c r="BH35"/>
  <c r="BI35"/>
  <c r="BJ35" s="1"/>
  <c r="AK36"/>
  <c r="AS36"/>
  <c r="AT36" s="1"/>
  <c r="AV36"/>
  <c r="AW36"/>
  <c r="BH36"/>
  <c r="BI36"/>
  <c r="BJ36"/>
  <c r="AK37"/>
  <c r="AS37"/>
  <c r="AT37" s="1"/>
  <c r="AV37"/>
  <c r="AW37"/>
  <c r="AX37" s="1"/>
  <c r="BH37"/>
  <c r="BI37"/>
  <c r="BJ37" s="1"/>
  <c r="AK38"/>
  <c r="AS38"/>
  <c r="AT38" s="1"/>
  <c r="AV38"/>
  <c r="AW38"/>
  <c r="BH38"/>
  <c r="BI38"/>
  <c r="BJ38"/>
  <c r="AK39"/>
  <c r="AS39"/>
  <c r="AT39" s="1"/>
  <c r="AV39"/>
  <c r="AW39"/>
  <c r="AX39" s="1"/>
  <c r="BH39"/>
  <c r="BI39"/>
  <c r="BJ39" s="1"/>
  <c r="AK40"/>
  <c r="AS40"/>
  <c r="AT40" s="1"/>
  <c r="AV40"/>
  <c r="AW40"/>
  <c r="BH40"/>
  <c r="BI40"/>
  <c r="BJ40"/>
  <c r="AK41"/>
  <c r="AS41"/>
  <c r="AT41" s="1"/>
  <c r="AV41"/>
  <c r="AW41"/>
  <c r="AX41" s="1"/>
  <c r="BH41"/>
  <c r="BI41"/>
  <c r="BJ41" s="1"/>
  <c r="AK42"/>
  <c r="AS42"/>
  <c r="AT42" s="1"/>
  <c r="AV42"/>
  <c r="AW42"/>
  <c r="BH42"/>
  <c r="BI42"/>
  <c r="BJ42"/>
  <c r="AK43"/>
  <c r="AS43"/>
  <c r="AT43" s="1"/>
  <c r="AV43"/>
  <c r="AW43"/>
  <c r="AX43" s="1"/>
  <c r="BH43"/>
  <c r="BI43"/>
  <c r="BJ43" s="1"/>
  <c r="AK44"/>
  <c r="AS44"/>
  <c r="AT44" s="1"/>
  <c r="AV44"/>
  <c r="AW44"/>
  <c r="BH44"/>
  <c r="BI44"/>
  <c r="BJ44"/>
  <c r="AK45"/>
  <c r="AS45"/>
  <c r="AT45" s="1"/>
  <c r="AV45"/>
  <c r="AW45"/>
  <c r="AX45"/>
  <c r="BH45"/>
  <c r="BI45"/>
  <c r="BJ45" s="1"/>
  <c r="AK46"/>
  <c r="AL46"/>
  <c r="AS46"/>
  <c r="AT46" s="1"/>
  <c r="AV46"/>
  <c r="AW46"/>
  <c r="AX46" s="1"/>
  <c r="BH46"/>
  <c r="BI46"/>
  <c r="AK47"/>
  <c r="AL47"/>
  <c r="AS47"/>
  <c r="AT47" s="1"/>
  <c r="AV47"/>
  <c r="AW47"/>
  <c r="AX47"/>
  <c r="BH47"/>
  <c r="BI47"/>
  <c r="BJ47" s="1"/>
  <c r="AK48"/>
  <c r="AL48"/>
  <c r="AS48"/>
  <c r="AT48" s="1"/>
  <c r="AV48"/>
  <c r="AW48"/>
  <c r="AX48" s="1"/>
  <c r="BH48"/>
  <c r="BI48"/>
  <c r="AK49"/>
  <c r="AL49"/>
  <c r="AS49"/>
  <c r="AT49" s="1"/>
  <c r="AV49"/>
  <c r="AW49"/>
  <c r="AX49"/>
  <c r="BH49"/>
  <c r="BI49"/>
  <c r="BJ49" s="1"/>
  <c r="AK50"/>
  <c r="AL50"/>
  <c r="AS50"/>
  <c r="AT50" s="1"/>
  <c r="AV50"/>
  <c r="AW50"/>
  <c r="AX50" s="1"/>
  <c r="BH50"/>
  <c r="BI50"/>
  <c r="AK51"/>
  <c r="AL51"/>
  <c r="AS51"/>
  <c r="AT51" s="1"/>
  <c r="AV51"/>
  <c r="AW51"/>
  <c r="AX51"/>
  <c r="BH51"/>
  <c r="BI51"/>
  <c r="BJ51" s="1"/>
  <c r="AK52"/>
  <c r="AL52"/>
  <c r="AS52"/>
  <c r="AT52" s="1"/>
  <c r="AV52"/>
  <c r="AW52"/>
  <c r="BH52"/>
  <c r="BI52"/>
  <c r="BJ52"/>
  <c r="AK53"/>
  <c r="AL53"/>
  <c r="AS53"/>
  <c r="AT53" s="1"/>
  <c r="AV53"/>
  <c r="AW53"/>
  <c r="BH53"/>
  <c r="BI53"/>
  <c r="BJ53"/>
  <c r="AK54"/>
  <c r="AL54"/>
  <c r="AS54"/>
  <c r="AT54" s="1"/>
  <c r="AV54"/>
  <c r="AW54"/>
  <c r="BH54"/>
  <c r="BI54"/>
  <c r="BJ54"/>
  <c r="AK55"/>
  <c r="AL55"/>
  <c r="AS55"/>
  <c r="AT55" s="1"/>
  <c r="AV55"/>
  <c r="AW55"/>
  <c r="BH55"/>
  <c r="BI55"/>
  <c r="BJ55"/>
  <c r="AK56"/>
  <c r="AL56"/>
  <c r="AS56"/>
  <c r="AT56" s="1"/>
  <c r="AV56"/>
  <c r="AW56"/>
  <c r="BH56"/>
  <c r="BI56"/>
  <c r="BJ56"/>
  <c r="AK57"/>
  <c r="AL57"/>
  <c r="AS57"/>
  <c r="AT57" s="1"/>
  <c r="AV57"/>
  <c r="AW57"/>
  <c r="BH57"/>
  <c r="BI57"/>
  <c r="BJ57"/>
  <c r="AK58"/>
  <c r="AL58"/>
  <c r="AS58"/>
  <c r="AT58" s="1"/>
  <c r="AV58"/>
  <c r="AW58"/>
  <c r="BH58"/>
  <c r="BI58"/>
  <c r="BJ58"/>
  <c r="AK59"/>
  <c r="AL59"/>
  <c r="AS59"/>
  <c r="AT59" s="1"/>
  <c r="AV59"/>
  <c r="AW59"/>
  <c r="AX59" s="1"/>
  <c r="BH59"/>
  <c r="BI59"/>
  <c r="AK60"/>
  <c r="AL60"/>
  <c r="AS60"/>
  <c r="AT60" s="1"/>
  <c r="AV60"/>
  <c r="AW60"/>
  <c r="AX60"/>
  <c r="BH60"/>
  <c r="BI60"/>
  <c r="BJ60" s="1"/>
  <c r="AK61"/>
  <c r="AL61"/>
  <c r="AS61"/>
  <c r="AT61" s="1"/>
  <c r="AV61"/>
  <c r="AW61"/>
  <c r="AX61" s="1"/>
  <c r="BH61"/>
  <c r="BI61"/>
  <c r="AK62"/>
  <c r="AL62"/>
  <c r="AS62"/>
  <c r="AT62" s="1"/>
  <c r="AV62"/>
  <c r="AW62"/>
  <c r="AX62" s="1"/>
  <c r="BH62"/>
  <c r="BI62"/>
  <c r="BJ62" s="1"/>
  <c r="AK63"/>
  <c r="AL63"/>
  <c r="AS63"/>
  <c r="AT63" s="1"/>
  <c r="AV63"/>
  <c r="AW63"/>
  <c r="AX63" s="1"/>
  <c r="BH63"/>
  <c r="BI63"/>
  <c r="BJ63" s="1"/>
  <c r="AK64"/>
  <c r="AL64"/>
  <c r="AS64"/>
  <c r="AT64" s="1"/>
  <c r="AV64"/>
  <c r="AW64"/>
  <c r="AX64" s="1"/>
  <c r="BH64"/>
  <c r="BI64"/>
  <c r="BJ64" s="1"/>
  <c r="AK65"/>
  <c r="AL65"/>
  <c r="AS65"/>
  <c r="AT65" s="1"/>
  <c r="AV65"/>
  <c r="AW65"/>
  <c r="AX65" s="1"/>
  <c r="BH65"/>
  <c r="BI65"/>
  <c r="BJ65" s="1"/>
  <c r="AK66"/>
  <c r="AL66"/>
  <c r="AS66"/>
  <c r="AT66" s="1"/>
  <c r="AV66"/>
  <c r="AW66"/>
  <c r="AX66" s="1"/>
  <c r="BH66"/>
  <c r="BI66"/>
  <c r="BJ66" s="1"/>
  <c r="BL66"/>
  <c r="AK67"/>
  <c r="AL67"/>
  <c r="AS67"/>
  <c r="AT67" s="1"/>
  <c r="AV67"/>
  <c r="AW67"/>
  <c r="BH67"/>
  <c r="BI67"/>
  <c r="BJ67"/>
  <c r="AK68"/>
  <c r="AL68"/>
  <c r="AS68"/>
  <c r="AT68" s="1"/>
  <c r="AV68"/>
  <c r="AW68"/>
  <c r="AX68" s="1"/>
  <c r="BH68"/>
  <c r="BI68"/>
  <c r="AK69"/>
  <c r="AL69"/>
  <c r="AS69"/>
  <c r="AT69" s="1"/>
  <c r="AV69"/>
  <c r="AW69"/>
  <c r="AX69" s="1"/>
  <c r="BH69"/>
  <c r="BI69"/>
  <c r="BJ69" s="1"/>
  <c r="AK70"/>
  <c r="AL70"/>
  <c r="AS70"/>
  <c r="AT70" s="1"/>
  <c r="AV70"/>
  <c r="AW70"/>
  <c r="AX70" s="1"/>
  <c r="BH70"/>
  <c r="BI70"/>
  <c r="BJ70" s="1"/>
  <c r="AK71"/>
  <c r="AL71"/>
  <c r="AS71"/>
  <c r="AT71" s="1"/>
  <c r="AV71"/>
  <c r="AW71"/>
  <c r="AX71" s="1"/>
  <c r="BH71"/>
  <c r="BI71"/>
  <c r="BJ71" s="1"/>
  <c r="AK72"/>
  <c r="AL72"/>
  <c r="AS72"/>
  <c r="AT72" s="1"/>
  <c r="AV72"/>
  <c r="AW72"/>
  <c r="AX72" s="1"/>
  <c r="BH72"/>
  <c r="BI72"/>
  <c r="BJ72" s="1"/>
  <c r="AK73"/>
  <c r="AL73"/>
  <c r="AS73"/>
  <c r="AT73" s="1"/>
  <c r="AV73"/>
  <c r="AW73"/>
  <c r="AX73" s="1"/>
  <c r="BH73"/>
  <c r="BI73"/>
  <c r="BJ73" s="1"/>
  <c r="AK74"/>
  <c r="AL74"/>
  <c r="AS74"/>
  <c r="AT74" s="1"/>
  <c r="AV74"/>
  <c r="AW74"/>
  <c r="AX74" s="1"/>
  <c r="BH74"/>
  <c r="BI74"/>
  <c r="BJ74" s="1"/>
  <c r="AK75"/>
  <c r="AL75"/>
  <c r="AS75"/>
  <c r="AT75" s="1"/>
  <c r="AV75"/>
  <c r="AW75"/>
  <c r="AX75" s="1"/>
  <c r="BH75"/>
  <c r="BI75"/>
  <c r="BJ75" s="1"/>
  <c r="AK76"/>
  <c r="AL76"/>
  <c r="AS76"/>
  <c r="AT76" s="1"/>
  <c r="AV76"/>
  <c r="AW76"/>
  <c r="AX76" s="1"/>
  <c r="BH76"/>
  <c r="BI76"/>
  <c r="BJ76" s="1"/>
  <c r="AK77"/>
  <c r="AL77"/>
  <c r="AS77"/>
  <c r="AT77" s="1"/>
  <c r="AV77"/>
  <c r="AW77"/>
  <c r="AX77" s="1"/>
  <c r="BH77"/>
  <c r="BI77"/>
  <c r="BJ77" s="1"/>
  <c r="AK78"/>
  <c r="AL78"/>
  <c r="AS78"/>
  <c r="AT78" s="1"/>
  <c r="AV78"/>
  <c r="AW78"/>
  <c r="AX78" s="1"/>
  <c r="BH78"/>
  <c r="BI78"/>
  <c r="BJ78" s="1"/>
  <c r="AK79"/>
  <c r="AL79"/>
  <c r="AS79"/>
  <c r="AT79" s="1"/>
  <c r="AV79"/>
  <c r="AW79"/>
  <c r="AX79" s="1"/>
  <c r="BH79"/>
  <c r="BI79"/>
  <c r="BJ79" s="1"/>
  <c r="AK80"/>
  <c r="AL80"/>
  <c r="AS80"/>
  <c r="AT80" s="1"/>
  <c r="AV80"/>
  <c r="AW80"/>
  <c r="AX80" s="1"/>
  <c r="BH80"/>
  <c r="BI80"/>
  <c r="BJ80" s="1"/>
  <c r="AK81"/>
  <c r="AL81"/>
  <c r="AS81"/>
  <c r="AT81" s="1"/>
  <c r="AV81"/>
  <c r="AW81"/>
  <c r="AX81" s="1"/>
  <c r="BH81"/>
  <c r="BI81"/>
  <c r="BJ81" s="1"/>
  <c r="AK82"/>
  <c r="AL82"/>
  <c r="AS82"/>
  <c r="AT82" s="1"/>
  <c r="AV82"/>
  <c r="AW82"/>
  <c r="AX82" s="1"/>
  <c r="BH82"/>
  <c r="BI82"/>
  <c r="BJ82" s="1"/>
  <c r="AK83"/>
  <c r="AL83"/>
  <c r="AS83"/>
  <c r="AT83" s="1"/>
  <c r="AV83"/>
  <c r="AW83"/>
  <c r="AX83" s="1"/>
  <c r="BH83"/>
  <c r="BI83"/>
  <c r="BJ83" s="1"/>
  <c r="AK84"/>
  <c r="AL84"/>
  <c r="AS84"/>
  <c r="AT84" s="1"/>
  <c r="AV84"/>
  <c r="AW84"/>
  <c r="AX84" s="1"/>
  <c r="BH84"/>
  <c r="BI84"/>
  <c r="BJ84" s="1"/>
  <c r="AK85"/>
  <c r="AL85"/>
  <c r="AS85"/>
  <c r="AT85" s="1"/>
  <c r="AV85"/>
  <c r="AW85"/>
  <c r="AX85" s="1"/>
  <c r="BH85"/>
  <c r="BI85"/>
  <c r="BJ85" s="1"/>
  <c r="AK86"/>
  <c r="AL86"/>
  <c r="AS86"/>
  <c r="AT86" s="1"/>
  <c r="AV86"/>
  <c r="AW86"/>
  <c r="AX86" s="1"/>
  <c r="BH86"/>
  <c r="BI86"/>
  <c r="BJ86" s="1"/>
  <c r="AK87"/>
  <c r="AL87"/>
  <c r="AS87"/>
  <c r="AT87" s="1"/>
  <c r="AV87"/>
  <c r="AW87"/>
  <c r="AX87" s="1"/>
  <c r="BH87"/>
  <c r="BI87"/>
  <c r="BJ87" s="1"/>
  <c r="AK88"/>
  <c r="AL88"/>
  <c r="AS88"/>
  <c r="AT88" s="1"/>
  <c r="AV88"/>
  <c r="AW88"/>
  <c r="AX88" s="1"/>
  <c r="BH88"/>
  <c r="BI88"/>
  <c r="BJ88" s="1"/>
  <c r="AK89"/>
  <c r="AL89"/>
  <c r="AS89"/>
  <c r="AT89" s="1"/>
  <c r="AV89"/>
  <c r="AW89"/>
  <c r="AX89" s="1"/>
  <c r="BH89"/>
  <c r="BI89"/>
  <c r="BJ89" s="1"/>
  <c r="AA108"/>
  <c r="AC108"/>
  <c r="AK90"/>
  <c r="AL90"/>
  <c r="AS90"/>
  <c r="AT90" s="1"/>
  <c r="AV90"/>
  <c r="AW90"/>
  <c r="AX90" s="1"/>
  <c r="BH90"/>
  <c r="BI90"/>
  <c r="BJ90" s="1"/>
  <c r="AK91"/>
  <c r="AL91"/>
  <c r="AS91"/>
  <c r="AT91" s="1"/>
  <c r="AV91"/>
  <c r="AW91"/>
  <c r="AX91" s="1"/>
  <c r="BH91"/>
  <c r="BI91"/>
  <c r="BJ91" s="1"/>
  <c r="AK92"/>
  <c r="AL92"/>
  <c r="AS92"/>
  <c r="AT92" s="1"/>
  <c r="AV92"/>
  <c r="AW92"/>
  <c r="AX92" s="1"/>
  <c r="BH92"/>
  <c r="BI92"/>
  <c r="BJ92" s="1"/>
  <c r="AK93"/>
  <c r="AL93"/>
  <c r="AS93"/>
  <c r="AT93" s="1"/>
  <c r="AV93"/>
  <c r="AW93"/>
  <c r="AX93" s="1"/>
  <c r="BH93"/>
  <c r="BI93"/>
  <c r="BJ93" s="1"/>
  <c r="AK94"/>
  <c r="AL94"/>
  <c r="AS94"/>
  <c r="AT94" s="1"/>
  <c r="AV94"/>
  <c r="AW94"/>
  <c r="AX94" s="1"/>
  <c r="BH94"/>
  <c r="BI94"/>
  <c r="BJ94" s="1"/>
  <c r="AK95"/>
  <c r="AL95"/>
  <c r="AS95"/>
  <c r="AT95" s="1"/>
  <c r="AV95"/>
  <c r="AW95"/>
  <c r="AX95" s="1"/>
  <c r="BH95"/>
  <c r="BI95"/>
  <c r="BJ95" s="1"/>
  <c r="AK96"/>
  <c r="AL96"/>
  <c r="AS96"/>
  <c r="AT96" s="1"/>
  <c r="AV96"/>
  <c r="AW96"/>
  <c r="AX96" s="1"/>
  <c r="BH96"/>
  <c r="BI96"/>
  <c r="BJ96" s="1"/>
  <c r="AK97"/>
  <c r="AL97"/>
  <c r="AS97"/>
  <c r="AT97" s="1"/>
  <c r="AV97"/>
  <c r="AW97"/>
  <c r="AX97" s="1"/>
  <c r="BH97"/>
  <c r="BI97"/>
  <c r="BJ97" s="1"/>
  <c r="AK98"/>
  <c r="AL98"/>
  <c r="AS98"/>
  <c r="AT98" s="1"/>
  <c r="AV98"/>
  <c r="AW98"/>
  <c r="AX98" s="1"/>
  <c r="BH98"/>
  <c r="BI98"/>
  <c r="BJ98" s="1"/>
  <c r="AK99"/>
  <c r="AL99"/>
  <c r="AS99"/>
  <c r="AT99" s="1"/>
  <c r="AV99"/>
  <c r="AW99"/>
  <c r="AX99" s="1"/>
  <c r="BH99"/>
  <c r="BI99"/>
  <c r="BJ99" s="1"/>
  <c r="AK100"/>
  <c r="AL100"/>
  <c r="AS100"/>
  <c r="AT100" s="1"/>
  <c r="AV100"/>
  <c r="AW100"/>
  <c r="AX100" s="1"/>
  <c r="BH100"/>
  <c r="BI100"/>
  <c r="BJ100" s="1"/>
  <c r="AK101"/>
  <c r="AL101"/>
  <c r="AS101"/>
  <c r="AT101" s="1"/>
  <c r="AV101"/>
  <c r="AW101"/>
  <c r="AX101" s="1"/>
  <c r="BH101"/>
  <c r="BI101"/>
  <c r="BJ101" s="1"/>
  <c r="AK102"/>
  <c r="AL102"/>
  <c r="AS102"/>
  <c r="AT102" s="1"/>
  <c r="AV102"/>
  <c r="AW102"/>
  <c r="AX102" s="1"/>
  <c r="BH102"/>
  <c r="BI102"/>
  <c r="BJ102" s="1"/>
  <c r="AK103"/>
  <c r="AL103"/>
  <c r="AS103"/>
  <c r="AT103" s="1"/>
  <c r="AV103"/>
  <c r="AW103"/>
  <c r="AX103" s="1"/>
  <c r="BH103"/>
  <c r="BI103"/>
  <c r="BJ103" s="1"/>
  <c r="AK104"/>
  <c r="AL104"/>
  <c r="AS104"/>
  <c r="AT104" s="1"/>
  <c r="AV104"/>
  <c r="AW104"/>
  <c r="AX104" s="1"/>
  <c r="BH104"/>
  <c r="BI104"/>
  <c r="BJ104" s="1"/>
  <c r="A108"/>
  <c r="AD108"/>
  <c r="AK108"/>
  <c r="AP108"/>
  <c r="AV108"/>
  <c r="AW108"/>
  <c r="AY108"/>
  <c r="BB108"/>
  <c r="BC108"/>
  <c r="BC109" i="1"/>
  <c r="BB109"/>
  <c r="AY109"/>
  <c r="AP109"/>
  <c r="AD109"/>
  <c r="A109"/>
  <c r="Z107"/>
  <c r="Z106"/>
  <c r="Z105"/>
  <c r="BI104"/>
  <c r="BJ104" s="1"/>
  <c r="BH104"/>
  <c r="AW104"/>
  <c r="AV104"/>
  <c r="AS104"/>
  <c r="AT104" s="1"/>
  <c r="AL104"/>
  <c r="AK104"/>
  <c r="AI104"/>
  <c r="AH104"/>
  <c r="AG104"/>
  <c r="AF104"/>
  <c r="AE104"/>
  <c r="AC104"/>
  <c r="AB104"/>
  <c r="AA104"/>
  <c r="Z104"/>
  <c r="O104"/>
  <c r="N104"/>
  <c r="M104"/>
  <c r="L104"/>
  <c r="BI103"/>
  <c r="BH103"/>
  <c r="AW103"/>
  <c r="AV103"/>
  <c r="AS103"/>
  <c r="AT103" s="1"/>
  <c r="AL103"/>
  <c r="AK103"/>
  <c r="AI103"/>
  <c r="AH103"/>
  <c r="AG103"/>
  <c r="AF103"/>
  <c r="AE103"/>
  <c r="AC103"/>
  <c r="AB103"/>
  <c r="AA103"/>
  <c r="Z103"/>
  <c r="O103"/>
  <c r="N103"/>
  <c r="M103"/>
  <c r="L103"/>
  <c r="BI102"/>
  <c r="BH102"/>
  <c r="AW102"/>
  <c r="AV102"/>
  <c r="AS102"/>
  <c r="AT102" s="1"/>
  <c r="AL102"/>
  <c r="AK102"/>
  <c r="AI102"/>
  <c r="AH102"/>
  <c r="AG102"/>
  <c r="AF102"/>
  <c r="AE102"/>
  <c r="AC102"/>
  <c r="AB102"/>
  <c r="AA102"/>
  <c r="Z102"/>
  <c r="O102"/>
  <c r="N102"/>
  <c r="M102"/>
  <c r="L102"/>
  <c r="BI101"/>
  <c r="BH101"/>
  <c r="AW101"/>
  <c r="AV101"/>
  <c r="AS101"/>
  <c r="AT101" s="1"/>
  <c r="AL101"/>
  <c r="AK101"/>
  <c r="AI101"/>
  <c r="AH101"/>
  <c r="AG101"/>
  <c r="AF101"/>
  <c r="AE101"/>
  <c r="AC101"/>
  <c r="AB101"/>
  <c r="AA101"/>
  <c r="Z101"/>
  <c r="O101"/>
  <c r="N101"/>
  <c r="M101"/>
  <c r="L101"/>
  <c r="BI100"/>
  <c r="BH100"/>
  <c r="AW100"/>
  <c r="AV100"/>
  <c r="AS100"/>
  <c r="AT100" s="1"/>
  <c r="AL100"/>
  <c r="AK100"/>
  <c r="AI100"/>
  <c r="AH100"/>
  <c r="AG100"/>
  <c r="AF100"/>
  <c r="AE100"/>
  <c r="AC100"/>
  <c r="AB100"/>
  <c r="AA100"/>
  <c r="Z100"/>
  <c r="O100"/>
  <c r="N100"/>
  <c r="M100"/>
  <c r="L100"/>
  <c r="BI99"/>
  <c r="BH99"/>
  <c r="AW99"/>
  <c r="AV99"/>
  <c r="AS99"/>
  <c r="AT99" s="1"/>
  <c r="AL99"/>
  <c r="AK99"/>
  <c r="AI99"/>
  <c r="AH99"/>
  <c r="AG99"/>
  <c r="AF99"/>
  <c r="AE99"/>
  <c r="AC99"/>
  <c r="AB99"/>
  <c r="AA99"/>
  <c r="Z99"/>
  <c r="O99"/>
  <c r="N99"/>
  <c r="M99"/>
  <c r="L99"/>
  <c r="BI98"/>
  <c r="BH98"/>
  <c r="AW98"/>
  <c r="AV98"/>
  <c r="AS98"/>
  <c r="AT98" s="1"/>
  <c r="AL98"/>
  <c r="AK98"/>
  <c r="AI98"/>
  <c r="AH98"/>
  <c r="AG98"/>
  <c r="AF98"/>
  <c r="AE98"/>
  <c r="AC98"/>
  <c r="AB98"/>
  <c r="AA98"/>
  <c r="Z98"/>
  <c r="O98"/>
  <c r="N98"/>
  <c r="M98"/>
  <c r="L98"/>
  <c r="BI97"/>
  <c r="BH97"/>
  <c r="AW97"/>
  <c r="AV97"/>
  <c r="AS97"/>
  <c r="AT97" s="1"/>
  <c r="AL97"/>
  <c r="AK97"/>
  <c r="AI97"/>
  <c r="AH97"/>
  <c r="AG97"/>
  <c r="AF97"/>
  <c r="AE97"/>
  <c r="AC97"/>
  <c r="AB97"/>
  <c r="AA97"/>
  <c r="Z97"/>
  <c r="O97"/>
  <c r="N97"/>
  <c r="M97"/>
  <c r="L97"/>
  <c r="BI96"/>
  <c r="BH96"/>
  <c r="AW96"/>
  <c r="AV96"/>
  <c r="AS96"/>
  <c r="AT96" s="1"/>
  <c r="AL96"/>
  <c r="AK96"/>
  <c r="AI96"/>
  <c r="AH96"/>
  <c r="AG96"/>
  <c r="AF96"/>
  <c r="AE96"/>
  <c r="AC96"/>
  <c r="AB96"/>
  <c r="AA96"/>
  <c r="Z96"/>
  <c r="O96"/>
  <c r="N96"/>
  <c r="M96"/>
  <c r="L96"/>
  <c r="BI95"/>
  <c r="BH95"/>
  <c r="AW95"/>
  <c r="AV95"/>
  <c r="AS95"/>
  <c r="AT95" s="1"/>
  <c r="AL95"/>
  <c r="AK95"/>
  <c r="AI95"/>
  <c r="AH95"/>
  <c r="AG95"/>
  <c r="AF95"/>
  <c r="AE95"/>
  <c r="AC95"/>
  <c r="AB95"/>
  <c r="AA95"/>
  <c r="Z95"/>
  <c r="O95"/>
  <c r="N95"/>
  <c r="M95"/>
  <c r="L95"/>
  <c r="BI94"/>
  <c r="BH94"/>
  <c r="AW94"/>
  <c r="AV94"/>
  <c r="AS94"/>
  <c r="AT94" s="1"/>
  <c r="AL94"/>
  <c r="AK94"/>
  <c r="AI94"/>
  <c r="AH94"/>
  <c r="AG94"/>
  <c r="AF94"/>
  <c r="AE94"/>
  <c r="AC94"/>
  <c r="AB94"/>
  <c r="AA94"/>
  <c r="Z94"/>
  <c r="O94"/>
  <c r="N94"/>
  <c r="M94"/>
  <c r="L94"/>
  <c r="BI93"/>
  <c r="BH93"/>
  <c r="AW93"/>
  <c r="AV93"/>
  <c r="AS93"/>
  <c r="AT93" s="1"/>
  <c r="AL93"/>
  <c r="AK93"/>
  <c r="AI93"/>
  <c r="AH93"/>
  <c r="AG93"/>
  <c r="AF93"/>
  <c r="AE93"/>
  <c r="AC93"/>
  <c r="AB93"/>
  <c r="AA93"/>
  <c r="Z93"/>
  <c r="O93"/>
  <c r="N93"/>
  <c r="M93"/>
  <c r="L93"/>
  <c r="BI92"/>
  <c r="BH92"/>
  <c r="AW92"/>
  <c r="AV92"/>
  <c r="AS92"/>
  <c r="AT92" s="1"/>
  <c r="AL92"/>
  <c r="AK92"/>
  <c r="AI92"/>
  <c r="AH92"/>
  <c r="AG92"/>
  <c r="AF92"/>
  <c r="AE92"/>
  <c r="AC92"/>
  <c r="AB92"/>
  <c r="AA92"/>
  <c r="Z92"/>
  <c r="O92"/>
  <c r="N92"/>
  <c r="M92"/>
  <c r="L92"/>
  <c r="BI91"/>
  <c r="BH91"/>
  <c r="AW91"/>
  <c r="AV91"/>
  <c r="AS91"/>
  <c r="AT91" s="1"/>
  <c r="AL91"/>
  <c r="AK91"/>
  <c r="AI91"/>
  <c r="AH91"/>
  <c r="AG91"/>
  <c r="AF91"/>
  <c r="AE91"/>
  <c r="AC91"/>
  <c r="AB91"/>
  <c r="AA91"/>
  <c r="Z91"/>
  <c r="O91"/>
  <c r="N91"/>
  <c r="M91"/>
  <c r="L91"/>
  <c r="BI90"/>
  <c r="BH90"/>
  <c r="AW90"/>
  <c r="AV90"/>
  <c r="AS90"/>
  <c r="AT90" s="1"/>
  <c r="AL90"/>
  <c r="AK90"/>
  <c r="AI90"/>
  <c r="AH90"/>
  <c r="AG90"/>
  <c r="AF90"/>
  <c r="AE90"/>
  <c r="AC90"/>
  <c r="AB90"/>
  <c r="AA90"/>
  <c r="Z90"/>
  <c r="O90"/>
  <c r="N90"/>
  <c r="M90"/>
  <c r="L90"/>
  <c r="BI89"/>
  <c r="BH89"/>
  <c r="AW89"/>
  <c r="AV89"/>
  <c r="AS89"/>
  <c r="AT89" s="1"/>
  <c r="AL89"/>
  <c r="AK89"/>
  <c r="AI89"/>
  <c r="AH89"/>
  <c r="AG89"/>
  <c r="AF89"/>
  <c r="AE89"/>
  <c r="AC89"/>
  <c r="AB89"/>
  <c r="AA89"/>
  <c r="Z89"/>
  <c r="O89"/>
  <c r="N89"/>
  <c r="M89"/>
  <c r="L89"/>
  <c r="BI88"/>
  <c r="BH88"/>
  <c r="AW88"/>
  <c r="AV88"/>
  <c r="AS88"/>
  <c r="AT88" s="1"/>
  <c r="AL88"/>
  <c r="AK88"/>
  <c r="AI88"/>
  <c r="AH88"/>
  <c r="AG88"/>
  <c r="AF88"/>
  <c r="AE88"/>
  <c r="AC88"/>
  <c r="AB88"/>
  <c r="AA88"/>
  <c r="Z88"/>
  <c r="O88"/>
  <c r="N88"/>
  <c r="M88"/>
  <c r="L88"/>
  <c r="BI87"/>
  <c r="BH87"/>
  <c r="AW87"/>
  <c r="AV87"/>
  <c r="AS87"/>
  <c r="AT87" s="1"/>
  <c r="AL87"/>
  <c r="AK87"/>
  <c r="AI87"/>
  <c r="AH87"/>
  <c r="AG87"/>
  <c r="AF87"/>
  <c r="AE87"/>
  <c r="AC87"/>
  <c r="AB87"/>
  <c r="AA87"/>
  <c r="Z87"/>
  <c r="O87"/>
  <c r="N87"/>
  <c r="M87"/>
  <c r="L87"/>
  <c r="BI86"/>
  <c r="BH86"/>
  <c r="AW86"/>
  <c r="AV86"/>
  <c r="AS86"/>
  <c r="AT86" s="1"/>
  <c r="AL86"/>
  <c r="AK86"/>
  <c r="AI86"/>
  <c r="AH86"/>
  <c r="AG86"/>
  <c r="AF86"/>
  <c r="AE86"/>
  <c r="AC86"/>
  <c r="AB86"/>
  <c r="AA86"/>
  <c r="Z86"/>
  <c r="O86"/>
  <c r="N86"/>
  <c r="M86"/>
  <c r="L86"/>
  <c r="BI85"/>
  <c r="BH85"/>
  <c r="AW85"/>
  <c r="AV85"/>
  <c r="AS85"/>
  <c r="AT85" s="1"/>
  <c r="AL85"/>
  <c r="AK85"/>
  <c r="AI85"/>
  <c r="AH85"/>
  <c r="AG85"/>
  <c r="AF85"/>
  <c r="AE85"/>
  <c r="AC85"/>
  <c r="AB85"/>
  <c r="AA85"/>
  <c r="Z85"/>
  <c r="O85"/>
  <c r="N85"/>
  <c r="M85"/>
  <c r="L85"/>
  <c r="BI84"/>
  <c r="BH84"/>
  <c r="AW84"/>
  <c r="AV84"/>
  <c r="AS84"/>
  <c r="AT84" s="1"/>
  <c r="AL84"/>
  <c r="AK84"/>
  <c r="AI84"/>
  <c r="AH84"/>
  <c r="AG84"/>
  <c r="AF84"/>
  <c r="AE84"/>
  <c r="AC84"/>
  <c r="AB84"/>
  <c r="AA84"/>
  <c r="Z84"/>
  <c r="O84"/>
  <c r="N84"/>
  <c r="M84"/>
  <c r="L84"/>
  <c r="BI83"/>
  <c r="BH83"/>
  <c r="AW83"/>
  <c r="AV83"/>
  <c r="AS83"/>
  <c r="AT83" s="1"/>
  <c r="AL83"/>
  <c r="AK83"/>
  <c r="AI83"/>
  <c r="AH83"/>
  <c r="AG83"/>
  <c r="AF83"/>
  <c r="AE83"/>
  <c r="AC83"/>
  <c r="AB83"/>
  <c r="AA83"/>
  <c r="Z83"/>
  <c r="O83"/>
  <c r="N83"/>
  <c r="M83"/>
  <c r="L83"/>
  <c r="BI82"/>
  <c r="BH82"/>
  <c r="AW82"/>
  <c r="AV82"/>
  <c r="AS82"/>
  <c r="AT82" s="1"/>
  <c r="AL82"/>
  <c r="AK82"/>
  <c r="AI82"/>
  <c r="AH82"/>
  <c r="AG82"/>
  <c r="AF82"/>
  <c r="AE82"/>
  <c r="AC82"/>
  <c r="AB82"/>
  <c r="AA82"/>
  <c r="O82"/>
  <c r="N82"/>
  <c r="M82"/>
  <c r="L82"/>
  <c r="BI81"/>
  <c r="BH81"/>
  <c r="BJ81" s="1"/>
  <c r="AW81"/>
  <c r="AV81"/>
  <c r="AX81" s="1"/>
  <c r="AS81"/>
  <c r="AT81" s="1"/>
  <c r="AL81"/>
  <c r="AK81"/>
  <c r="AI81"/>
  <c r="AH81"/>
  <c r="AG81"/>
  <c r="AF81"/>
  <c r="AE81"/>
  <c r="AC81"/>
  <c r="AB81"/>
  <c r="AA81"/>
  <c r="Z81"/>
  <c r="O81"/>
  <c r="N81"/>
  <c r="M81"/>
  <c r="L81"/>
  <c r="BI80"/>
  <c r="BH80"/>
  <c r="BJ80" s="1"/>
  <c r="AW80"/>
  <c r="AV80"/>
  <c r="AS80"/>
  <c r="AT80" s="1"/>
  <c r="AL80"/>
  <c r="AK80"/>
  <c r="AI80"/>
  <c r="AH80"/>
  <c r="AG80"/>
  <c r="AF80"/>
  <c r="AE80"/>
  <c r="AC80"/>
  <c r="AB80"/>
  <c r="AA80"/>
  <c r="Z80"/>
  <c r="O80"/>
  <c r="N80"/>
  <c r="M80"/>
  <c r="L80"/>
  <c r="BI79"/>
  <c r="BH79"/>
  <c r="BJ79" s="1"/>
  <c r="AW79"/>
  <c r="AV79"/>
  <c r="AX79" s="1"/>
  <c r="AS79"/>
  <c r="AT79" s="1"/>
  <c r="AL79"/>
  <c r="AK79"/>
  <c r="AI79"/>
  <c r="AH79"/>
  <c r="AG79"/>
  <c r="AF79"/>
  <c r="AE79"/>
  <c r="AC79"/>
  <c r="AB79"/>
  <c r="AA79"/>
  <c r="Z79"/>
  <c r="O79"/>
  <c r="N79"/>
  <c r="M79"/>
  <c r="L79"/>
  <c r="BI78"/>
  <c r="BH78"/>
  <c r="BJ78" s="1"/>
  <c r="AW78"/>
  <c r="AV78"/>
  <c r="AX78" s="1"/>
  <c r="AS78"/>
  <c r="AT78" s="1"/>
  <c r="AL78"/>
  <c r="AK78"/>
  <c r="AI78"/>
  <c r="AH78"/>
  <c r="AG78"/>
  <c r="AF78"/>
  <c r="AE78"/>
  <c r="AC78"/>
  <c r="AB78"/>
  <c r="AA78"/>
  <c r="Z78"/>
  <c r="O78"/>
  <c r="N78"/>
  <c r="M78"/>
  <c r="L78"/>
  <c r="BI77"/>
  <c r="BH77"/>
  <c r="BJ77" s="1"/>
  <c r="AW77"/>
  <c r="AV77"/>
  <c r="AX77" s="1"/>
  <c r="AS77"/>
  <c r="AT77" s="1"/>
  <c r="AL77"/>
  <c r="AK77"/>
  <c r="AI77"/>
  <c r="AH77"/>
  <c r="AG77"/>
  <c r="AF77"/>
  <c r="AE77"/>
  <c r="AC77"/>
  <c r="AB77"/>
  <c r="AA77"/>
  <c r="Z77"/>
  <c r="O77"/>
  <c r="N77"/>
  <c r="M77"/>
  <c r="L77"/>
  <c r="BI76"/>
  <c r="BH76"/>
  <c r="BJ76" s="1"/>
  <c r="AW76"/>
  <c r="AV76"/>
  <c r="AX76" s="1"/>
  <c r="AS76"/>
  <c r="AT76" s="1"/>
  <c r="AL76"/>
  <c r="AK76"/>
  <c r="AI76"/>
  <c r="AH76"/>
  <c r="AG76"/>
  <c r="AF76"/>
  <c r="AE76"/>
  <c r="AC76"/>
  <c r="AB76"/>
  <c r="AA76"/>
  <c r="Z76"/>
  <c r="O76"/>
  <c r="N76"/>
  <c r="M76"/>
  <c r="L76"/>
  <c r="BI75"/>
  <c r="BH75"/>
  <c r="BJ75" s="1"/>
  <c r="AW75"/>
  <c r="AV75"/>
  <c r="AX75" s="1"/>
  <c r="AS75"/>
  <c r="AT75" s="1"/>
  <c r="AL75"/>
  <c r="AK75"/>
  <c r="AI75"/>
  <c r="AH75"/>
  <c r="AG75"/>
  <c r="AF75"/>
  <c r="AE75"/>
  <c r="AC75"/>
  <c r="AB75"/>
  <c r="AA75"/>
  <c r="Z75"/>
  <c r="O75"/>
  <c r="N75"/>
  <c r="M75"/>
  <c r="L75"/>
  <c r="BI74"/>
  <c r="BH74"/>
  <c r="BJ74" s="1"/>
  <c r="AW74"/>
  <c r="AV74"/>
  <c r="AX74" s="1"/>
  <c r="AS74"/>
  <c r="AT74" s="1"/>
  <c r="AL74"/>
  <c r="AK74"/>
  <c r="AI74"/>
  <c r="AH74"/>
  <c r="AG74"/>
  <c r="AF74"/>
  <c r="AE74"/>
  <c r="AC74"/>
  <c r="AB74"/>
  <c r="AA74"/>
  <c r="Z74"/>
  <c r="O74"/>
  <c r="N74"/>
  <c r="M74"/>
  <c r="L74"/>
  <c r="BI73"/>
  <c r="BH73"/>
  <c r="BJ73" s="1"/>
  <c r="AW73"/>
  <c r="AV73"/>
  <c r="AX73" s="1"/>
  <c r="AS73"/>
  <c r="AT73" s="1"/>
  <c r="AL73"/>
  <c r="AK73"/>
  <c r="AI73"/>
  <c r="AH73"/>
  <c r="AG73"/>
  <c r="AF73"/>
  <c r="AE73"/>
  <c r="AC73"/>
  <c r="AB73"/>
  <c r="AA73"/>
  <c r="Z73"/>
  <c r="O73"/>
  <c r="N73"/>
  <c r="M73"/>
  <c r="L73"/>
  <c r="BI72"/>
  <c r="BH72"/>
  <c r="BJ72" s="1"/>
  <c r="AW72"/>
  <c r="AV72"/>
  <c r="AX72" s="1"/>
  <c r="AS72"/>
  <c r="AT72" s="1"/>
  <c r="AL72"/>
  <c r="AK72"/>
  <c r="AI72"/>
  <c r="AH72"/>
  <c r="AG72"/>
  <c r="AF72"/>
  <c r="AE72"/>
  <c r="AC72"/>
  <c r="AB72"/>
  <c r="AA72"/>
  <c r="Z72"/>
  <c r="O72"/>
  <c r="N72"/>
  <c r="M72"/>
  <c r="L72"/>
  <c r="BI71"/>
  <c r="BH71"/>
  <c r="BJ71" s="1"/>
  <c r="AW71"/>
  <c r="AV71"/>
  <c r="AX71" s="1"/>
  <c r="AS71"/>
  <c r="AT71" s="1"/>
  <c r="AL71"/>
  <c r="AK71"/>
  <c r="AI71"/>
  <c r="AH71"/>
  <c r="AG71"/>
  <c r="AF71"/>
  <c r="AE71"/>
  <c r="AC71"/>
  <c r="AB71"/>
  <c r="AA71"/>
  <c r="Z71"/>
  <c r="O71"/>
  <c r="N71"/>
  <c r="M71"/>
  <c r="L71"/>
  <c r="BI70"/>
  <c r="BH70"/>
  <c r="BJ70" s="1"/>
  <c r="AW70"/>
  <c r="AV70"/>
  <c r="AX70" s="1"/>
  <c r="AS70"/>
  <c r="AT70" s="1"/>
  <c r="AL70"/>
  <c r="AK70"/>
  <c r="AI70"/>
  <c r="AH70"/>
  <c r="AG70"/>
  <c r="AF70"/>
  <c r="AE70"/>
  <c r="AC70"/>
  <c r="AB70"/>
  <c r="AA70"/>
  <c r="Z70"/>
  <c r="O70"/>
  <c r="N70"/>
  <c r="M70"/>
  <c r="L70"/>
  <c r="BI69"/>
  <c r="BH69"/>
  <c r="BJ69" s="1"/>
  <c r="AW69"/>
  <c r="AV69"/>
  <c r="AX69" s="1"/>
  <c r="AS69"/>
  <c r="AT69" s="1"/>
  <c r="AL69"/>
  <c r="AK69"/>
  <c r="AI69"/>
  <c r="AH69"/>
  <c r="AG69"/>
  <c r="AF69"/>
  <c r="AE69"/>
  <c r="AC69"/>
  <c r="AB69"/>
  <c r="AA69"/>
  <c r="Z69"/>
  <c r="O69"/>
  <c r="N69"/>
  <c r="M69"/>
  <c r="L69"/>
  <c r="BI68"/>
  <c r="BH68"/>
  <c r="BJ68" s="1"/>
  <c r="AW68"/>
  <c r="AV68"/>
  <c r="AX68" s="1"/>
  <c r="AS68"/>
  <c r="AT68" s="1"/>
  <c r="AL68"/>
  <c r="AK68"/>
  <c r="AI68"/>
  <c r="AH68"/>
  <c r="AG68"/>
  <c r="AF68"/>
  <c r="AE68"/>
  <c r="AC68"/>
  <c r="AB68"/>
  <c r="AA68"/>
  <c r="Z68"/>
  <c r="O68"/>
  <c r="N68"/>
  <c r="M68"/>
  <c r="L68"/>
  <c r="BI67"/>
  <c r="BH67"/>
  <c r="BJ67" s="1"/>
  <c r="AW67"/>
  <c r="AV67"/>
  <c r="AX67" s="1"/>
  <c r="AS67"/>
  <c r="AT67" s="1"/>
  <c r="AL67"/>
  <c r="AK67"/>
  <c r="AI67"/>
  <c r="AH67"/>
  <c r="AG67"/>
  <c r="AF67"/>
  <c r="AE67"/>
  <c r="AC67"/>
  <c r="AB67"/>
  <c r="AA67"/>
  <c r="Z67"/>
  <c r="O67"/>
  <c r="N67"/>
  <c r="M67"/>
  <c r="L67"/>
  <c r="BI66"/>
  <c r="BH66"/>
  <c r="BJ66" s="1"/>
  <c r="AW66"/>
  <c r="AV66"/>
  <c r="AX66" s="1"/>
  <c r="AS66"/>
  <c r="AT66" s="1"/>
  <c r="AL66"/>
  <c r="AK66"/>
  <c r="AI66"/>
  <c r="AH66"/>
  <c r="AG66"/>
  <c r="AF66"/>
  <c r="AE66"/>
  <c r="AC66"/>
  <c r="AB66"/>
  <c r="AA66"/>
  <c r="Y66"/>
  <c r="W66"/>
  <c r="U66"/>
  <c r="S66"/>
  <c r="Q66"/>
  <c r="Z66" s="1"/>
  <c r="O66"/>
  <c r="X66" s="1"/>
  <c r="N66"/>
  <c r="M66"/>
  <c r="L66"/>
  <c r="BI65"/>
  <c r="BH65"/>
  <c r="BJ65" s="1"/>
  <c r="AW65"/>
  <c r="AV65"/>
  <c r="AX65" s="1"/>
  <c r="AS65"/>
  <c r="AT65" s="1"/>
  <c r="AL65"/>
  <c r="AK65"/>
  <c r="AI65"/>
  <c r="AH65"/>
  <c r="AG65"/>
  <c r="AF65"/>
  <c r="AE65"/>
  <c r="AC65"/>
  <c r="AB65"/>
  <c r="AA65"/>
  <c r="Z65"/>
  <c r="O65"/>
  <c r="N65"/>
  <c r="M65"/>
  <c r="L65"/>
  <c r="BI64"/>
  <c r="BH64"/>
  <c r="BJ64" s="1"/>
  <c r="AW64"/>
  <c r="AV64"/>
  <c r="AX64" s="1"/>
  <c r="AS64"/>
  <c r="AT64" s="1"/>
  <c r="AL64"/>
  <c r="AK64"/>
  <c r="AI64"/>
  <c r="AH64"/>
  <c r="AG64"/>
  <c r="AF64"/>
  <c r="AE64"/>
  <c r="AC64"/>
  <c r="AB64"/>
  <c r="AA64"/>
  <c r="Z64"/>
  <c r="O64"/>
  <c r="N64"/>
  <c r="M64"/>
  <c r="L64"/>
  <c r="BI63"/>
  <c r="BH63"/>
  <c r="BJ63" s="1"/>
  <c r="AW63"/>
  <c r="AV63"/>
  <c r="AX63" s="1"/>
  <c r="AS63"/>
  <c r="AT63" s="1"/>
  <c r="AL63"/>
  <c r="AK63"/>
  <c r="AI63"/>
  <c r="AH63"/>
  <c r="AG63"/>
  <c r="AF63"/>
  <c r="AE63"/>
  <c r="AC63"/>
  <c r="AB63"/>
  <c r="AA63"/>
  <c r="O63"/>
  <c r="N63"/>
  <c r="M63"/>
  <c r="L63"/>
  <c r="BI62"/>
  <c r="BH62"/>
  <c r="AW62"/>
  <c r="AV62"/>
  <c r="AS62"/>
  <c r="AT62" s="1"/>
  <c r="AL62"/>
  <c r="AK62"/>
  <c r="AI62"/>
  <c r="AH62"/>
  <c r="AG62"/>
  <c r="AF62"/>
  <c r="AE62"/>
  <c r="AC62"/>
  <c r="AB62"/>
  <c r="AA62"/>
  <c r="O62"/>
  <c r="N62"/>
  <c r="M62"/>
  <c r="L62"/>
  <c r="BI61"/>
  <c r="BH61"/>
  <c r="BJ61" s="1"/>
  <c r="AW61"/>
  <c r="AV61"/>
  <c r="AX61" s="1"/>
  <c r="AS61"/>
  <c r="AT61" s="1"/>
  <c r="AL61"/>
  <c r="AK61"/>
  <c r="AI61"/>
  <c r="AH61"/>
  <c r="AG61"/>
  <c r="AF61"/>
  <c r="AE61"/>
  <c r="AC61"/>
  <c r="AB61"/>
  <c r="AA61"/>
  <c r="O61"/>
  <c r="N61"/>
  <c r="M61"/>
  <c r="L61"/>
  <c r="BI60"/>
  <c r="BH60"/>
  <c r="AW60"/>
  <c r="AV60"/>
  <c r="AS60"/>
  <c r="AT60" s="1"/>
  <c r="AL60"/>
  <c r="AK60"/>
  <c r="AI60"/>
  <c r="AH60"/>
  <c r="AG60"/>
  <c r="AF60"/>
  <c r="AE60"/>
  <c r="AC60"/>
  <c r="AB60"/>
  <c r="AA60"/>
  <c r="Z60"/>
  <c r="O60"/>
  <c r="N60"/>
  <c r="M60"/>
  <c r="L60"/>
  <c r="BI59"/>
  <c r="BH59"/>
  <c r="AW59"/>
  <c r="AV59"/>
  <c r="AS59"/>
  <c r="AT59" s="1"/>
  <c r="AL59"/>
  <c r="AK59"/>
  <c r="AI59"/>
  <c r="AH59"/>
  <c r="AG59"/>
  <c r="AF59"/>
  <c r="AE59"/>
  <c r="AC59"/>
  <c r="AB59"/>
  <c r="AA59"/>
  <c r="Z59"/>
  <c r="O59"/>
  <c r="N59"/>
  <c r="M59"/>
  <c r="L59"/>
  <c r="BI58"/>
  <c r="BH58"/>
  <c r="AW58"/>
  <c r="AV58"/>
  <c r="AS58"/>
  <c r="AT58" s="1"/>
  <c r="AL58"/>
  <c r="AK58"/>
  <c r="AI58"/>
  <c r="AH58"/>
  <c r="AG58"/>
  <c r="AF58"/>
  <c r="AE58"/>
  <c r="AC58"/>
  <c r="AB58"/>
  <c r="AA58"/>
  <c r="Z58"/>
  <c r="O58"/>
  <c r="N58"/>
  <c r="M58"/>
  <c r="L58"/>
  <c r="BI57"/>
  <c r="BH57"/>
  <c r="AW57"/>
  <c r="AV57"/>
  <c r="AS57"/>
  <c r="AT57" s="1"/>
  <c r="AL57"/>
  <c r="AK57"/>
  <c r="AI57"/>
  <c r="AH57"/>
  <c r="AG57"/>
  <c r="AF57"/>
  <c r="AE57"/>
  <c r="AC57"/>
  <c r="AB57"/>
  <c r="AA57"/>
  <c r="O57"/>
  <c r="N57"/>
  <c r="M57"/>
  <c r="L57"/>
  <c r="BI56"/>
  <c r="BH56"/>
  <c r="BJ56" s="1"/>
  <c r="AW56"/>
  <c r="AV56"/>
  <c r="AS56"/>
  <c r="AT56" s="1"/>
  <c r="AL56"/>
  <c r="AK56"/>
  <c r="AI56"/>
  <c r="AH56"/>
  <c r="AG56"/>
  <c r="AF56"/>
  <c r="AE56"/>
  <c r="AC56"/>
  <c r="AB56"/>
  <c r="AA56"/>
  <c r="Z56"/>
  <c r="O56"/>
  <c r="N56"/>
  <c r="M56"/>
  <c r="L56"/>
  <c r="BI55"/>
  <c r="BH55"/>
  <c r="BJ55" s="1"/>
  <c r="AW55"/>
  <c r="AV55"/>
  <c r="AX55" s="1"/>
  <c r="AS55"/>
  <c r="AT55" s="1"/>
  <c r="AL55"/>
  <c r="AK55"/>
  <c r="AI55"/>
  <c r="AH55"/>
  <c r="AG55"/>
  <c r="AF55"/>
  <c r="AE55"/>
  <c r="AC55"/>
  <c r="AB55"/>
  <c r="AA55"/>
  <c r="Z55"/>
  <c r="O55"/>
  <c r="N55"/>
  <c r="M55"/>
  <c r="L55"/>
  <c r="BI54"/>
  <c r="BH54"/>
  <c r="BJ54" s="1"/>
  <c r="AW54"/>
  <c r="AV54"/>
  <c r="AS54"/>
  <c r="AT54" s="1"/>
  <c r="AL54"/>
  <c r="AK54"/>
  <c r="AI54"/>
  <c r="AH54"/>
  <c r="AG54"/>
  <c r="AF54"/>
  <c r="AE54"/>
  <c r="AC54"/>
  <c r="AB54"/>
  <c r="AA54"/>
  <c r="Z54"/>
  <c r="O54"/>
  <c r="N54"/>
  <c r="M54"/>
  <c r="L54"/>
  <c r="BI53"/>
  <c r="BH53"/>
  <c r="BJ53" s="1"/>
  <c r="AW53"/>
  <c r="AV53"/>
  <c r="AX53" s="1"/>
  <c r="AS53"/>
  <c r="AT53" s="1"/>
  <c r="AL53"/>
  <c r="AK53"/>
  <c r="AI53"/>
  <c r="AH53"/>
  <c r="AG53"/>
  <c r="AF53"/>
  <c r="AE53"/>
  <c r="AC53"/>
  <c r="AB53"/>
  <c r="AA53"/>
  <c r="Z53"/>
  <c r="O53"/>
  <c r="N53"/>
  <c r="M53"/>
  <c r="L53"/>
  <c r="BI52"/>
  <c r="BH52"/>
  <c r="BJ52" s="1"/>
  <c r="AW52"/>
  <c r="AV52"/>
  <c r="AS52"/>
  <c r="AT52" s="1"/>
  <c r="AL52"/>
  <c r="AK52"/>
  <c r="AI52"/>
  <c r="AH52"/>
  <c r="AG52"/>
  <c r="AF52"/>
  <c r="AE52"/>
  <c r="AC52"/>
  <c r="AB52"/>
  <c r="AA52"/>
  <c r="Z52"/>
  <c r="O52"/>
  <c r="N52"/>
  <c r="M52"/>
  <c r="L52"/>
  <c r="BI51"/>
  <c r="BH51"/>
  <c r="BJ51" s="1"/>
  <c r="AW51"/>
  <c r="AV51"/>
  <c r="AX51" s="1"/>
  <c r="AS51"/>
  <c r="AT51" s="1"/>
  <c r="AL51"/>
  <c r="AK51"/>
  <c r="AI51"/>
  <c r="AH51"/>
  <c r="AG51"/>
  <c r="AF51"/>
  <c r="AE51"/>
  <c r="AC51"/>
  <c r="AB51"/>
  <c r="AA51"/>
  <c r="Z51"/>
  <c r="O51"/>
  <c r="N51"/>
  <c r="M51"/>
  <c r="L51"/>
  <c r="BI50"/>
  <c r="BH50"/>
  <c r="BJ50" s="1"/>
  <c r="AW50"/>
  <c r="AV50"/>
  <c r="AS50"/>
  <c r="AT50" s="1"/>
  <c r="AL50"/>
  <c r="AK50"/>
  <c r="AI50"/>
  <c r="AH50"/>
  <c r="AG50"/>
  <c r="AF50"/>
  <c r="AE50"/>
  <c r="AC50"/>
  <c r="AB50"/>
  <c r="AA50"/>
  <c r="Z50"/>
  <c r="O50"/>
  <c r="N50"/>
  <c r="M50"/>
  <c r="L50"/>
  <c r="BI49"/>
  <c r="BH49"/>
  <c r="BJ49" s="1"/>
  <c r="AW49"/>
  <c r="AV49"/>
  <c r="AX49" s="1"/>
  <c r="AS49"/>
  <c r="AT49" s="1"/>
  <c r="AL49"/>
  <c r="AK49"/>
  <c r="AI49"/>
  <c r="AH49"/>
  <c r="AG49"/>
  <c r="AF49"/>
  <c r="AE49"/>
  <c r="AC49"/>
  <c r="AB49"/>
  <c r="AA49"/>
  <c r="Z49"/>
  <c r="O49"/>
  <c r="N49"/>
  <c r="M49"/>
  <c r="L49"/>
  <c r="BI48"/>
  <c r="BH48"/>
  <c r="BJ48" s="1"/>
  <c r="AW48"/>
  <c r="AV48"/>
  <c r="AS48"/>
  <c r="AT48" s="1"/>
  <c r="AL48"/>
  <c r="AK48"/>
  <c r="AI48"/>
  <c r="AH48"/>
  <c r="AG48"/>
  <c r="AF48"/>
  <c r="AE48"/>
  <c r="AC48"/>
  <c r="AB48"/>
  <c r="AA48"/>
  <c r="Z48"/>
  <c r="O48"/>
  <c r="N48"/>
  <c r="M48"/>
  <c r="L48"/>
  <c r="BI47"/>
  <c r="BH47"/>
  <c r="BJ47" s="1"/>
  <c r="AW47"/>
  <c r="AV47"/>
  <c r="AX47" s="1"/>
  <c r="AS47"/>
  <c r="AT47" s="1"/>
  <c r="AL47"/>
  <c r="AK47"/>
  <c r="AI47"/>
  <c r="AH47"/>
  <c r="AG47"/>
  <c r="AF47"/>
  <c r="AE47"/>
  <c r="AC47"/>
  <c r="AB47"/>
  <c r="AA47"/>
  <c r="Z47"/>
  <c r="O47"/>
  <c r="N47"/>
  <c r="M47"/>
  <c r="L47"/>
  <c r="BI46"/>
  <c r="BH46"/>
  <c r="BJ46" s="1"/>
  <c r="AW46"/>
  <c r="AV46"/>
  <c r="AS46"/>
  <c r="AT46" s="1"/>
  <c r="AL46"/>
  <c r="AK46"/>
  <c r="AI46"/>
  <c r="AH46"/>
  <c r="AG46"/>
  <c r="AF46"/>
  <c r="AE46"/>
  <c r="AC46"/>
  <c r="AB46"/>
  <c r="AA46"/>
  <c r="Z46"/>
  <c r="O46"/>
  <c r="N46"/>
  <c r="M46"/>
  <c r="L46"/>
  <c r="BI45"/>
  <c r="BH45"/>
  <c r="BJ45" s="1"/>
  <c r="AW45"/>
  <c r="AV45"/>
  <c r="AX45" s="1"/>
  <c r="AS45"/>
  <c r="AT45" s="1"/>
  <c r="AL45"/>
  <c r="AK45"/>
  <c r="AI45"/>
  <c r="AH45"/>
  <c r="AG45"/>
  <c r="AF45"/>
  <c r="AE45"/>
  <c r="AC45"/>
  <c r="AB45"/>
  <c r="AA45"/>
  <c r="Z45"/>
  <c r="O45"/>
  <c r="N45"/>
  <c r="M45"/>
  <c r="L45"/>
  <c r="BI44"/>
  <c r="BH44"/>
  <c r="AW44"/>
  <c r="AV44"/>
  <c r="AX44" s="1"/>
  <c r="AS44"/>
  <c r="AT44" s="1"/>
  <c r="AL44"/>
  <c r="AK44"/>
  <c r="AI44"/>
  <c r="AH44"/>
  <c r="AG44"/>
  <c r="AF44"/>
  <c r="AE44"/>
  <c r="AC44"/>
  <c r="AB44"/>
  <c r="AA44"/>
  <c r="Z44"/>
  <c r="O44"/>
  <c r="N44"/>
  <c r="M44"/>
  <c r="L44"/>
  <c r="BI43"/>
  <c r="BH43"/>
  <c r="AW43"/>
  <c r="AV43"/>
  <c r="AS43"/>
  <c r="AT43" s="1"/>
  <c r="AL43"/>
  <c r="AK43"/>
  <c r="AI43"/>
  <c r="AH43"/>
  <c r="AG43"/>
  <c r="AF43"/>
  <c r="AE43"/>
  <c r="AC43"/>
  <c r="AB43"/>
  <c r="AA43"/>
  <c r="Z43"/>
  <c r="O43"/>
  <c r="N43"/>
  <c r="M43"/>
  <c r="L43"/>
  <c r="BI42"/>
  <c r="BH42"/>
  <c r="AW42"/>
  <c r="AV42"/>
  <c r="AS42"/>
  <c r="AT42" s="1"/>
  <c r="AL42"/>
  <c r="AK42"/>
  <c r="AI42"/>
  <c r="AH42"/>
  <c r="AG42"/>
  <c r="AF42"/>
  <c r="AE42"/>
  <c r="AC42"/>
  <c r="AB42"/>
  <c r="AA42"/>
  <c r="Z42"/>
  <c r="O42"/>
  <c r="N42"/>
  <c r="M42"/>
  <c r="L42"/>
  <c r="BI41"/>
  <c r="BJ41" s="1"/>
  <c r="BH41"/>
  <c r="AW41"/>
  <c r="AV41"/>
  <c r="AT41"/>
  <c r="AS41"/>
  <c r="AL41"/>
  <c r="AK41"/>
  <c r="AI41"/>
  <c r="AH41"/>
  <c r="AG41"/>
  <c r="AF41"/>
  <c r="AE41"/>
  <c r="AC41"/>
  <c r="AB41"/>
  <c r="AA41"/>
  <c r="Z41"/>
  <c r="O41"/>
  <c r="N41"/>
  <c r="M41"/>
  <c r="L41"/>
  <c r="BI40"/>
  <c r="BH40"/>
  <c r="AW40"/>
  <c r="AV40"/>
  <c r="AX40" s="1"/>
  <c r="AS40"/>
  <c r="AT40" s="1"/>
  <c r="AL40"/>
  <c r="AK40"/>
  <c r="AI40"/>
  <c r="AH40"/>
  <c r="AG40"/>
  <c r="AF40"/>
  <c r="AE40"/>
  <c r="AC40"/>
  <c r="AB40"/>
  <c r="AA40"/>
  <c r="O40"/>
  <c r="N40"/>
  <c r="M40"/>
  <c r="L40"/>
  <c r="BI39"/>
  <c r="BH39"/>
  <c r="AW39"/>
  <c r="AV39"/>
  <c r="AS39"/>
  <c r="AT39" s="1"/>
  <c r="AL39"/>
  <c r="AK39"/>
  <c r="AI39"/>
  <c r="AH39"/>
  <c r="AG39"/>
  <c r="AF39"/>
  <c r="AE39"/>
  <c r="AC39"/>
  <c r="AB39"/>
  <c r="AA39"/>
  <c r="O39"/>
  <c r="N39"/>
  <c r="M39"/>
  <c r="L39"/>
  <c r="BI38"/>
  <c r="BH38"/>
  <c r="AW38"/>
  <c r="AV38"/>
  <c r="AS38"/>
  <c r="AT38" s="1"/>
  <c r="AL38"/>
  <c r="AK38"/>
  <c r="AI38"/>
  <c r="AH38"/>
  <c r="AG38"/>
  <c r="AF38"/>
  <c r="AE38"/>
  <c r="AC38"/>
  <c r="AB38"/>
  <c r="AA38"/>
  <c r="O38"/>
  <c r="N38"/>
  <c r="M38"/>
  <c r="L38"/>
  <c r="BI37"/>
  <c r="BH37"/>
  <c r="AW37"/>
  <c r="AV37"/>
  <c r="AS37"/>
  <c r="AT37" s="1"/>
  <c r="AL37"/>
  <c r="AK37"/>
  <c r="AI37"/>
  <c r="AH37"/>
  <c r="AG37"/>
  <c r="AF37"/>
  <c r="AE37"/>
  <c r="AC37"/>
  <c r="AB37"/>
  <c r="AA37"/>
  <c r="O37"/>
  <c r="N37"/>
  <c r="M37"/>
  <c r="L37"/>
  <c r="BI36"/>
  <c r="BH36"/>
  <c r="AW36"/>
  <c r="AV36"/>
  <c r="AS36"/>
  <c r="AT36" s="1"/>
  <c r="AL36"/>
  <c r="AK36"/>
  <c r="AI36"/>
  <c r="AH36"/>
  <c r="AG36"/>
  <c r="AF36"/>
  <c r="AE36"/>
  <c r="AC36"/>
  <c r="AB36"/>
  <c r="AA36"/>
  <c r="Z36"/>
  <c r="O36"/>
  <c r="N36"/>
  <c r="M36"/>
  <c r="L36"/>
  <c r="BI35"/>
  <c r="BH35"/>
  <c r="AW35"/>
  <c r="AV35"/>
  <c r="AS35"/>
  <c r="AT35" s="1"/>
  <c r="AL35"/>
  <c r="AK35"/>
  <c r="AI35"/>
  <c r="AH35"/>
  <c r="AG35"/>
  <c r="AF35"/>
  <c r="AE35"/>
  <c r="AC35"/>
  <c r="AB35"/>
  <c r="AA35"/>
  <c r="Z35"/>
  <c r="O35"/>
  <c r="N35"/>
  <c r="M35"/>
  <c r="L35"/>
  <c r="BI34"/>
  <c r="BH34"/>
  <c r="AW34"/>
  <c r="AV34"/>
  <c r="AS34"/>
  <c r="AT34" s="1"/>
  <c r="AL34"/>
  <c r="AK34"/>
  <c r="AI34"/>
  <c r="AH34"/>
  <c r="AG34"/>
  <c r="AF34"/>
  <c r="AE34"/>
  <c r="AC34"/>
  <c r="AB34"/>
  <c r="AA34"/>
  <c r="Z34"/>
  <c r="O34"/>
  <c r="N34"/>
  <c r="M34"/>
  <c r="L34"/>
  <c r="BI33"/>
  <c r="BH33"/>
  <c r="AW33"/>
  <c r="AV33"/>
  <c r="AS33"/>
  <c r="AT33" s="1"/>
  <c r="AL33"/>
  <c r="AK33"/>
  <c r="AI33"/>
  <c r="AH33"/>
  <c r="AG33"/>
  <c r="AF33"/>
  <c r="AE33"/>
  <c r="AC33"/>
  <c r="AB33"/>
  <c r="AA33"/>
  <c r="Z33"/>
  <c r="O33"/>
  <c r="N33"/>
  <c r="M33"/>
  <c r="L33"/>
  <c r="BI32"/>
  <c r="BH32"/>
  <c r="AW32"/>
  <c r="AV32"/>
  <c r="AS32"/>
  <c r="AT32" s="1"/>
  <c r="AL32"/>
  <c r="AK32"/>
  <c r="AI32"/>
  <c r="AH32"/>
  <c r="AG32"/>
  <c r="AF32"/>
  <c r="AE32"/>
  <c r="AC32"/>
  <c r="AB32"/>
  <c r="AA32"/>
  <c r="Z32"/>
  <c r="O32"/>
  <c r="N32"/>
  <c r="M32"/>
  <c r="L32"/>
  <c r="BI31"/>
  <c r="BH31"/>
  <c r="AW31"/>
  <c r="AV31"/>
  <c r="AS31"/>
  <c r="AT31" s="1"/>
  <c r="AL31"/>
  <c r="AK31"/>
  <c r="AI31"/>
  <c r="AH31"/>
  <c r="AG31"/>
  <c r="AF31"/>
  <c r="AE31"/>
  <c r="AC31"/>
  <c r="AB31"/>
  <c r="AA31"/>
  <c r="O31"/>
  <c r="N31"/>
  <c r="M31"/>
  <c r="L31"/>
  <c r="BI30"/>
  <c r="BH30"/>
  <c r="AW30"/>
  <c r="AV30"/>
  <c r="AS30"/>
  <c r="AT30" s="1"/>
  <c r="AL30"/>
  <c r="AK30"/>
  <c r="AI30"/>
  <c r="AH30"/>
  <c r="AG30"/>
  <c r="AF30"/>
  <c r="AE30"/>
  <c r="AC30"/>
  <c r="AB30"/>
  <c r="AA30"/>
  <c r="Z30"/>
  <c r="O30"/>
  <c r="N30"/>
  <c r="M30"/>
  <c r="L30"/>
  <c r="BI29"/>
  <c r="BH29"/>
  <c r="AW29"/>
  <c r="AV29"/>
  <c r="AS29"/>
  <c r="AT29" s="1"/>
  <c r="AL29"/>
  <c r="AK29"/>
  <c r="AI29"/>
  <c r="AH29"/>
  <c r="AG29"/>
  <c r="AF29"/>
  <c r="AE29"/>
  <c r="AC29"/>
  <c r="AB29"/>
  <c r="AA29"/>
  <c r="Z29"/>
  <c r="O29"/>
  <c r="N29"/>
  <c r="M29"/>
  <c r="L29"/>
  <c r="BI28"/>
  <c r="BH28"/>
  <c r="AW28"/>
  <c r="AV28"/>
  <c r="AS28"/>
  <c r="AT28" s="1"/>
  <c r="AL28"/>
  <c r="AK28"/>
  <c r="AI28"/>
  <c r="AH28"/>
  <c r="AG28"/>
  <c r="AF28"/>
  <c r="AE28"/>
  <c r="AC28"/>
  <c r="AB28"/>
  <c r="AA28"/>
  <c r="Z28"/>
  <c r="O28"/>
  <c r="N28"/>
  <c r="M28"/>
  <c r="L28"/>
  <c r="BI27"/>
  <c r="BH27"/>
  <c r="AW27"/>
  <c r="AV27"/>
  <c r="AS27"/>
  <c r="AT27" s="1"/>
  <c r="AL27"/>
  <c r="AK27"/>
  <c r="AI27"/>
  <c r="AH27"/>
  <c r="AG27"/>
  <c r="AF27"/>
  <c r="AE27"/>
  <c r="AC27"/>
  <c r="AB27"/>
  <c r="AA27"/>
  <c r="Z27"/>
  <c r="O27"/>
  <c r="N27"/>
  <c r="M27"/>
  <c r="L27"/>
  <c r="BI26"/>
  <c r="BH26"/>
  <c r="AW26"/>
  <c r="AV26"/>
  <c r="AS26"/>
  <c r="AT26" s="1"/>
  <c r="AL26"/>
  <c r="AK26"/>
  <c r="AI26"/>
  <c r="AH26"/>
  <c r="AG26"/>
  <c r="AF26"/>
  <c r="AE26"/>
  <c r="AC26"/>
  <c r="AB26"/>
  <c r="AA26"/>
  <c r="Z26"/>
  <c r="O26"/>
  <c r="N26"/>
  <c r="M26"/>
  <c r="L26"/>
  <c r="BI25"/>
  <c r="BH25"/>
  <c r="AW25"/>
  <c r="AV25"/>
  <c r="AS25"/>
  <c r="AT25" s="1"/>
  <c r="AL25"/>
  <c r="AK25"/>
  <c r="AI25"/>
  <c r="AH25"/>
  <c r="AG25"/>
  <c r="AF25"/>
  <c r="AE25"/>
  <c r="AC25"/>
  <c r="AB25"/>
  <c r="AA25"/>
  <c r="Z25"/>
  <c r="O25"/>
  <c r="N25"/>
  <c r="M25"/>
  <c r="L25"/>
  <c r="BI24"/>
  <c r="BH24"/>
  <c r="AW24"/>
  <c r="AV24"/>
  <c r="AS24"/>
  <c r="AT24" s="1"/>
  <c r="AL24"/>
  <c r="AK24"/>
  <c r="AI24"/>
  <c r="AH24"/>
  <c r="AG24"/>
  <c r="AF24"/>
  <c r="AE24"/>
  <c r="AC24"/>
  <c r="AB24"/>
  <c r="AA24"/>
  <c r="Z24"/>
  <c r="O24"/>
  <c r="N24"/>
  <c r="M24"/>
  <c r="L24"/>
  <c r="BI23"/>
  <c r="BH23"/>
  <c r="AW23"/>
  <c r="AV23"/>
  <c r="AS23"/>
  <c r="AT23" s="1"/>
  <c r="AL23"/>
  <c r="AK23"/>
  <c r="AI23"/>
  <c r="AH23"/>
  <c r="AG23"/>
  <c r="AF23"/>
  <c r="AE23"/>
  <c r="AC23"/>
  <c r="AB23"/>
  <c r="AA23"/>
  <c r="Z23"/>
  <c r="O23"/>
  <c r="N23"/>
  <c r="M23"/>
  <c r="L23"/>
  <c r="BI22"/>
  <c r="BH22"/>
  <c r="AW22"/>
  <c r="AV22"/>
  <c r="AS22"/>
  <c r="AT22" s="1"/>
  <c r="AL22"/>
  <c r="AK22"/>
  <c r="AI22"/>
  <c r="AH22"/>
  <c r="AG22"/>
  <c r="AF22"/>
  <c r="AE22"/>
  <c r="AC22"/>
  <c r="AB22"/>
  <c r="AA22"/>
  <c r="Z22"/>
  <c r="O22"/>
  <c r="N22"/>
  <c r="M22"/>
  <c r="L22"/>
  <c r="BI21"/>
  <c r="BH21"/>
  <c r="AW21"/>
  <c r="AV21"/>
  <c r="AS21"/>
  <c r="AT21" s="1"/>
  <c r="AL21"/>
  <c r="AK21"/>
  <c r="AI21"/>
  <c r="AH21"/>
  <c r="AG21"/>
  <c r="AF21"/>
  <c r="AE21"/>
  <c r="AC21"/>
  <c r="AB21"/>
  <c r="AA21"/>
  <c r="Z21"/>
  <c r="O21"/>
  <c r="N21"/>
  <c r="M21"/>
  <c r="L21"/>
  <c r="BI20"/>
  <c r="BH20"/>
  <c r="AW20"/>
  <c r="AV20"/>
  <c r="AS20"/>
  <c r="AT20" s="1"/>
  <c r="AL20"/>
  <c r="AK20"/>
  <c r="AI20"/>
  <c r="AH20"/>
  <c r="AG20"/>
  <c r="AF20"/>
  <c r="AE20"/>
  <c r="AC20"/>
  <c r="AB20"/>
  <c r="AA20"/>
  <c r="Z20"/>
  <c r="O20"/>
  <c r="N20"/>
  <c r="M20"/>
  <c r="L20"/>
  <c r="BI19"/>
  <c r="BH19"/>
  <c r="AW19"/>
  <c r="AV19"/>
  <c r="AS19"/>
  <c r="AT19" s="1"/>
  <c r="AL19"/>
  <c r="AK19"/>
  <c r="AI19"/>
  <c r="AH19"/>
  <c r="AG19"/>
  <c r="AF19"/>
  <c r="AE19"/>
  <c r="AC19"/>
  <c r="AB19"/>
  <c r="AA19"/>
  <c r="Z19"/>
  <c r="O19"/>
  <c r="N19"/>
  <c r="M19"/>
  <c r="L19"/>
  <c r="BI18"/>
  <c r="BH18"/>
  <c r="AW18"/>
  <c r="AV18"/>
  <c r="AS18"/>
  <c r="AT18" s="1"/>
  <c r="AL18"/>
  <c r="AK18"/>
  <c r="AI18"/>
  <c r="AH18"/>
  <c r="AG18"/>
  <c r="AF18"/>
  <c r="AE18"/>
  <c r="AC18"/>
  <c r="AB18"/>
  <c r="AA18"/>
  <c r="Z18"/>
  <c r="O18"/>
  <c r="N18"/>
  <c r="M18"/>
  <c r="L18"/>
  <c r="BI17"/>
  <c r="BH17"/>
  <c r="AW17"/>
  <c r="AV17"/>
  <c r="AS17"/>
  <c r="AT17" s="1"/>
  <c r="AL17"/>
  <c r="AK17"/>
  <c r="AI17"/>
  <c r="AH17"/>
  <c r="AG17"/>
  <c r="AF17"/>
  <c r="AE17"/>
  <c r="AC17"/>
  <c r="AB17"/>
  <c r="AA17"/>
  <c r="Z17"/>
  <c r="O17"/>
  <c r="N17"/>
  <c r="M17"/>
  <c r="L17"/>
  <c r="BI16"/>
  <c r="BH16"/>
  <c r="AW16"/>
  <c r="AV16"/>
  <c r="AS16"/>
  <c r="AT16" s="1"/>
  <c r="AL16"/>
  <c r="AK16"/>
  <c r="AI16"/>
  <c r="AH16"/>
  <c r="AG16"/>
  <c r="AF16"/>
  <c r="AE16"/>
  <c r="AC16"/>
  <c r="AB16"/>
  <c r="AA16"/>
  <c r="Z16"/>
  <c r="O16"/>
  <c r="N16"/>
  <c r="M16"/>
  <c r="L16"/>
  <c r="BI15"/>
  <c r="BH15"/>
  <c r="AW15"/>
  <c r="AV15"/>
  <c r="AS15"/>
  <c r="AT15" s="1"/>
  <c r="AL15"/>
  <c r="AK15"/>
  <c r="AI15"/>
  <c r="AH15"/>
  <c r="AG15"/>
  <c r="AF15"/>
  <c r="AE15"/>
  <c r="AC15"/>
  <c r="AB15"/>
  <c r="AA15"/>
  <c r="Z15"/>
  <c r="O15"/>
  <c r="N15"/>
  <c r="M15"/>
  <c r="L15"/>
  <c r="BI14"/>
  <c r="BH14"/>
  <c r="AW14"/>
  <c r="AV14"/>
  <c r="AS14"/>
  <c r="AT14" s="1"/>
  <c r="AL14"/>
  <c r="AK14"/>
  <c r="AI14"/>
  <c r="AH14"/>
  <c r="AG14"/>
  <c r="AF14"/>
  <c r="AE14"/>
  <c r="AC14"/>
  <c r="AB14"/>
  <c r="AA14"/>
  <c r="Z14"/>
  <c r="O14"/>
  <c r="N14"/>
  <c r="M14"/>
  <c r="L14"/>
  <c r="BI13"/>
  <c r="BJ13" s="1"/>
  <c r="BH13"/>
  <c r="AW13"/>
  <c r="AV13"/>
  <c r="AT13"/>
  <c r="AS13"/>
  <c r="AL13"/>
  <c r="AK13"/>
  <c r="AI13"/>
  <c r="AH13"/>
  <c r="AG13"/>
  <c r="AF13"/>
  <c r="AE13"/>
  <c r="AC13"/>
  <c r="AB13"/>
  <c r="AA13"/>
  <c r="Z13"/>
  <c r="O13"/>
  <c r="N13"/>
  <c r="M13"/>
  <c r="L13"/>
  <c r="BI12"/>
  <c r="BH12"/>
  <c r="AW12"/>
  <c r="AV12"/>
  <c r="AX12" s="1"/>
  <c r="AS12"/>
  <c r="AT12" s="1"/>
  <c r="AL12"/>
  <c r="AK12"/>
  <c r="AI12"/>
  <c r="AH12"/>
  <c r="AG12"/>
  <c r="AF12"/>
  <c r="AE12"/>
  <c r="AC12"/>
  <c r="AB12"/>
  <c r="AA12"/>
  <c r="Z12"/>
  <c r="O12"/>
  <c r="N12"/>
  <c r="M12"/>
  <c r="L12"/>
  <c r="BI11"/>
  <c r="BH11"/>
  <c r="AW11"/>
  <c r="AV11"/>
  <c r="AS11"/>
  <c r="AT11" s="1"/>
  <c r="AL11"/>
  <c r="AK11"/>
  <c r="AI11"/>
  <c r="AH11"/>
  <c r="AG11"/>
  <c r="AF11"/>
  <c r="AE11"/>
  <c r="AC11"/>
  <c r="AB11"/>
  <c r="AA11"/>
  <c r="Z11"/>
  <c r="O11"/>
  <c r="N11"/>
  <c r="M11"/>
  <c r="L11"/>
  <c r="BI10"/>
  <c r="BH10"/>
  <c r="AW10"/>
  <c r="AV10"/>
  <c r="AS10"/>
  <c r="AT10" s="1"/>
  <c r="AL10"/>
  <c r="AK10"/>
  <c r="AI10"/>
  <c r="AH10"/>
  <c r="AG10"/>
  <c r="AF10"/>
  <c r="AE10"/>
  <c r="AC10"/>
  <c r="AB10"/>
  <c r="AA10"/>
  <c r="Z10"/>
  <c r="O10"/>
  <c r="N10"/>
  <c r="M10"/>
  <c r="L10"/>
  <c r="BI9"/>
  <c r="BJ9" s="1"/>
  <c r="BH9"/>
  <c r="AW9"/>
  <c r="AV9"/>
  <c r="AT9"/>
  <c r="AS9"/>
  <c r="AL9"/>
  <c r="AK9"/>
  <c r="AI9"/>
  <c r="AH9"/>
  <c r="AG9"/>
  <c r="AF9"/>
  <c r="AE9"/>
  <c r="AC9"/>
  <c r="AB9"/>
  <c r="AA9"/>
  <c r="Z9"/>
  <c r="O9"/>
  <c r="N9"/>
  <c r="M9"/>
  <c r="L9"/>
  <c r="BI8"/>
  <c r="BH8"/>
  <c r="AW8"/>
  <c r="AV8"/>
  <c r="AX8" s="1"/>
  <c r="AS8"/>
  <c r="AT8" s="1"/>
  <c r="AL8"/>
  <c r="AK8"/>
  <c r="AI8"/>
  <c r="AH8"/>
  <c r="AG8"/>
  <c r="AF8"/>
  <c r="AE8"/>
  <c r="AC8"/>
  <c r="AB8"/>
  <c r="AA8"/>
  <c r="Z8"/>
  <c r="O8"/>
  <c r="N8"/>
  <c r="M8"/>
  <c r="L8"/>
  <c r="BI7"/>
  <c r="BH7"/>
  <c r="AW7"/>
  <c r="AV7"/>
  <c r="AS7"/>
  <c r="AT7" s="1"/>
  <c r="AL7"/>
  <c r="AK7"/>
  <c r="AI7"/>
  <c r="AH7"/>
  <c r="AG7"/>
  <c r="AF7"/>
  <c r="AE7"/>
  <c r="AC7"/>
  <c r="AB7"/>
  <c r="AA7"/>
  <c r="Z7"/>
  <c r="O7"/>
  <c r="N7"/>
  <c r="M7"/>
  <c r="L7"/>
  <c r="BI6"/>
  <c r="BH6"/>
  <c r="AW6"/>
  <c r="AV6"/>
  <c r="AS6"/>
  <c r="AT6" s="1"/>
  <c r="AL6"/>
  <c r="AK6"/>
  <c r="AI6"/>
  <c r="AH6"/>
  <c r="AG6"/>
  <c r="AF6"/>
  <c r="AE6"/>
  <c r="AC6"/>
  <c r="AB6"/>
  <c r="AA6"/>
  <c r="Z6"/>
  <c r="O6"/>
  <c r="N6"/>
  <c r="M6"/>
  <c r="L6"/>
  <c r="BI5"/>
  <c r="BJ5" s="1"/>
  <c r="BH5"/>
  <c r="AW5"/>
  <c r="AV5"/>
  <c r="AT5"/>
  <c r="AS5"/>
  <c r="AL5"/>
  <c r="AK5"/>
  <c r="AI5"/>
  <c r="AH5"/>
  <c r="AG5"/>
  <c r="AF5"/>
  <c r="AE5"/>
  <c r="AC5"/>
  <c r="AB5"/>
  <c r="AA5"/>
  <c r="Z5"/>
  <c r="O5"/>
  <c r="N5"/>
  <c r="M5"/>
  <c r="L5"/>
  <c r="BI4"/>
  <c r="BH4"/>
  <c r="AW4"/>
  <c r="AV4"/>
  <c r="AX4" s="1"/>
  <c r="AS4"/>
  <c r="AT4" s="1"/>
  <c r="AL4"/>
  <c r="AK4"/>
  <c r="AI4"/>
  <c r="AH4"/>
  <c r="AG4"/>
  <c r="AF4"/>
  <c r="AE4"/>
  <c r="AC4"/>
  <c r="AB4"/>
  <c r="AA4"/>
  <c r="Z4"/>
  <c r="O4"/>
  <c r="N4"/>
  <c r="M4"/>
  <c r="L4"/>
  <c r="BI3"/>
  <c r="BH3"/>
  <c r="AW3"/>
  <c r="AV3"/>
  <c r="AS3"/>
  <c r="AT3" s="1"/>
  <c r="AL3"/>
  <c r="AK3"/>
  <c r="AI3"/>
  <c r="AH3"/>
  <c r="AG3"/>
  <c r="AF3"/>
  <c r="AE3"/>
  <c r="AC3"/>
  <c r="AB3"/>
  <c r="AA3"/>
  <c r="Z3"/>
  <c r="O3"/>
  <c r="N3"/>
  <c r="M3"/>
  <c r="L3"/>
  <c r="BI2"/>
  <c r="BH2"/>
  <c r="AW2"/>
  <c r="AV2"/>
  <c r="AS2"/>
  <c r="AS109" s="1"/>
  <c r="AL2"/>
  <c r="AK2"/>
  <c r="AK109" s="1"/>
  <c r="AI2"/>
  <c r="AH2"/>
  <c r="AG2"/>
  <c r="AF2"/>
  <c r="AF109" s="1"/>
  <c r="AE2"/>
  <c r="AC2"/>
  <c r="AC109" s="1"/>
  <c r="AB2"/>
  <c r="AA2"/>
  <c r="AA109" s="1"/>
  <c r="Z2"/>
  <c r="O2"/>
  <c r="N2"/>
  <c r="M2"/>
  <c r="L2"/>
  <c r="AS108" i="2" l="1"/>
  <c r="BJ68"/>
  <c r="AX67"/>
  <c r="BJ61"/>
  <c r="BJ59"/>
  <c r="AX58"/>
  <c r="AX57"/>
  <c r="AX56"/>
  <c r="AX55"/>
  <c r="AX54"/>
  <c r="AX53"/>
  <c r="AX52"/>
  <c r="BJ50"/>
  <c r="BJ48"/>
  <c r="BJ46"/>
  <c r="AX44"/>
  <c r="AX42"/>
  <c r="AX40"/>
  <c r="AX38"/>
  <c r="AX36"/>
  <c r="AX34"/>
  <c r="AX32"/>
  <c r="AX30"/>
  <c r="AX7"/>
  <c r="AX5"/>
  <c r="AX3"/>
  <c r="AX27"/>
  <c r="AX25"/>
  <c r="AX23"/>
  <c r="AX21"/>
  <c r="AX19"/>
  <c r="AX17"/>
  <c r="AX14"/>
  <c r="AX12"/>
  <c r="AX10"/>
  <c r="BL104"/>
  <c r="BL103"/>
  <c r="BL102"/>
  <c r="BL101"/>
  <c r="BL100"/>
  <c r="BL99"/>
  <c r="BL98"/>
  <c r="BL97"/>
  <c r="BL96"/>
  <c r="BL95"/>
  <c r="BL94"/>
  <c r="BL93"/>
  <c r="BL92"/>
  <c r="BL91"/>
  <c r="BL90"/>
  <c r="BL89"/>
  <c r="BL88"/>
  <c r="BL87"/>
  <c r="BL86"/>
  <c r="BL85"/>
  <c r="BL84"/>
  <c r="BL83"/>
  <c r="BL82"/>
  <c r="BL81"/>
  <c r="BL78"/>
  <c r="BL75"/>
  <c r="BL79"/>
  <c r="BL76"/>
  <c r="AX108"/>
  <c r="AT108"/>
  <c r="AV109" i="1"/>
  <c r="BJ3"/>
  <c r="AX6"/>
  <c r="BJ7"/>
  <c r="AX10"/>
  <c r="BJ11"/>
  <c r="AX14"/>
  <c r="AX15"/>
  <c r="BJ15"/>
  <c r="AX16"/>
  <c r="BJ16"/>
  <c r="AX17"/>
  <c r="BJ17"/>
  <c r="AX18"/>
  <c r="BJ18"/>
  <c r="AX19"/>
  <c r="BJ19"/>
  <c r="AX20"/>
  <c r="BJ20"/>
  <c r="AX21"/>
  <c r="BJ21"/>
  <c r="AX22"/>
  <c r="BJ22"/>
  <c r="AX23"/>
  <c r="BJ23"/>
  <c r="AX24"/>
  <c r="BJ24"/>
  <c r="AX25"/>
  <c r="BJ25"/>
  <c r="AX26"/>
  <c r="BJ26"/>
  <c r="AX27"/>
  <c r="BJ27"/>
  <c r="AX28"/>
  <c r="BJ28"/>
  <c r="AX29"/>
  <c r="BJ29"/>
  <c r="AX30"/>
  <c r="BJ30"/>
  <c r="AX37"/>
  <c r="BJ37"/>
  <c r="AX39"/>
  <c r="BJ39"/>
  <c r="AX42"/>
  <c r="BJ43"/>
  <c r="AX104"/>
  <c r="N109"/>
  <c r="AB109"/>
  <c r="AG109"/>
  <c r="AI109"/>
  <c r="AL109"/>
  <c r="AT2"/>
  <c r="AW109"/>
  <c r="BJ2"/>
  <c r="AX3"/>
  <c r="BJ4"/>
  <c r="AX5"/>
  <c r="BJ6"/>
  <c r="AX7"/>
  <c r="BJ8"/>
  <c r="AX9"/>
  <c r="BJ10"/>
  <c r="AX11"/>
  <c r="BJ12"/>
  <c r="AX13"/>
  <c r="BJ14"/>
  <c r="AX31"/>
  <c r="BJ31"/>
  <c r="AX32"/>
  <c r="BJ32"/>
  <c r="AX33"/>
  <c r="BJ33"/>
  <c r="AX34"/>
  <c r="BJ34"/>
  <c r="AX35"/>
  <c r="BJ35"/>
  <c r="AX36"/>
  <c r="BJ36"/>
  <c r="AX38"/>
  <c r="BJ38"/>
  <c r="BJ40"/>
  <c r="AX41"/>
  <c r="BJ42"/>
  <c r="AX43"/>
  <c r="BJ44"/>
  <c r="AX57"/>
  <c r="BJ57"/>
  <c r="AX58"/>
  <c r="BJ58"/>
  <c r="AX59"/>
  <c r="BJ59"/>
  <c r="AX60"/>
  <c r="BJ60"/>
  <c r="AX62"/>
  <c r="BJ62"/>
  <c r="BJ82"/>
  <c r="AX83"/>
  <c r="BJ83"/>
  <c r="AX84"/>
  <c r="BJ84"/>
  <c r="AX85"/>
  <c r="BJ85"/>
  <c r="AX86"/>
  <c r="BJ86"/>
  <c r="AX87"/>
  <c r="BJ87"/>
  <c r="AX88"/>
  <c r="BJ88"/>
  <c r="AX89"/>
  <c r="BJ89"/>
  <c r="AX90"/>
  <c r="BJ90"/>
  <c r="AX91"/>
  <c r="BJ91"/>
  <c r="AX92"/>
  <c r="BJ92"/>
  <c r="AX93"/>
  <c r="BJ93"/>
  <c r="AX94"/>
  <c r="BJ94"/>
  <c r="AX95"/>
  <c r="BJ95"/>
  <c r="AX96"/>
  <c r="BJ96"/>
  <c r="AX97"/>
  <c r="BJ97"/>
  <c r="AX98"/>
  <c r="BJ98"/>
  <c r="AX99"/>
  <c r="BJ99"/>
  <c r="AX100"/>
  <c r="BJ100"/>
  <c r="AX101"/>
  <c r="BJ101"/>
  <c r="AX102"/>
  <c r="BJ102"/>
  <c r="AX103"/>
  <c r="BJ103"/>
  <c r="BL32"/>
  <c r="AJ32"/>
  <c r="BL33"/>
  <c r="AJ33"/>
  <c r="BL34"/>
  <c r="AJ34"/>
  <c r="BL35"/>
  <c r="AJ35"/>
  <c r="BL36"/>
  <c r="AJ36"/>
  <c r="BL37"/>
  <c r="BL39"/>
  <c r="BL41"/>
  <c r="AJ41"/>
  <c r="BL42"/>
  <c r="AJ42"/>
  <c r="BL43"/>
  <c r="AJ43"/>
  <c r="BL44"/>
  <c r="AJ44"/>
  <c r="AJ45"/>
  <c r="BL45"/>
  <c r="BL46"/>
  <c r="AJ46"/>
  <c r="BL47"/>
  <c r="AJ47"/>
  <c r="BL48"/>
  <c r="AJ48"/>
  <c r="BL49"/>
  <c r="AJ49"/>
  <c r="BL50"/>
  <c r="AJ50"/>
  <c r="BL51"/>
  <c r="AJ51"/>
  <c r="BL52"/>
  <c r="AJ52"/>
  <c r="BL53"/>
  <c r="AJ53"/>
  <c r="BL54"/>
  <c r="AJ54"/>
  <c r="BL55"/>
  <c r="AJ55"/>
  <c r="BL56"/>
  <c r="AJ56"/>
  <c r="BL57"/>
  <c r="L109"/>
  <c r="BL109" s="1"/>
  <c r="BL2"/>
  <c r="AJ2"/>
  <c r="BL3"/>
  <c r="AJ3"/>
  <c r="BL4"/>
  <c r="AJ4"/>
  <c r="BL5"/>
  <c r="AJ5"/>
  <c r="BL6"/>
  <c r="AJ6"/>
  <c r="BL7"/>
  <c r="AJ7"/>
  <c r="BL8"/>
  <c r="AJ8"/>
  <c r="BL9"/>
  <c r="AJ9"/>
  <c r="BL10"/>
  <c r="AJ10"/>
  <c r="BL11"/>
  <c r="AJ11"/>
  <c r="BL12"/>
  <c r="AJ12"/>
  <c r="BL13"/>
  <c r="AJ13"/>
  <c r="BL14"/>
  <c r="AJ14"/>
  <c r="AJ15"/>
  <c r="BL15"/>
  <c r="BL16"/>
  <c r="AJ16"/>
  <c r="BL17"/>
  <c r="AJ17"/>
  <c r="BL18"/>
  <c r="AJ18"/>
  <c r="BL19"/>
  <c r="AJ19"/>
  <c r="BL20"/>
  <c r="AJ20"/>
  <c r="BL21"/>
  <c r="AJ21"/>
  <c r="BL22"/>
  <c r="AJ22"/>
  <c r="BL23"/>
  <c r="AJ23"/>
  <c r="BL24"/>
  <c r="AJ24"/>
  <c r="BL25"/>
  <c r="AJ25"/>
  <c r="BL26"/>
  <c r="AJ26"/>
  <c r="BL27"/>
  <c r="AJ27"/>
  <c r="BL28"/>
  <c r="AJ28"/>
  <c r="BL29"/>
  <c r="AJ29"/>
  <c r="BL30"/>
  <c r="AJ30"/>
  <c r="BL31"/>
  <c r="BL38"/>
  <c r="BL40"/>
  <c r="BL62"/>
  <c r="BL64"/>
  <c r="AJ64"/>
  <c r="BL65"/>
  <c r="AJ65"/>
  <c r="BL66"/>
  <c r="AJ66"/>
  <c r="BL67"/>
  <c r="AJ67"/>
  <c r="BL68"/>
  <c r="AJ68"/>
  <c r="BL69"/>
  <c r="AJ69"/>
  <c r="BL70"/>
  <c r="AJ70"/>
  <c r="BL71"/>
  <c r="AJ71"/>
  <c r="BL72"/>
  <c r="AJ72"/>
  <c r="BL73"/>
  <c r="AJ73"/>
  <c r="BL74"/>
  <c r="AJ74"/>
  <c r="BL75"/>
  <c r="AJ75"/>
  <c r="BL76"/>
  <c r="AJ76"/>
  <c r="BL77"/>
  <c r="AJ77"/>
  <c r="BL78"/>
  <c r="AJ78"/>
  <c r="BL79"/>
  <c r="AJ79"/>
  <c r="BL80"/>
  <c r="AJ80"/>
  <c r="BL81"/>
  <c r="AJ81"/>
  <c r="BL82"/>
  <c r="AT109"/>
  <c r="AX2"/>
  <c r="BL58"/>
  <c r="AJ58"/>
  <c r="BL59"/>
  <c r="AJ59"/>
  <c r="BL60"/>
  <c r="AJ60"/>
  <c r="BL61"/>
  <c r="BL63"/>
  <c r="AX46"/>
  <c r="AX48"/>
  <c r="AX50"/>
  <c r="AX52"/>
  <c r="AX54"/>
  <c r="AX56"/>
  <c r="P66"/>
  <c r="R66"/>
  <c r="T66"/>
  <c r="V66"/>
  <c r="AX80"/>
  <c r="AX82"/>
  <c r="BL83"/>
  <c r="AJ83"/>
  <c r="BL84"/>
  <c r="AJ84"/>
  <c r="BL85"/>
  <c r="AJ85"/>
  <c r="BL86"/>
  <c r="AJ86"/>
  <c r="BL87"/>
  <c r="AJ87"/>
  <c r="BL88"/>
  <c r="AJ88"/>
  <c r="BL89"/>
  <c r="AJ89"/>
  <c r="BL90"/>
  <c r="AJ90"/>
  <c r="BL91"/>
  <c r="AJ91"/>
  <c r="BL92"/>
  <c r="AJ92"/>
  <c r="BL93"/>
  <c r="AJ93"/>
  <c r="BL94"/>
  <c r="AJ94"/>
  <c r="BL95"/>
  <c r="AJ95"/>
  <c r="BL96"/>
  <c r="AJ96"/>
  <c r="BL97"/>
  <c r="AJ97"/>
  <c r="BL98"/>
  <c r="AJ98"/>
  <c r="BL99"/>
  <c r="AJ99"/>
  <c r="BL100"/>
  <c r="AJ100"/>
  <c r="BL101"/>
  <c r="AJ101"/>
  <c r="BL102"/>
  <c r="AJ102"/>
  <c r="BL103"/>
  <c r="AJ103"/>
  <c r="BL104"/>
  <c r="AJ104"/>
  <c r="AM104" l="1"/>
  <c r="AM103"/>
  <c r="AM102"/>
  <c r="AM101"/>
  <c r="AM100"/>
  <c r="AM99"/>
  <c r="AM98"/>
  <c r="AM97"/>
  <c r="AM96"/>
  <c r="AM95"/>
  <c r="AM94"/>
  <c r="AM93"/>
  <c r="AM92"/>
  <c r="AM91"/>
  <c r="AM90"/>
  <c r="AM89"/>
  <c r="AM88"/>
  <c r="AM87"/>
  <c r="AM86"/>
  <c r="AM85"/>
  <c r="AM84"/>
  <c r="AM83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15"/>
  <c r="AN15" s="1"/>
  <c r="AM45"/>
  <c r="AN45" s="1"/>
  <c r="AQ45" s="1"/>
  <c r="AR45" s="1"/>
  <c r="AU45" s="1"/>
  <c r="AM60"/>
  <c r="AM59"/>
  <c r="AM58"/>
  <c r="AM30"/>
  <c r="AM29"/>
  <c r="AM28"/>
  <c r="AM27"/>
  <c r="AM26"/>
  <c r="AM25"/>
  <c r="AM24"/>
  <c r="AM23"/>
  <c r="AM22"/>
  <c r="AM21"/>
  <c r="AM20"/>
  <c r="AM19"/>
  <c r="AM18"/>
  <c r="AM17"/>
  <c r="AM16"/>
  <c r="AM14"/>
  <c r="AM13"/>
  <c r="AM12"/>
  <c r="AM11"/>
  <c r="AM10"/>
  <c r="AM9"/>
  <c r="AM8"/>
  <c r="AM7"/>
  <c r="AM6"/>
  <c r="AM5"/>
  <c r="AM4"/>
  <c r="AM3"/>
  <c r="AM2"/>
  <c r="AM56"/>
  <c r="AM55"/>
  <c r="AM54"/>
  <c r="AM53"/>
  <c r="AM52"/>
  <c r="AM51"/>
  <c r="AM50"/>
  <c r="AM49"/>
  <c r="AM48"/>
  <c r="AM47"/>
  <c r="AM46"/>
  <c r="AM44"/>
  <c r="AM43"/>
  <c r="AM42"/>
  <c r="AM41"/>
  <c r="AM36"/>
  <c r="AM35"/>
  <c r="AM34"/>
  <c r="AM33"/>
  <c r="AM32"/>
  <c r="AX109"/>
  <c r="AO32" l="1"/>
  <c r="AN32"/>
  <c r="AO34"/>
  <c r="AN34"/>
  <c r="AO36"/>
  <c r="AN36"/>
  <c r="AO41"/>
  <c r="AN41"/>
  <c r="AO43"/>
  <c r="AN43"/>
  <c r="AN47"/>
  <c r="AO47"/>
  <c r="AN49"/>
  <c r="AO49"/>
  <c r="AN51"/>
  <c r="AO51"/>
  <c r="AN53"/>
  <c r="AO53"/>
  <c r="AN55"/>
  <c r="AO55"/>
  <c r="AO4"/>
  <c r="AN4"/>
  <c r="AO6"/>
  <c r="AN6"/>
  <c r="AO8"/>
  <c r="AN8"/>
  <c r="AO10"/>
  <c r="AN10"/>
  <c r="AO12"/>
  <c r="AN12"/>
  <c r="AO14"/>
  <c r="AN14"/>
  <c r="AO16"/>
  <c r="AN16"/>
  <c r="AO18"/>
  <c r="AN18"/>
  <c r="AO20"/>
  <c r="AN20"/>
  <c r="AO22"/>
  <c r="AN22"/>
  <c r="AO24"/>
  <c r="AN24"/>
  <c r="AO26"/>
  <c r="AN26"/>
  <c r="AO28"/>
  <c r="AN28"/>
  <c r="AO30"/>
  <c r="AN30"/>
  <c r="AO58"/>
  <c r="AN58"/>
  <c r="AO60"/>
  <c r="AN60"/>
  <c r="AO64"/>
  <c r="AN64"/>
  <c r="AO66"/>
  <c r="AN66"/>
  <c r="AO68"/>
  <c r="AN68"/>
  <c r="AO70"/>
  <c r="AN70"/>
  <c r="AO72"/>
  <c r="AN72"/>
  <c r="AO74"/>
  <c r="AN74"/>
  <c r="AO76"/>
  <c r="AN76"/>
  <c r="AO78"/>
  <c r="AN78"/>
  <c r="AO79"/>
  <c r="AN79"/>
  <c r="AO81"/>
  <c r="AN81"/>
  <c r="AN84"/>
  <c r="AO84"/>
  <c r="AN86"/>
  <c r="AO86"/>
  <c r="AN88"/>
  <c r="AO88"/>
  <c r="AN90"/>
  <c r="AO90"/>
  <c r="AN92"/>
  <c r="AO92"/>
  <c r="AN94"/>
  <c r="AO94"/>
  <c r="AN96"/>
  <c r="AO96"/>
  <c r="AN98"/>
  <c r="AO98"/>
  <c r="AN100"/>
  <c r="AO100"/>
  <c r="AN102"/>
  <c r="AO102"/>
  <c r="AN104"/>
  <c r="AO104"/>
  <c r="AO33"/>
  <c r="AN33"/>
  <c r="AO35"/>
  <c r="AN35"/>
  <c r="AO42"/>
  <c r="AN42"/>
  <c r="AO44"/>
  <c r="AN44"/>
  <c r="AN46"/>
  <c r="AO46"/>
  <c r="AO48"/>
  <c r="AN48"/>
  <c r="AN50"/>
  <c r="AO50"/>
  <c r="AO52"/>
  <c r="AN52"/>
  <c r="AN54"/>
  <c r="AO54"/>
  <c r="AO56"/>
  <c r="AN56"/>
  <c r="AO2"/>
  <c r="AN2"/>
  <c r="AO3"/>
  <c r="AN3"/>
  <c r="AO5"/>
  <c r="AN5"/>
  <c r="AO7"/>
  <c r="AN7"/>
  <c r="AO9"/>
  <c r="AN9"/>
  <c r="AO11"/>
  <c r="AN11"/>
  <c r="AO13"/>
  <c r="AN13"/>
  <c r="AO17"/>
  <c r="AN17"/>
  <c r="AO19"/>
  <c r="AN19"/>
  <c r="AO21"/>
  <c r="AN21"/>
  <c r="AO23"/>
  <c r="AN23"/>
  <c r="AO25"/>
  <c r="AN25"/>
  <c r="AO27"/>
  <c r="AN27"/>
  <c r="AO29"/>
  <c r="AN29"/>
  <c r="AN59"/>
  <c r="AO59"/>
  <c r="AN65"/>
  <c r="AO65"/>
  <c r="AN67"/>
  <c r="AO67"/>
  <c r="AN69"/>
  <c r="AO69"/>
  <c r="AN71"/>
  <c r="AO71"/>
  <c r="AN73"/>
  <c r="AO73"/>
  <c r="AN75"/>
  <c r="AO75"/>
  <c r="AN77"/>
  <c r="AO77"/>
  <c r="AN80"/>
  <c r="AO80"/>
  <c r="AN83"/>
  <c r="AO83"/>
  <c r="AO85"/>
  <c r="AN85"/>
  <c r="AO87"/>
  <c r="AN87"/>
  <c r="AO89"/>
  <c r="AN89"/>
  <c r="AO91"/>
  <c r="AN91"/>
  <c r="AO93"/>
  <c r="AN93"/>
  <c r="AO95"/>
  <c r="AN95"/>
  <c r="AO97"/>
  <c r="AN97"/>
  <c r="AO99"/>
  <c r="AN99"/>
  <c r="AO101"/>
  <c r="AN101"/>
  <c r="AO103"/>
  <c r="AN103"/>
  <c r="AZ45"/>
  <c r="BA45" s="1"/>
  <c r="BD45" s="1"/>
  <c r="AQ15"/>
  <c r="AR15" s="1"/>
  <c r="AU15" s="1"/>
  <c r="AZ15" s="1"/>
  <c r="BA15" s="1"/>
  <c r="BD15" s="1"/>
  <c r="BK15" l="1"/>
  <c r="BE15"/>
  <c r="AQ83"/>
  <c r="AR83" s="1"/>
  <c r="AU83" s="1"/>
  <c r="AZ83" s="1"/>
  <c r="BA83" s="1"/>
  <c r="BD83" s="1"/>
  <c r="AQ80"/>
  <c r="AR80" s="1"/>
  <c r="AU80" s="1"/>
  <c r="AZ80" s="1"/>
  <c r="BA80" s="1"/>
  <c r="BD80" s="1"/>
  <c r="AQ77"/>
  <c r="AR77" s="1"/>
  <c r="AU77" s="1"/>
  <c r="AZ77" s="1"/>
  <c r="BA77" s="1"/>
  <c r="BD77" s="1"/>
  <c r="AQ75"/>
  <c r="AR75" s="1"/>
  <c r="AU75" s="1"/>
  <c r="AZ75" s="1"/>
  <c r="BA75" s="1"/>
  <c r="BD75" s="1"/>
  <c r="AQ73"/>
  <c r="AR73" s="1"/>
  <c r="AU73" s="1"/>
  <c r="AZ73" s="1"/>
  <c r="BA73" s="1"/>
  <c r="BD73" s="1"/>
  <c r="AQ71"/>
  <c r="AR71" s="1"/>
  <c r="AU71" s="1"/>
  <c r="AZ71" s="1"/>
  <c r="BA71" s="1"/>
  <c r="BD71" s="1"/>
  <c r="AQ69"/>
  <c r="AR69" s="1"/>
  <c r="AU69" s="1"/>
  <c r="AZ69" s="1"/>
  <c r="BA69" s="1"/>
  <c r="BD69" s="1"/>
  <c r="AQ67"/>
  <c r="AR67" s="1"/>
  <c r="AU67" s="1"/>
  <c r="AZ67" s="1"/>
  <c r="BA67" s="1"/>
  <c r="BD67" s="1"/>
  <c r="AQ65"/>
  <c r="AR65" s="1"/>
  <c r="AU65" s="1"/>
  <c r="AZ65" s="1"/>
  <c r="BA65" s="1"/>
  <c r="BD65" s="1"/>
  <c r="AQ59"/>
  <c r="AR59" s="1"/>
  <c r="AU59" s="1"/>
  <c r="AZ59" s="1"/>
  <c r="BA59" s="1"/>
  <c r="BD59" s="1"/>
  <c r="AQ56"/>
  <c r="AR56" s="1"/>
  <c r="AU56" s="1"/>
  <c r="AZ56" s="1"/>
  <c r="BA56" s="1"/>
  <c r="BD56" s="1"/>
  <c r="AQ52"/>
  <c r="AR52" s="1"/>
  <c r="AU52" s="1"/>
  <c r="AZ52" s="1"/>
  <c r="BA52" s="1"/>
  <c r="BD52" s="1"/>
  <c r="AQ48"/>
  <c r="AR48" s="1"/>
  <c r="AU48" s="1"/>
  <c r="AZ48" s="1"/>
  <c r="BA48" s="1"/>
  <c r="BD48" s="1"/>
  <c r="AQ44"/>
  <c r="AR44" s="1"/>
  <c r="AU44" s="1"/>
  <c r="AZ44" s="1"/>
  <c r="BA44" s="1"/>
  <c r="BD44" s="1"/>
  <c r="AQ42"/>
  <c r="AR42" s="1"/>
  <c r="AU42" s="1"/>
  <c r="AZ42" s="1"/>
  <c r="BA42" s="1"/>
  <c r="BD42" s="1"/>
  <c r="AQ35"/>
  <c r="AR35" s="1"/>
  <c r="AU35" s="1"/>
  <c r="AZ35" s="1"/>
  <c r="BA35" s="1"/>
  <c r="BD35" s="1"/>
  <c r="AQ33"/>
  <c r="AR33" s="1"/>
  <c r="AU33" s="1"/>
  <c r="AZ33" s="1"/>
  <c r="BA33" s="1"/>
  <c r="BD33" s="1"/>
  <c r="AQ81"/>
  <c r="AR81" s="1"/>
  <c r="AU81" s="1"/>
  <c r="AZ81" s="1"/>
  <c r="BA81" s="1"/>
  <c r="BD81" s="1"/>
  <c r="AQ79"/>
  <c r="AR79" s="1"/>
  <c r="AU79" s="1"/>
  <c r="AZ79" s="1"/>
  <c r="BA79" s="1"/>
  <c r="BD79" s="1"/>
  <c r="AQ78"/>
  <c r="AR78" s="1"/>
  <c r="AU78" s="1"/>
  <c r="AZ78" s="1"/>
  <c r="BA78" s="1"/>
  <c r="BD78" s="1"/>
  <c r="AQ76"/>
  <c r="AR76" s="1"/>
  <c r="AU76" s="1"/>
  <c r="AZ76" s="1"/>
  <c r="BA76" s="1"/>
  <c r="BD76" s="1"/>
  <c r="AQ74"/>
  <c r="AR74" s="1"/>
  <c r="AU74" s="1"/>
  <c r="AZ74" s="1"/>
  <c r="BA74" s="1"/>
  <c r="BD74" s="1"/>
  <c r="AQ72"/>
  <c r="AR72" s="1"/>
  <c r="AU72" s="1"/>
  <c r="AZ72" s="1"/>
  <c r="BA72" s="1"/>
  <c r="BD72" s="1"/>
  <c r="AQ70"/>
  <c r="AR70" s="1"/>
  <c r="AU70" s="1"/>
  <c r="AZ70" s="1"/>
  <c r="BA70" s="1"/>
  <c r="BD70" s="1"/>
  <c r="AQ68"/>
  <c r="AR68" s="1"/>
  <c r="AU68" s="1"/>
  <c r="AZ68" s="1"/>
  <c r="BA68" s="1"/>
  <c r="BD68" s="1"/>
  <c r="AQ66"/>
  <c r="AR66" s="1"/>
  <c r="AU66" s="1"/>
  <c r="AZ66" s="1"/>
  <c r="BA66" s="1"/>
  <c r="BD66" s="1"/>
  <c r="AQ64"/>
  <c r="AR64" s="1"/>
  <c r="AU64" s="1"/>
  <c r="AZ64" s="1"/>
  <c r="BA64" s="1"/>
  <c r="BD64" s="1"/>
  <c r="AQ55"/>
  <c r="AR55" s="1"/>
  <c r="AU55" s="1"/>
  <c r="AZ55" s="1"/>
  <c r="BA55" s="1"/>
  <c r="BD55" s="1"/>
  <c r="AQ53"/>
  <c r="AR53" s="1"/>
  <c r="AU53" s="1"/>
  <c r="AZ53" s="1"/>
  <c r="BA53" s="1"/>
  <c r="BD53" s="1"/>
  <c r="AQ51"/>
  <c r="AR51" s="1"/>
  <c r="AU51" s="1"/>
  <c r="AZ51" s="1"/>
  <c r="BA51" s="1"/>
  <c r="BD51" s="1"/>
  <c r="AQ49"/>
  <c r="AR49" s="1"/>
  <c r="AU49" s="1"/>
  <c r="AZ49" s="1"/>
  <c r="BA49" s="1"/>
  <c r="BD49" s="1"/>
  <c r="AQ47"/>
  <c r="AR47" s="1"/>
  <c r="AU47" s="1"/>
  <c r="AZ47" s="1"/>
  <c r="BA47" s="1"/>
  <c r="BD47" s="1"/>
  <c r="BK45"/>
  <c r="BE45"/>
  <c r="AQ103"/>
  <c r="AR103" s="1"/>
  <c r="AU103" s="1"/>
  <c r="AZ103" s="1"/>
  <c r="BA103" s="1"/>
  <c r="BD103" s="1"/>
  <c r="AQ101"/>
  <c r="AR101" s="1"/>
  <c r="AU101" s="1"/>
  <c r="AZ101" s="1"/>
  <c r="BA101" s="1"/>
  <c r="BD101" s="1"/>
  <c r="AQ99"/>
  <c r="AR99" s="1"/>
  <c r="AU99" s="1"/>
  <c r="AZ99" s="1"/>
  <c r="BA99" s="1"/>
  <c r="BD99" s="1"/>
  <c r="AQ97"/>
  <c r="AR97" s="1"/>
  <c r="AU97" s="1"/>
  <c r="AZ97" s="1"/>
  <c r="BA97" s="1"/>
  <c r="BD97" s="1"/>
  <c r="AQ95"/>
  <c r="AR95" s="1"/>
  <c r="AU95" s="1"/>
  <c r="AZ95" s="1"/>
  <c r="BA95" s="1"/>
  <c r="BD95" s="1"/>
  <c r="AQ93"/>
  <c r="AR93" s="1"/>
  <c r="AU93" s="1"/>
  <c r="AZ93" s="1"/>
  <c r="BA93" s="1"/>
  <c r="BD93" s="1"/>
  <c r="AQ91"/>
  <c r="AR91" s="1"/>
  <c r="AU91" s="1"/>
  <c r="AZ91" s="1"/>
  <c r="BA91" s="1"/>
  <c r="BD91" s="1"/>
  <c r="AQ89"/>
  <c r="AR89" s="1"/>
  <c r="AU89" s="1"/>
  <c r="AZ89" s="1"/>
  <c r="BA89" s="1"/>
  <c r="BD89" s="1"/>
  <c r="AQ87"/>
  <c r="AR87" s="1"/>
  <c r="AU87" s="1"/>
  <c r="AZ87" s="1"/>
  <c r="BA87" s="1"/>
  <c r="BD87" s="1"/>
  <c r="AQ85"/>
  <c r="AR85" s="1"/>
  <c r="AU85" s="1"/>
  <c r="AZ85" s="1"/>
  <c r="BA85" s="1"/>
  <c r="BD85" s="1"/>
  <c r="AQ29"/>
  <c r="AR29" s="1"/>
  <c r="AU29" s="1"/>
  <c r="AZ29" s="1"/>
  <c r="BA29" s="1"/>
  <c r="BD29" s="1"/>
  <c r="AQ27"/>
  <c r="AR27" s="1"/>
  <c r="AU27" s="1"/>
  <c r="AZ27" s="1"/>
  <c r="BA27" s="1"/>
  <c r="BD27" s="1"/>
  <c r="AQ25"/>
  <c r="AR25" s="1"/>
  <c r="AU25" s="1"/>
  <c r="AZ25" s="1"/>
  <c r="BA25" s="1"/>
  <c r="BD25" s="1"/>
  <c r="AQ23"/>
  <c r="AR23" s="1"/>
  <c r="AU23" s="1"/>
  <c r="AZ23" s="1"/>
  <c r="BA23" s="1"/>
  <c r="BD23" s="1"/>
  <c r="AQ21"/>
  <c r="AR21" s="1"/>
  <c r="AU21" s="1"/>
  <c r="AZ21" s="1"/>
  <c r="BA21" s="1"/>
  <c r="BD21" s="1"/>
  <c r="AQ19"/>
  <c r="AR19" s="1"/>
  <c r="AU19" s="1"/>
  <c r="AZ19" s="1"/>
  <c r="BA19" s="1"/>
  <c r="BD19" s="1"/>
  <c r="AQ17"/>
  <c r="AR17" s="1"/>
  <c r="AU17" s="1"/>
  <c r="AZ17" s="1"/>
  <c r="BA17" s="1"/>
  <c r="BD17" s="1"/>
  <c r="AQ13"/>
  <c r="AR13" s="1"/>
  <c r="AU13" s="1"/>
  <c r="AZ13" s="1"/>
  <c r="BA13" s="1"/>
  <c r="BD13" s="1"/>
  <c r="AQ11"/>
  <c r="AR11" s="1"/>
  <c r="AU11" s="1"/>
  <c r="AZ11" s="1"/>
  <c r="BA11" s="1"/>
  <c r="BD11" s="1"/>
  <c r="AQ9"/>
  <c r="AR9" s="1"/>
  <c r="AU9" s="1"/>
  <c r="AZ9" s="1"/>
  <c r="BA9" s="1"/>
  <c r="BD9" s="1"/>
  <c r="AQ7"/>
  <c r="AR7" s="1"/>
  <c r="AU7" s="1"/>
  <c r="AZ7" s="1"/>
  <c r="BA7" s="1"/>
  <c r="BD7" s="1"/>
  <c r="AQ5"/>
  <c r="AR5" s="1"/>
  <c r="AU5" s="1"/>
  <c r="AZ5" s="1"/>
  <c r="BA5" s="1"/>
  <c r="BD5" s="1"/>
  <c r="AQ3"/>
  <c r="AR3" s="1"/>
  <c r="AU3" s="1"/>
  <c r="AZ3" s="1"/>
  <c r="BA3" s="1"/>
  <c r="BD3" s="1"/>
  <c r="AQ2"/>
  <c r="AQ54"/>
  <c r="AR54" s="1"/>
  <c r="AU54" s="1"/>
  <c r="AZ54" s="1"/>
  <c r="BA54" s="1"/>
  <c r="BD54" s="1"/>
  <c r="AQ50"/>
  <c r="AR50" s="1"/>
  <c r="AU50" s="1"/>
  <c r="AZ50" s="1"/>
  <c r="BA50" s="1"/>
  <c r="BD50" s="1"/>
  <c r="AQ46"/>
  <c r="AR46" s="1"/>
  <c r="AU46" s="1"/>
  <c r="AZ46" s="1"/>
  <c r="BA46" s="1"/>
  <c r="BD46" s="1"/>
  <c r="AQ104"/>
  <c r="AR104" s="1"/>
  <c r="AU104" s="1"/>
  <c r="AZ104" s="1"/>
  <c r="BA104" s="1"/>
  <c r="BD104" s="1"/>
  <c r="AQ102"/>
  <c r="AR102" s="1"/>
  <c r="AU102" s="1"/>
  <c r="AZ102" s="1"/>
  <c r="BA102" s="1"/>
  <c r="BD102" s="1"/>
  <c r="AQ100"/>
  <c r="AR100" s="1"/>
  <c r="AU100" s="1"/>
  <c r="AZ100" s="1"/>
  <c r="BA100" s="1"/>
  <c r="BD100" s="1"/>
  <c r="AQ98"/>
  <c r="AR98" s="1"/>
  <c r="AU98" s="1"/>
  <c r="AZ98" s="1"/>
  <c r="BA98" s="1"/>
  <c r="BD98" s="1"/>
  <c r="AQ96"/>
  <c r="AR96" s="1"/>
  <c r="AU96" s="1"/>
  <c r="AZ96" s="1"/>
  <c r="BA96" s="1"/>
  <c r="BD96" s="1"/>
  <c r="AQ94"/>
  <c r="AR94" s="1"/>
  <c r="AU94" s="1"/>
  <c r="AZ94" s="1"/>
  <c r="BA94" s="1"/>
  <c r="BD94" s="1"/>
  <c r="AQ92"/>
  <c r="AR92" s="1"/>
  <c r="AU92" s="1"/>
  <c r="AZ92" s="1"/>
  <c r="BA92" s="1"/>
  <c r="BD92" s="1"/>
  <c r="AQ90"/>
  <c r="AR90" s="1"/>
  <c r="AU90" s="1"/>
  <c r="AZ90" s="1"/>
  <c r="BA90" s="1"/>
  <c r="BD90" s="1"/>
  <c r="AQ88"/>
  <c r="AR88" s="1"/>
  <c r="AU88" s="1"/>
  <c r="AZ88" s="1"/>
  <c r="BA88" s="1"/>
  <c r="BD88" s="1"/>
  <c r="AQ86"/>
  <c r="AR86" s="1"/>
  <c r="AU86" s="1"/>
  <c r="AZ86" s="1"/>
  <c r="BA86" s="1"/>
  <c r="BD86" s="1"/>
  <c r="AQ84"/>
  <c r="AR84" s="1"/>
  <c r="AU84" s="1"/>
  <c r="AZ84" s="1"/>
  <c r="BA84" s="1"/>
  <c r="BD84" s="1"/>
  <c r="AQ60"/>
  <c r="AR60" s="1"/>
  <c r="AU60" s="1"/>
  <c r="AZ60" s="1"/>
  <c r="BA60" s="1"/>
  <c r="BD60" s="1"/>
  <c r="AQ58"/>
  <c r="AR58" s="1"/>
  <c r="AU58" s="1"/>
  <c r="AZ58" s="1"/>
  <c r="BA58" s="1"/>
  <c r="BD58" s="1"/>
  <c r="AQ30"/>
  <c r="AR30" s="1"/>
  <c r="AU30" s="1"/>
  <c r="AZ30" s="1"/>
  <c r="BA30" s="1"/>
  <c r="BD30" s="1"/>
  <c r="AQ28"/>
  <c r="AR28" s="1"/>
  <c r="AU28" s="1"/>
  <c r="AZ28" s="1"/>
  <c r="BA28" s="1"/>
  <c r="BD28" s="1"/>
  <c r="AQ26"/>
  <c r="AR26" s="1"/>
  <c r="AU26" s="1"/>
  <c r="AZ26" s="1"/>
  <c r="BA26" s="1"/>
  <c r="BD26" s="1"/>
  <c r="AQ24"/>
  <c r="AR24" s="1"/>
  <c r="AU24" s="1"/>
  <c r="AZ24" s="1"/>
  <c r="BA24" s="1"/>
  <c r="BD24" s="1"/>
  <c r="AQ22"/>
  <c r="AR22" s="1"/>
  <c r="AU22" s="1"/>
  <c r="AZ22" s="1"/>
  <c r="BA22" s="1"/>
  <c r="BD22" s="1"/>
  <c r="AQ20"/>
  <c r="AR20" s="1"/>
  <c r="AU20" s="1"/>
  <c r="AZ20" s="1"/>
  <c r="BA20" s="1"/>
  <c r="BD20" s="1"/>
  <c r="AQ18"/>
  <c r="AR18" s="1"/>
  <c r="AU18" s="1"/>
  <c r="AZ18" s="1"/>
  <c r="BA18" s="1"/>
  <c r="BD18" s="1"/>
  <c r="AQ16"/>
  <c r="AR16" s="1"/>
  <c r="AU16" s="1"/>
  <c r="AZ16" s="1"/>
  <c r="BA16" s="1"/>
  <c r="BD16" s="1"/>
  <c r="AQ14"/>
  <c r="AR14" s="1"/>
  <c r="AU14" s="1"/>
  <c r="AZ14" s="1"/>
  <c r="BA14" s="1"/>
  <c r="BD14" s="1"/>
  <c r="AQ12"/>
  <c r="AR12" s="1"/>
  <c r="AU12" s="1"/>
  <c r="AZ12" s="1"/>
  <c r="BA12" s="1"/>
  <c r="BD12" s="1"/>
  <c r="AQ10"/>
  <c r="AR10" s="1"/>
  <c r="AU10" s="1"/>
  <c r="AZ10" s="1"/>
  <c r="BA10" s="1"/>
  <c r="BD10" s="1"/>
  <c r="AQ8"/>
  <c r="AR8" s="1"/>
  <c r="AU8" s="1"/>
  <c r="AZ8" s="1"/>
  <c r="BA8" s="1"/>
  <c r="BD8" s="1"/>
  <c r="AQ6"/>
  <c r="AR6" s="1"/>
  <c r="AU6" s="1"/>
  <c r="AZ6" s="1"/>
  <c r="BA6" s="1"/>
  <c r="BD6" s="1"/>
  <c r="AQ4"/>
  <c r="AR4" s="1"/>
  <c r="AU4" s="1"/>
  <c r="AZ4" s="1"/>
  <c r="BA4" s="1"/>
  <c r="BD4" s="1"/>
  <c r="AQ43"/>
  <c r="AR43" s="1"/>
  <c r="AU43" s="1"/>
  <c r="AZ43" s="1"/>
  <c r="BA43" s="1"/>
  <c r="BD43" s="1"/>
  <c r="AQ41"/>
  <c r="AR41" s="1"/>
  <c r="AU41" s="1"/>
  <c r="AZ41" s="1"/>
  <c r="BA41" s="1"/>
  <c r="BD41" s="1"/>
  <c r="AQ36"/>
  <c r="AR36" s="1"/>
  <c r="AU36" s="1"/>
  <c r="AZ36" s="1"/>
  <c r="BA36" s="1"/>
  <c r="BD36" s="1"/>
  <c r="AQ34"/>
  <c r="AR34" s="1"/>
  <c r="AU34" s="1"/>
  <c r="AZ34" s="1"/>
  <c r="BA34" s="1"/>
  <c r="BD34" s="1"/>
  <c r="AQ32"/>
  <c r="AR32" s="1"/>
  <c r="AU32" s="1"/>
  <c r="AZ32" s="1"/>
  <c r="BA32" s="1"/>
  <c r="BD32" s="1"/>
  <c r="BK34" l="1"/>
  <c r="BE34"/>
  <c r="BE41"/>
  <c r="BK41"/>
  <c r="BK4"/>
  <c r="BE4"/>
  <c r="BK8"/>
  <c r="BE8"/>
  <c r="BK12"/>
  <c r="BE12"/>
  <c r="BK16"/>
  <c r="BE16"/>
  <c r="BK20"/>
  <c r="BE20"/>
  <c r="BK24"/>
  <c r="BE24"/>
  <c r="BK28"/>
  <c r="BE28"/>
  <c r="BK5"/>
  <c r="BE5"/>
  <c r="BK9"/>
  <c r="BE9"/>
  <c r="BK13"/>
  <c r="BE13"/>
  <c r="BK19"/>
  <c r="BE19"/>
  <c r="BK23"/>
  <c r="BE23"/>
  <c r="BK27"/>
  <c r="BE27"/>
  <c r="BK49"/>
  <c r="BE49"/>
  <c r="BK53"/>
  <c r="BE53"/>
  <c r="BK35"/>
  <c r="BE35"/>
  <c r="BE44"/>
  <c r="BK44"/>
  <c r="BK52"/>
  <c r="BE52"/>
  <c r="BK65"/>
  <c r="BE65"/>
  <c r="BK69"/>
  <c r="BE69"/>
  <c r="BK73"/>
  <c r="BE73"/>
  <c r="BK77"/>
  <c r="BE77"/>
  <c r="BK83"/>
  <c r="BE83"/>
  <c r="BK32"/>
  <c r="BE32"/>
  <c r="BK36"/>
  <c r="BE36"/>
  <c r="BE43"/>
  <c r="BK43"/>
  <c r="BK6"/>
  <c r="BE6"/>
  <c r="BK10"/>
  <c r="BE10"/>
  <c r="BK14"/>
  <c r="BE14"/>
  <c r="BK18"/>
  <c r="BE18"/>
  <c r="BK22"/>
  <c r="BE22"/>
  <c r="BK26"/>
  <c r="BE26"/>
  <c r="BK30"/>
  <c r="BE30"/>
  <c r="BK3"/>
  <c r="BE3"/>
  <c r="BK7"/>
  <c r="BE7"/>
  <c r="BK11"/>
  <c r="BE11"/>
  <c r="BK17"/>
  <c r="BE17"/>
  <c r="BK21"/>
  <c r="BE21"/>
  <c r="BK25"/>
  <c r="BE25"/>
  <c r="BK29"/>
  <c r="BE29"/>
  <c r="BK47"/>
  <c r="BE47"/>
  <c r="BK51"/>
  <c r="BE51"/>
  <c r="BK55"/>
  <c r="BE55"/>
  <c r="BK33"/>
  <c r="BE33"/>
  <c r="BE42"/>
  <c r="BK42"/>
  <c r="BK48"/>
  <c r="BE48"/>
  <c r="BK56"/>
  <c r="BE56"/>
  <c r="BK59"/>
  <c r="BE59"/>
  <c r="BK67"/>
  <c r="BE67"/>
  <c r="BK71"/>
  <c r="BE71"/>
  <c r="BK75"/>
  <c r="BE75"/>
  <c r="BK80"/>
  <c r="BE80"/>
  <c r="BK58"/>
  <c r="BE58"/>
  <c r="BK60"/>
  <c r="BE60"/>
  <c r="BK84"/>
  <c r="BE84"/>
  <c r="BK86"/>
  <c r="BE86"/>
  <c r="BK88"/>
  <c r="BE88"/>
  <c r="BK90"/>
  <c r="BE90"/>
  <c r="BK92"/>
  <c r="BE92"/>
  <c r="BK94"/>
  <c r="BE94"/>
  <c r="BK96"/>
  <c r="BE96"/>
  <c r="BK98"/>
  <c r="BE98"/>
  <c r="BK100"/>
  <c r="BE100"/>
  <c r="BK102"/>
  <c r="BE102"/>
  <c r="BK104"/>
  <c r="BE104"/>
  <c r="BK46"/>
  <c r="BE46"/>
  <c r="BK50"/>
  <c r="BE50"/>
  <c r="BK54"/>
  <c r="BE54"/>
  <c r="BK85"/>
  <c r="BE85"/>
  <c r="BK87"/>
  <c r="BE87"/>
  <c r="BK89"/>
  <c r="BE89"/>
  <c r="BK91"/>
  <c r="BE91"/>
  <c r="BK93"/>
  <c r="BE93"/>
  <c r="BK95"/>
  <c r="BE95"/>
  <c r="BK97"/>
  <c r="BE97"/>
  <c r="BK99"/>
  <c r="BE99"/>
  <c r="BK101"/>
  <c r="BE101"/>
  <c r="BK103"/>
  <c r="BE103"/>
  <c r="BK64"/>
  <c r="BE64"/>
  <c r="BK66"/>
  <c r="BE66"/>
  <c r="BK68"/>
  <c r="BE68"/>
  <c r="BK70"/>
  <c r="BE70"/>
  <c r="BK72"/>
  <c r="BE72"/>
  <c r="BK74"/>
  <c r="BE74"/>
  <c r="BK76"/>
  <c r="BE76"/>
  <c r="BK78"/>
  <c r="BE78"/>
  <c r="BK79"/>
  <c r="BE79"/>
  <c r="BK81"/>
  <c r="BE81"/>
  <c r="AR2"/>
  <c r="AU2" l="1"/>
  <c r="AZ2" l="1"/>
  <c r="BA2" l="1"/>
  <c r="BD2" l="1"/>
  <c r="BK2" l="1"/>
  <c r="BE2"/>
  <c r="AL18" i="2" l="1"/>
  <c r="AL40"/>
  <c r="AL45"/>
  <c r="AL15"/>
  <c r="S63" i="1"/>
  <c r="S61"/>
  <c r="S57"/>
  <c r="Q31"/>
  <c r="S37"/>
  <c r="S38"/>
  <c r="S39"/>
  <c r="U31"/>
  <c r="Y31"/>
  <c r="W37"/>
  <c r="U38"/>
  <c r="Y38"/>
  <c r="W39"/>
  <c r="Q40"/>
  <c r="U40"/>
  <c r="Y40"/>
  <c r="W57"/>
  <c r="W61"/>
  <c r="U62"/>
  <c r="Y62"/>
  <c r="W63"/>
  <c r="S31"/>
  <c r="W31"/>
  <c r="U37"/>
  <c r="U39"/>
  <c r="U57"/>
  <c r="Q61"/>
  <c r="U61"/>
  <c r="S62"/>
  <c r="U63"/>
  <c r="Y37"/>
  <c r="W38"/>
  <c r="Y82"/>
  <c r="S40"/>
  <c r="Q39"/>
  <c r="Q38"/>
  <c r="Z38" s="1"/>
  <c r="AJ38" s="1"/>
  <c r="U82"/>
  <c r="W82"/>
  <c r="Q82"/>
  <c r="S82"/>
  <c r="Y39"/>
  <c r="Y57"/>
  <c r="Y63"/>
  <c r="W40"/>
  <c r="P40"/>
  <c r="X39"/>
  <c r="R40"/>
  <c r="T39"/>
  <c r="R38"/>
  <c r="Q62"/>
  <c r="T40"/>
  <c r="AL14" i="2" l="1"/>
  <c r="AL12"/>
  <c r="AL10"/>
  <c r="AL8"/>
  <c r="AL6"/>
  <c r="AL4"/>
  <c r="AL2"/>
  <c r="Z39" i="1"/>
  <c r="AJ39" s="1"/>
  <c r="AL31" i="2"/>
  <c r="AL13"/>
  <c r="AL11"/>
  <c r="AL9"/>
  <c r="AL7"/>
  <c r="AL5"/>
  <c r="AL3"/>
  <c r="AL43"/>
  <c r="AL41"/>
  <c r="AL38"/>
  <c r="AL36"/>
  <c r="AL34"/>
  <c r="AL32"/>
  <c r="AL29"/>
  <c r="AL27"/>
  <c r="AL25"/>
  <c r="AL23"/>
  <c r="AL21"/>
  <c r="AL19"/>
  <c r="AL16"/>
  <c r="BL65"/>
  <c r="AL44"/>
  <c r="AL42"/>
  <c r="AL39"/>
  <c r="AL37"/>
  <c r="AL35"/>
  <c r="AL33"/>
  <c r="AL30"/>
  <c r="AL28"/>
  <c r="AL26"/>
  <c r="AL24"/>
  <c r="AL22"/>
  <c r="AL20"/>
  <c r="AL17"/>
  <c r="BL3"/>
  <c r="BL26"/>
  <c r="BL31"/>
  <c r="BL36"/>
  <c r="BL41"/>
  <c r="BL39"/>
  <c r="BL22"/>
  <c r="BL14"/>
  <c r="BL16"/>
  <c r="BL24"/>
  <c r="BL29"/>
  <c r="BL32"/>
  <c r="BL17"/>
  <c r="BL6"/>
  <c r="BL9"/>
  <c r="BL34"/>
  <c r="BL38"/>
  <c r="BL40"/>
  <c r="BL42"/>
  <c r="BL44"/>
  <c r="BL70"/>
  <c r="BL72"/>
  <c r="BL5"/>
  <c r="BL57"/>
  <c r="BL61"/>
  <c r="BL48"/>
  <c r="BL50"/>
  <c r="BL77"/>
  <c r="L108"/>
  <c r="BL80"/>
  <c r="AI108"/>
  <c r="BL8"/>
  <c r="BL15"/>
  <c r="BL18"/>
  <c r="BL23"/>
  <c r="BL37"/>
  <c r="BL10"/>
  <c r="BL20"/>
  <c r="BL28"/>
  <c r="BL33"/>
  <c r="BL43"/>
  <c r="BL4"/>
  <c r="BL68"/>
  <c r="N108"/>
  <c r="BL2"/>
  <c r="BL7"/>
  <c r="BL27"/>
  <c r="BL12"/>
  <c r="BL11"/>
  <c r="BL13"/>
  <c r="BL19"/>
  <c r="BL21"/>
  <c r="BL25"/>
  <c r="BL30"/>
  <c r="BL35"/>
  <c r="BL69"/>
  <c r="BL71"/>
  <c r="BL73"/>
  <c r="BL74"/>
  <c r="BL67"/>
  <c r="BL64"/>
  <c r="BL62"/>
  <c r="BL63"/>
  <c r="BL59"/>
  <c r="BL60"/>
  <c r="BL58"/>
  <c r="BL53"/>
  <c r="BL49"/>
  <c r="BL55"/>
  <c r="BL47"/>
  <c r="BL54"/>
  <c r="BL56"/>
  <c r="BL46"/>
  <c r="BL45"/>
  <c r="BL51"/>
  <c r="BL52"/>
  <c r="AL108"/>
  <c r="P61" i="1"/>
  <c r="X37"/>
  <c r="T82"/>
  <c r="V57"/>
  <c r="R62"/>
  <c r="X57"/>
  <c r="Q37"/>
  <c r="Z37" s="1"/>
  <c r="AJ37" s="1"/>
  <c r="Q57"/>
  <c r="Z57" s="1"/>
  <c r="AJ57" s="1"/>
  <c r="R57"/>
  <c r="R39"/>
  <c r="V63"/>
  <c r="T38"/>
  <c r="T37"/>
  <c r="R31"/>
  <c r="P57"/>
  <c r="V39"/>
  <c r="V82"/>
  <c r="P82"/>
  <c r="V61"/>
  <c r="X82"/>
  <c r="R82"/>
  <c r="R63"/>
  <c r="P31"/>
  <c r="R37"/>
  <c r="X62"/>
  <c r="Y61"/>
  <c r="Q63"/>
  <c r="Z63" s="1"/>
  <c r="AJ63" s="1"/>
  <c r="Z31"/>
  <c r="V31"/>
  <c r="X38"/>
  <c r="W62"/>
  <c r="Z62" s="1"/>
  <c r="AJ62" s="1"/>
  <c r="AM38"/>
  <c r="AM39"/>
  <c r="Z82"/>
  <c r="AJ82" s="1"/>
  <c r="Z61"/>
  <c r="AJ61" s="1"/>
  <c r="Z40"/>
  <c r="AJ40" s="1"/>
  <c r="X63"/>
  <c r="T61"/>
  <c r="X61"/>
  <c r="R61"/>
  <c r="V38"/>
  <c r="V62"/>
  <c r="P63"/>
  <c r="T57"/>
  <c r="T63"/>
  <c r="X31"/>
  <c r="X40"/>
  <c r="P37"/>
  <c r="P39"/>
  <c r="AM104" i="2" l="1"/>
  <c r="AM36"/>
  <c r="AM10"/>
  <c r="AM70"/>
  <c r="AM9"/>
  <c r="AM13"/>
  <c r="AM22"/>
  <c r="AM64"/>
  <c r="AM39"/>
  <c r="AM53"/>
  <c r="AM94"/>
  <c r="AM48"/>
  <c r="AM17"/>
  <c r="AM12"/>
  <c r="AM7"/>
  <c r="AM11"/>
  <c r="AM16"/>
  <c r="AM58"/>
  <c r="AM25"/>
  <c r="AM61"/>
  <c r="AM21"/>
  <c r="AM31"/>
  <c r="AM50"/>
  <c r="AM78"/>
  <c r="AM86"/>
  <c r="AM98"/>
  <c r="AM101"/>
  <c r="AM45"/>
  <c r="AN45" s="1"/>
  <c r="AM69"/>
  <c r="AM37"/>
  <c r="AM23"/>
  <c r="AM15"/>
  <c r="AN15" s="1"/>
  <c r="AQ15" s="1"/>
  <c r="AR15" s="1"/>
  <c r="AM79"/>
  <c r="AM80"/>
  <c r="AM29"/>
  <c r="BL108"/>
  <c r="AM76"/>
  <c r="AM83"/>
  <c r="AM100"/>
  <c r="AM93"/>
  <c r="AM87"/>
  <c r="AM46"/>
  <c r="AM56"/>
  <c r="AM47"/>
  <c r="AM55"/>
  <c r="AM71"/>
  <c r="AM30"/>
  <c r="AM43"/>
  <c r="AM28"/>
  <c r="AM95"/>
  <c r="AM44"/>
  <c r="AM32"/>
  <c r="AM26"/>
  <c r="P62" i="1"/>
  <c r="AM61"/>
  <c r="AM62"/>
  <c r="P38"/>
  <c r="T62"/>
  <c r="V37"/>
  <c r="AM57"/>
  <c r="V40"/>
  <c r="AM40"/>
  <c r="AM82"/>
  <c r="AN39"/>
  <c r="AO39"/>
  <c r="AN38"/>
  <c r="AO38"/>
  <c r="AJ31"/>
  <c r="Z109"/>
  <c r="T31"/>
  <c r="AM63"/>
  <c r="AM37"/>
  <c r="AQ38" l="1"/>
  <c r="AR38" s="1"/>
  <c r="AU38" s="1"/>
  <c r="AZ38" s="1"/>
  <c r="BA38" s="1"/>
  <c r="BD38" s="1"/>
  <c r="AQ39"/>
  <c r="AR39" s="1"/>
  <c r="AU39" s="1"/>
  <c r="AZ39" s="1"/>
  <c r="BA39" s="1"/>
  <c r="BD39" s="1"/>
  <c r="AU15" i="2"/>
  <c r="AM57"/>
  <c r="AM89"/>
  <c r="AM85"/>
  <c r="AM75"/>
  <c r="AM54"/>
  <c r="AB108"/>
  <c r="AN26"/>
  <c r="AO26"/>
  <c r="AN44"/>
  <c r="AO44"/>
  <c r="AM73"/>
  <c r="AM59"/>
  <c r="AM3"/>
  <c r="AM82"/>
  <c r="AM38"/>
  <c r="AM8"/>
  <c r="AN43"/>
  <c r="AO43"/>
  <c r="AM63"/>
  <c r="AM35"/>
  <c r="AM33"/>
  <c r="AM27"/>
  <c r="AM24"/>
  <c r="AM42"/>
  <c r="AN55"/>
  <c r="AO55"/>
  <c r="AN56"/>
  <c r="AO56"/>
  <c r="AN83"/>
  <c r="AO83"/>
  <c r="AM102"/>
  <c r="AM65"/>
  <c r="AM40"/>
  <c r="AM4"/>
  <c r="AG108"/>
  <c r="AN79"/>
  <c r="AO79"/>
  <c r="AN37"/>
  <c r="AO37"/>
  <c r="AM91"/>
  <c r="AN69"/>
  <c r="AO69"/>
  <c r="AN101"/>
  <c r="AO101"/>
  <c r="AN98"/>
  <c r="AO98"/>
  <c r="AN78"/>
  <c r="AO78"/>
  <c r="AN50"/>
  <c r="AO50"/>
  <c r="AN31"/>
  <c r="AO31"/>
  <c r="AN11"/>
  <c r="AO11"/>
  <c r="AN12"/>
  <c r="AO12"/>
  <c r="AN48"/>
  <c r="AO48"/>
  <c r="AN53"/>
  <c r="AO53"/>
  <c r="AN39"/>
  <c r="AO39"/>
  <c r="AN64"/>
  <c r="AO64"/>
  <c r="AN22"/>
  <c r="AO22"/>
  <c r="AN9"/>
  <c r="AO9"/>
  <c r="AN70"/>
  <c r="AO70"/>
  <c r="AN10"/>
  <c r="AO10"/>
  <c r="AN104"/>
  <c r="AO104"/>
  <c r="AM14"/>
  <c r="AM52"/>
  <c r="AM19"/>
  <c r="AM81"/>
  <c r="AM97"/>
  <c r="AM72"/>
  <c r="AM68"/>
  <c r="AM90"/>
  <c r="AM66"/>
  <c r="AM92"/>
  <c r="AM88"/>
  <c r="AN32"/>
  <c r="AO32"/>
  <c r="AM96"/>
  <c r="AM84"/>
  <c r="AN95"/>
  <c r="AO95"/>
  <c r="AN28"/>
  <c r="AO28"/>
  <c r="AN30"/>
  <c r="AO30"/>
  <c r="AN71"/>
  <c r="AO71"/>
  <c r="AN47"/>
  <c r="AO47"/>
  <c r="AN46"/>
  <c r="AO46"/>
  <c r="AN87"/>
  <c r="AO87"/>
  <c r="AN93"/>
  <c r="AO93"/>
  <c r="AN100"/>
  <c r="AO100"/>
  <c r="AN76"/>
  <c r="AO76"/>
  <c r="AM41"/>
  <c r="AM103"/>
  <c r="AM18"/>
  <c r="AN29"/>
  <c r="AO29"/>
  <c r="AN80"/>
  <c r="AO80"/>
  <c r="AM34"/>
  <c r="AM51"/>
  <c r="AM62"/>
  <c r="AM6"/>
  <c r="AM20"/>
  <c r="AZ15"/>
  <c r="BA15" s="1"/>
  <c r="BD15" s="1"/>
  <c r="AN23"/>
  <c r="AO23"/>
  <c r="AN86"/>
  <c r="AO86"/>
  <c r="AN21"/>
  <c r="AO21"/>
  <c r="AN61"/>
  <c r="AO61"/>
  <c r="AN25"/>
  <c r="AO25"/>
  <c r="AN58"/>
  <c r="AO58"/>
  <c r="AO16"/>
  <c r="AN16"/>
  <c r="AN7"/>
  <c r="AO7"/>
  <c r="AO17"/>
  <c r="AN17"/>
  <c r="AN94"/>
  <c r="AO94"/>
  <c r="AN13"/>
  <c r="AO13"/>
  <c r="AN36"/>
  <c r="AO36"/>
  <c r="AQ45"/>
  <c r="AR45" s="1"/>
  <c r="AM31" i="1"/>
  <c r="AJ109"/>
  <c r="BE38"/>
  <c r="BK38"/>
  <c r="BE39"/>
  <c r="BK39"/>
  <c r="AN57"/>
  <c r="AO57"/>
  <c r="AO62"/>
  <c r="AN62"/>
  <c r="AN61"/>
  <c r="AO61"/>
  <c r="AN37"/>
  <c r="AO37"/>
  <c r="AO63"/>
  <c r="AN63"/>
  <c r="AO82"/>
  <c r="AN82"/>
  <c r="AN40"/>
  <c r="AO40"/>
  <c r="AQ61" l="1"/>
  <c r="AR61" s="1"/>
  <c r="AU61" s="1"/>
  <c r="AZ61" s="1"/>
  <c r="BA61" s="1"/>
  <c r="BD61" s="1"/>
  <c r="AM60" i="2"/>
  <c r="AM99"/>
  <c r="AQ17"/>
  <c r="AR17" s="1"/>
  <c r="AQ16"/>
  <c r="AR16" s="1"/>
  <c r="AU16" s="1"/>
  <c r="AZ16" s="1"/>
  <c r="BA16" s="1"/>
  <c r="BD16" s="1"/>
  <c r="BE15"/>
  <c r="BK15"/>
  <c r="AN6"/>
  <c r="AO6"/>
  <c r="AN62"/>
  <c r="AO62"/>
  <c r="AM67"/>
  <c r="AQ80"/>
  <c r="AR80" s="1"/>
  <c r="AQ29"/>
  <c r="AR29" s="1"/>
  <c r="AO18"/>
  <c r="AN18"/>
  <c r="AN103"/>
  <c r="AO103"/>
  <c r="AO41"/>
  <c r="AN41"/>
  <c r="AQ76"/>
  <c r="AR76" s="1"/>
  <c r="AN84"/>
  <c r="AO84"/>
  <c r="AQ32"/>
  <c r="AR32" s="1"/>
  <c r="AN92"/>
  <c r="AO92"/>
  <c r="AN90"/>
  <c r="AO90"/>
  <c r="AN68"/>
  <c r="AO68"/>
  <c r="AQ104"/>
  <c r="AR104" s="1"/>
  <c r="AU104" s="1"/>
  <c r="AZ104" s="1"/>
  <c r="BA104" s="1"/>
  <c r="BD104" s="1"/>
  <c r="AQ10"/>
  <c r="AR10" s="1"/>
  <c r="AQ70"/>
  <c r="AR70" s="1"/>
  <c r="AQ9"/>
  <c r="AR9" s="1"/>
  <c r="AQ22"/>
  <c r="AR22" s="1"/>
  <c r="AQ64"/>
  <c r="AR64" s="1"/>
  <c r="AU64" s="1"/>
  <c r="AZ64" s="1"/>
  <c r="BA64" s="1"/>
  <c r="BD64" s="1"/>
  <c r="AQ39"/>
  <c r="AR39" s="1"/>
  <c r="AQ53"/>
  <c r="AR53" s="1"/>
  <c r="AU53" s="1"/>
  <c r="AZ53" s="1"/>
  <c r="BA53" s="1"/>
  <c r="BD53" s="1"/>
  <c r="AQ48"/>
  <c r="AR48" s="1"/>
  <c r="AQ12"/>
  <c r="AR12" s="1"/>
  <c r="AU12" s="1"/>
  <c r="AZ12" s="1"/>
  <c r="BA12" s="1"/>
  <c r="BD12" s="1"/>
  <c r="AQ11"/>
  <c r="AR11" s="1"/>
  <c r="AQ31"/>
  <c r="AR31" s="1"/>
  <c r="AQ50"/>
  <c r="AR50" s="1"/>
  <c r="AQ78"/>
  <c r="AR78" s="1"/>
  <c r="AQ98"/>
  <c r="AR98" s="1"/>
  <c r="AZ101"/>
  <c r="BA101" s="1"/>
  <c r="BD101" s="1"/>
  <c r="AQ101"/>
  <c r="AR101" s="1"/>
  <c r="AU101" s="1"/>
  <c r="AQ37"/>
  <c r="AR37" s="1"/>
  <c r="AQ79"/>
  <c r="AR79" s="1"/>
  <c r="AO4"/>
  <c r="AN4"/>
  <c r="AQ56"/>
  <c r="AR56" s="1"/>
  <c r="AU56" s="1"/>
  <c r="AZ56" s="1"/>
  <c r="BA56" s="1"/>
  <c r="BD56" s="1"/>
  <c r="AQ55"/>
  <c r="AR55" s="1"/>
  <c r="AU55" s="1"/>
  <c r="AZ55" s="1"/>
  <c r="BA55" s="1"/>
  <c r="BD55" s="1"/>
  <c r="AO42"/>
  <c r="AN42"/>
  <c r="AN27"/>
  <c r="AO27"/>
  <c r="AN35"/>
  <c r="AO35"/>
  <c r="AN63"/>
  <c r="AO63"/>
  <c r="AQ43"/>
  <c r="AR43" s="1"/>
  <c r="AN8"/>
  <c r="AO8"/>
  <c r="AO3"/>
  <c r="AN3"/>
  <c r="AN59"/>
  <c r="AO59"/>
  <c r="AN75"/>
  <c r="AO75"/>
  <c r="AM2"/>
  <c r="AJ108"/>
  <c r="AN57"/>
  <c r="AO57"/>
  <c r="AQ82" i="1"/>
  <c r="AR82" s="1"/>
  <c r="AU82" s="1"/>
  <c r="AZ82" s="1"/>
  <c r="BA82" s="1"/>
  <c r="BD82" s="1"/>
  <c r="AQ63"/>
  <c r="AR63" s="1"/>
  <c r="AU63" s="1"/>
  <c r="AZ63" s="1"/>
  <c r="BA63" s="1"/>
  <c r="BD63" s="1"/>
  <c r="AQ57"/>
  <c r="AR57" s="1"/>
  <c r="AU57" s="1"/>
  <c r="AZ57" s="1"/>
  <c r="BA57" s="1"/>
  <c r="BD57" s="1"/>
  <c r="AU45" i="2"/>
  <c r="AQ36"/>
  <c r="AR36" s="1"/>
  <c r="AU36" s="1"/>
  <c r="AZ36" s="1"/>
  <c r="BA36" s="1"/>
  <c r="BD36" s="1"/>
  <c r="AQ13"/>
  <c r="AR13" s="1"/>
  <c r="AU13" s="1"/>
  <c r="AZ13" s="1"/>
  <c r="BA13" s="1"/>
  <c r="BD13" s="1"/>
  <c r="AQ94"/>
  <c r="AR94" s="1"/>
  <c r="AQ7"/>
  <c r="AR7" s="1"/>
  <c r="AU7" s="1"/>
  <c r="AZ7" s="1"/>
  <c r="BA7" s="1"/>
  <c r="BD7" s="1"/>
  <c r="AQ58"/>
  <c r="AQ25"/>
  <c r="AR25" s="1"/>
  <c r="AU25" s="1"/>
  <c r="AZ25" s="1"/>
  <c r="BA25" s="1"/>
  <c r="BD25" s="1"/>
  <c r="AQ61"/>
  <c r="AR61" s="1"/>
  <c r="AQ21"/>
  <c r="AR21" s="1"/>
  <c r="AQ86"/>
  <c r="AR86" s="1"/>
  <c r="AZ23"/>
  <c r="BA23" s="1"/>
  <c r="BD23" s="1"/>
  <c r="AQ23"/>
  <c r="AR23" s="1"/>
  <c r="AU23" s="1"/>
  <c r="AN20"/>
  <c r="AO20"/>
  <c r="AN51"/>
  <c r="AO51"/>
  <c r="AN34"/>
  <c r="AO34"/>
  <c r="AQ100"/>
  <c r="AR100" s="1"/>
  <c r="AQ93"/>
  <c r="AR93" s="1"/>
  <c r="AQ87"/>
  <c r="AR87" s="1"/>
  <c r="AU87" s="1"/>
  <c r="AZ87" s="1"/>
  <c r="BA87" s="1"/>
  <c r="BD87" s="1"/>
  <c r="AQ46"/>
  <c r="AR46" s="1"/>
  <c r="AQ47"/>
  <c r="AR47" s="1"/>
  <c r="AQ71"/>
  <c r="AR71" s="1"/>
  <c r="AQ30"/>
  <c r="AR30" s="1"/>
  <c r="AQ28"/>
  <c r="AR28" s="1"/>
  <c r="AQ95"/>
  <c r="AR95" s="1"/>
  <c r="AU95" s="1"/>
  <c r="AZ95" s="1"/>
  <c r="BA95" s="1"/>
  <c r="BD95" s="1"/>
  <c r="AN96"/>
  <c r="AO96"/>
  <c r="AM49"/>
  <c r="AN88"/>
  <c r="AO88"/>
  <c r="AN66"/>
  <c r="AO66"/>
  <c r="AN72"/>
  <c r="AO72"/>
  <c r="AN97"/>
  <c r="AO97"/>
  <c r="AN81"/>
  <c r="AO81"/>
  <c r="AN19"/>
  <c r="AO19"/>
  <c r="AN52"/>
  <c r="AO52"/>
  <c r="AN14"/>
  <c r="AO14"/>
  <c r="AM74"/>
  <c r="AM77"/>
  <c r="AQ69"/>
  <c r="AR69" s="1"/>
  <c r="AN91"/>
  <c r="AO91"/>
  <c r="AM5"/>
  <c r="AN40"/>
  <c r="AO40"/>
  <c r="AN65"/>
  <c r="AO65"/>
  <c r="AN102"/>
  <c r="AO102"/>
  <c r="AQ83"/>
  <c r="AR83" s="1"/>
  <c r="AU83" s="1"/>
  <c r="AZ83" s="1"/>
  <c r="BA83" s="1"/>
  <c r="BD83" s="1"/>
  <c r="AN24"/>
  <c r="AO24"/>
  <c r="AN33"/>
  <c r="AO33"/>
  <c r="AN38"/>
  <c r="AO38"/>
  <c r="AN82"/>
  <c r="AO82"/>
  <c r="AN73"/>
  <c r="AO73"/>
  <c r="AQ44"/>
  <c r="AR44" s="1"/>
  <c r="AQ26"/>
  <c r="AR26" s="1"/>
  <c r="AN54"/>
  <c r="AO54"/>
  <c r="AN85"/>
  <c r="AO85"/>
  <c r="AN89"/>
  <c r="AO89"/>
  <c r="Z108"/>
  <c r="BK82" i="1"/>
  <c r="BE82"/>
  <c r="BE63"/>
  <c r="BK63"/>
  <c r="BE61"/>
  <c r="BK61"/>
  <c r="BE57"/>
  <c r="BK57"/>
  <c r="AO31"/>
  <c r="AN31"/>
  <c r="AM109"/>
  <c r="AN109"/>
  <c r="AQ37"/>
  <c r="AR37" s="1"/>
  <c r="AU37" s="1"/>
  <c r="AZ37" s="1"/>
  <c r="BA37" s="1"/>
  <c r="BD37" s="1"/>
  <c r="AQ40"/>
  <c r="AR40" s="1"/>
  <c r="AU40" s="1"/>
  <c r="AZ40" s="1"/>
  <c r="BA40" s="1"/>
  <c r="BD40" s="1"/>
  <c r="AQ62"/>
  <c r="AR62" s="1"/>
  <c r="AU62" s="1"/>
  <c r="AZ62" s="1"/>
  <c r="BA62" s="1"/>
  <c r="BD62" s="1"/>
  <c r="BE95" i="2" l="1"/>
  <c r="BK95"/>
  <c r="BE25"/>
  <c r="BK25"/>
  <c r="BE7"/>
  <c r="BK7"/>
  <c r="BE53"/>
  <c r="BK53"/>
  <c r="BE83"/>
  <c r="BK83"/>
  <c r="BE12"/>
  <c r="BK12"/>
  <c r="AU44"/>
  <c r="AQ102"/>
  <c r="AR102" s="1"/>
  <c r="AU102" s="1"/>
  <c r="AZ102" s="1"/>
  <c r="BA102" s="1"/>
  <c r="BD102" s="1"/>
  <c r="AQ65"/>
  <c r="AR65" s="1"/>
  <c r="AQ40"/>
  <c r="AR40" s="1"/>
  <c r="AN5"/>
  <c r="AO5"/>
  <c r="AU69"/>
  <c r="AN74"/>
  <c r="AO74"/>
  <c r="AQ14"/>
  <c r="AR14" s="1"/>
  <c r="AQ52"/>
  <c r="AR52" s="1"/>
  <c r="AQ19"/>
  <c r="AR19" s="1"/>
  <c r="AQ81"/>
  <c r="AR81" s="1"/>
  <c r="AQ97"/>
  <c r="AR97" s="1"/>
  <c r="AQ72"/>
  <c r="AR72" s="1"/>
  <c r="AQ88"/>
  <c r="AR88" s="1"/>
  <c r="AU30"/>
  <c r="AU47"/>
  <c r="AU93"/>
  <c r="AQ34"/>
  <c r="AR34" s="1"/>
  <c r="AQ51"/>
  <c r="AR51" s="1"/>
  <c r="AQ20"/>
  <c r="AR20" s="1"/>
  <c r="AU86"/>
  <c r="AU21"/>
  <c r="AU61"/>
  <c r="AU94"/>
  <c r="AO2"/>
  <c r="AN2"/>
  <c r="AM108"/>
  <c r="AQ3"/>
  <c r="AR3" s="1"/>
  <c r="AQ63"/>
  <c r="AR63" s="1"/>
  <c r="AQ35"/>
  <c r="AR35" s="1"/>
  <c r="AU35" s="1"/>
  <c r="AZ35" s="1"/>
  <c r="BA35" s="1"/>
  <c r="BD35" s="1"/>
  <c r="AQ27"/>
  <c r="AR27" s="1"/>
  <c r="AQ4"/>
  <c r="AR4" s="1"/>
  <c r="AU79"/>
  <c r="AU37"/>
  <c r="BE101"/>
  <c r="BK101"/>
  <c r="AU31"/>
  <c r="AU22"/>
  <c r="AU9"/>
  <c r="AQ68"/>
  <c r="AR68" s="1"/>
  <c r="AQ90"/>
  <c r="AR90" s="1"/>
  <c r="AU90" s="1"/>
  <c r="AZ90" s="1"/>
  <c r="BA90" s="1"/>
  <c r="BD90" s="1"/>
  <c r="AQ92"/>
  <c r="AR92" s="1"/>
  <c r="AU92" s="1"/>
  <c r="AZ92" s="1"/>
  <c r="BA92" s="1"/>
  <c r="BD92" s="1"/>
  <c r="AU32"/>
  <c r="AQ103"/>
  <c r="AR103" s="1"/>
  <c r="AU103" s="1"/>
  <c r="AZ103" s="1"/>
  <c r="BA103" s="1"/>
  <c r="BD103" s="1"/>
  <c r="AU80"/>
  <c r="AN67"/>
  <c r="AO67"/>
  <c r="BE16"/>
  <c r="BK16"/>
  <c r="AN99"/>
  <c r="AO99"/>
  <c r="AN60"/>
  <c r="AO60"/>
  <c r="AQ89"/>
  <c r="AR89" s="1"/>
  <c r="AU89" s="1"/>
  <c r="AZ89" s="1"/>
  <c r="BA89" s="1"/>
  <c r="BD89" s="1"/>
  <c r="AQ85"/>
  <c r="AR85" s="1"/>
  <c r="AQ54"/>
  <c r="AR54" s="1"/>
  <c r="AU26"/>
  <c r="AQ73"/>
  <c r="AR73" s="1"/>
  <c r="AQ82"/>
  <c r="AR82" s="1"/>
  <c r="AQ38"/>
  <c r="AR38" s="1"/>
  <c r="AQ33"/>
  <c r="AR33" s="1"/>
  <c r="AU33" s="1"/>
  <c r="AZ33" s="1"/>
  <c r="BA33" s="1"/>
  <c r="BD33" s="1"/>
  <c r="AQ24"/>
  <c r="AR24" s="1"/>
  <c r="AU24" s="1"/>
  <c r="AZ24" s="1"/>
  <c r="BA24" s="1"/>
  <c r="BD24" s="1"/>
  <c r="AQ91"/>
  <c r="AR91" s="1"/>
  <c r="AN77"/>
  <c r="AO77"/>
  <c r="AQ66"/>
  <c r="AR66" s="1"/>
  <c r="AN49"/>
  <c r="AO49"/>
  <c r="AQ96"/>
  <c r="AR96" s="1"/>
  <c r="AU96" s="1"/>
  <c r="AZ96" s="1"/>
  <c r="BA96" s="1"/>
  <c r="BD96" s="1"/>
  <c r="AU28"/>
  <c r="AU71"/>
  <c r="AU46"/>
  <c r="BE87"/>
  <c r="BK87"/>
  <c r="AU100"/>
  <c r="BE23"/>
  <c r="BK23"/>
  <c r="AR58"/>
  <c r="BE13"/>
  <c r="BK13"/>
  <c r="BE36"/>
  <c r="BK36"/>
  <c r="AZ45"/>
  <c r="BA45" s="1"/>
  <c r="BD45" s="1"/>
  <c r="AQ57"/>
  <c r="AR57" s="1"/>
  <c r="AU57" s="1"/>
  <c r="AZ57" s="1"/>
  <c r="BA57" s="1"/>
  <c r="BD57" s="1"/>
  <c r="AQ75"/>
  <c r="AR75" s="1"/>
  <c r="AQ59"/>
  <c r="AR59" s="1"/>
  <c r="AQ8"/>
  <c r="AR8" s="1"/>
  <c r="AU43"/>
  <c r="AQ42"/>
  <c r="AR42" s="1"/>
  <c r="BE55"/>
  <c r="BK55"/>
  <c r="BE56"/>
  <c r="BK56"/>
  <c r="AU98"/>
  <c r="AU78"/>
  <c r="AU50"/>
  <c r="AU11"/>
  <c r="AU48"/>
  <c r="AU39"/>
  <c r="BE64"/>
  <c r="BK64"/>
  <c r="AU70"/>
  <c r="AU10"/>
  <c r="BE104"/>
  <c r="BK104"/>
  <c r="AQ84"/>
  <c r="AR84" s="1"/>
  <c r="AU76"/>
  <c r="AQ41"/>
  <c r="AR41" s="1"/>
  <c r="AQ18"/>
  <c r="AR18" s="1"/>
  <c r="AU18" s="1"/>
  <c r="AZ18" s="1"/>
  <c r="BA18" s="1"/>
  <c r="BD18" s="1"/>
  <c r="AU29"/>
  <c r="AQ62"/>
  <c r="AR62" s="1"/>
  <c r="AQ6"/>
  <c r="AR6" s="1"/>
  <c r="AU17"/>
  <c r="BE37" i="1"/>
  <c r="BK37"/>
  <c r="BK62"/>
  <c r="BE62"/>
  <c r="AO109"/>
  <c r="AQ31"/>
  <c r="BK40"/>
  <c r="BE40"/>
  <c r="BE33" i="2" l="1"/>
  <c r="BK33"/>
  <c r="BE57"/>
  <c r="BK57"/>
  <c r="BE24"/>
  <c r="BK24"/>
  <c r="AZ17"/>
  <c r="BA17" s="1"/>
  <c r="BD17" s="1"/>
  <c r="AU6"/>
  <c r="AU62"/>
  <c r="AZ29"/>
  <c r="BA29" s="1"/>
  <c r="BD29" s="1"/>
  <c r="AU41"/>
  <c r="AU84"/>
  <c r="AU42"/>
  <c r="AZ43"/>
  <c r="BA43" s="1"/>
  <c r="BD43" s="1"/>
  <c r="AU8"/>
  <c r="AU59"/>
  <c r="AU75"/>
  <c r="AU58"/>
  <c r="AQ77"/>
  <c r="AR77" s="1"/>
  <c r="AU91"/>
  <c r="AU38"/>
  <c r="AU82"/>
  <c r="AU73"/>
  <c r="AU54"/>
  <c r="AZ80"/>
  <c r="BA80" s="1"/>
  <c r="BD80" s="1"/>
  <c r="AU68"/>
  <c r="AZ9"/>
  <c r="BA9" s="1"/>
  <c r="BD9" s="1"/>
  <c r="AZ22"/>
  <c r="BA22" s="1"/>
  <c r="BD22" s="1"/>
  <c r="AZ31"/>
  <c r="BA31" s="1"/>
  <c r="BD31" s="1"/>
  <c r="AZ37"/>
  <c r="BA37" s="1"/>
  <c r="BD37" s="1"/>
  <c r="AZ79"/>
  <c r="BA79" s="1"/>
  <c r="BD79" s="1"/>
  <c r="AU27"/>
  <c r="BE35"/>
  <c r="BK35"/>
  <c r="AO108"/>
  <c r="AQ2"/>
  <c r="AZ94"/>
  <c r="BA94" s="1"/>
  <c r="BD94" s="1"/>
  <c r="AZ61"/>
  <c r="BA61" s="1"/>
  <c r="BD61" s="1"/>
  <c r="AZ21"/>
  <c r="BA21" s="1"/>
  <c r="BD21" s="1"/>
  <c r="AZ86"/>
  <c r="BA86" s="1"/>
  <c r="BD86" s="1"/>
  <c r="AU20"/>
  <c r="AU51"/>
  <c r="AU34"/>
  <c r="AU88"/>
  <c r="AU72"/>
  <c r="AU19"/>
  <c r="AU52"/>
  <c r="AU14"/>
  <c r="AQ74"/>
  <c r="AR74" s="1"/>
  <c r="AZ69"/>
  <c r="BA69" s="1"/>
  <c r="BD69" s="1"/>
  <c r="AQ5"/>
  <c r="AR5" s="1"/>
  <c r="AU65"/>
  <c r="BE102"/>
  <c r="BK102"/>
  <c r="BE18"/>
  <c r="BK18"/>
  <c r="AZ76"/>
  <c r="BA76" s="1"/>
  <c r="BD76" s="1"/>
  <c r="AZ10"/>
  <c r="BA10" s="1"/>
  <c r="BD10" s="1"/>
  <c r="AZ70"/>
  <c r="BA70" s="1"/>
  <c r="BD70" s="1"/>
  <c r="AZ39"/>
  <c r="BA39" s="1"/>
  <c r="BD39" s="1"/>
  <c r="AZ48"/>
  <c r="BA48" s="1"/>
  <c r="BD48" s="1"/>
  <c r="AZ11"/>
  <c r="BA11" s="1"/>
  <c r="BD11" s="1"/>
  <c r="AZ50"/>
  <c r="BA50" s="1"/>
  <c r="BD50" s="1"/>
  <c r="AZ78"/>
  <c r="BA78" s="1"/>
  <c r="BD78" s="1"/>
  <c r="AZ98"/>
  <c r="BA98" s="1"/>
  <c r="BD98" s="1"/>
  <c r="BE45"/>
  <c r="BK45"/>
  <c r="AZ100"/>
  <c r="BA100" s="1"/>
  <c r="BD100" s="1"/>
  <c r="AZ46"/>
  <c r="BA46" s="1"/>
  <c r="BD46" s="1"/>
  <c r="AZ71"/>
  <c r="BA71" s="1"/>
  <c r="BD71" s="1"/>
  <c r="AZ28"/>
  <c r="BA28" s="1"/>
  <c r="BD28" s="1"/>
  <c r="BE96"/>
  <c r="BK96"/>
  <c r="AQ49"/>
  <c r="AR49" s="1"/>
  <c r="AU66"/>
  <c r="AZ26"/>
  <c r="BA26" s="1"/>
  <c r="BD26" s="1"/>
  <c r="AU85"/>
  <c r="BE89"/>
  <c r="BK89"/>
  <c r="AQ60"/>
  <c r="AR60" s="1"/>
  <c r="AQ99"/>
  <c r="AR99" s="1"/>
  <c r="AQ67"/>
  <c r="AR67" s="1"/>
  <c r="BE103"/>
  <c r="BK103"/>
  <c r="AZ32"/>
  <c r="BA32" s="1"/>
  <c r="BD32" s="1"/>
  <c r="BE92"/>
  <c r="BK92"/>
  <c r="BE90"/>
  <c r="BK90"/>
  <c r="AU4"/>
  <c r="AU63"/>
  <c r="AU3"/>
  <c r="AN108"/>
  <c r="AZ93"/>
  <c r="BA93" s="1"/>
  <c r="BD93" s="1"/>
  <c r="AZ47"/>
  <c r="BA47" s="1"/>
  <c r="BD47" s="1"/>
  <c r="AZ30"/>
  <c r="BA30" s="1"/>
  <c r="BD30" s="1"/>
  <c r="AU97"/>
  <c r="AU81"/>
  <c r="AU40"/>
  <c r="AZ44"/>
  <c r="BA44" s="1"/>
  <c r="BD44" s="1"/>
  <c r="AR31" i="1"/>
  <c r="AQ109"/>
  <c r="AZ40" i="2" l="1"/>
  <c r="BA40" s="1"/>
  <c r="BD40" s="1"/>
  <c r="AZ81"/>
  <c r="BA81" s="1"/>
  <c r="BD81" s="1"/>
  <c r="AZ97"/>
  <c r="BA97" s="1"/>
  <c r="BD97" s="1"/>
  <c r="AZ3"/>
  <c r="BA3" s="1"/>
  <c r="BD3" s="1"/>
  <c r="AZ63"/>
  <c r="BA63" s="1"/>
  <c r="BD63" s="1"/>
  <c r="AZ4"/>
  <c r="BA4" s="1"/>
  <c r="BD4" s="1"/>
  <c r="BE32"/>
  <c r="BK32"/>
  <c r="AU67"/>
  <c r="AZ85"/>
  <c r="BA85" s="1"/>
  <c r="BD85" s="1"/>
  <c r="AZ66"/>
  <c r="BA66" s="1"/>
  <c r="BD66" s="1"/>
  <c r="BE28"/>
  <c r="BK28"/>
  <c r="BE71"/>
  <c r="BK71"/>
  <c r="BE46"/>
  <c r="BK46"/>
  <c r="BE100"/>
  <c r="BK100"/>
  <c r="BE50"/>
  <c r="BK50"/>
  <c r="BE11"/>
  <c r="BK11"/>
  <c r="AU5"/>
  <c r="BE69"/>
  <c r="BK69"/>
  <c r="BE86"/>
  <c r="BK86"/>
  <c r="BE61"/>
  <c r="BK61"/>
  <c r="AR2"/>
  <c r="AQ108"/>
  <c r="BE37"/>
  <c r="BK37"/>
  <c r="BE31"/>
  <c r="BK31"/>
  <c r="BE80"/>
  <c r="BK80"/>
  <c r="AU77"/>
  <c r="AZ58"/>
  <c r="BA58" s="1"/>
  <c r="BD58" s="1"/>
  <c r="AZ75"/>
  <c r="BA75" s="1"/>
  <c r="BD75" s="1"/>
  <c r="AZ59"/>
  <c r="BA59" s="1"/>
  <c r="BD59" s="1"/>
  <c r="BE43"/>
  <c r="BK43"/>
  <c r="AZ62"/>
  <c r="BA62" s="1"/>
  <c r="BD62" s="1"/>
  <c r="AZ6"/>
  <c r="BA6" s="1"/>
  <c r="BD6" s="1"/>
  <c r="BE44"/>
  <c r="BK44"/>
  <c r="BE30"/>
  <c r="BK30"/>
  <c r="BE47"/>
  <c r="BK47"/>
  <c r="BE93"/>
  <c r="BK93"/>
  <c r="AU99"/>
  <c r="AU60"/>
  <c r="BE26"/>
  <c r="BK26"/>
  <c r="AU49"/>
  <c r="BE98"/>
  <c r="BK98"/>
  <c r="BE78"/>
  <c r="BK78"/>
  <c r="BE48"/>
  <c r="BK48"/>
  <c r="BE39"/>
  <c r="BK39"/>
  <c r="BE70"/>
  <c r="BK70"/>
  <c r="BE10"/>
  <c r="BK10"/>
  <c r="BE76"/>
  <c r="BK76"/>
  <c r="AZ65"/>
  <c r="BA65" s="1"/>
  <c r="BD65" s="1"/>
  <c r="AU74"/>
  <c r="AZ14"/>
  <c r="BA14" s="1"/>
  <c r="BD14" s="1"/>
  <c r="AZ52"/>
  <c r="BA52" s="1"/>
  <c r="BD52" s="1"/>
  <c r="AZ19"/>
  <c r="BA19" s="1"/>
  <c r="BD19" s="1"/>
  <c r="AZ72"/>
  <c r="BA72" s="1"/>
  <c r="BD72" s="1"/>
  <c r="AZ88"/>
  <c r="BA88" s="1"/>
  <c r="BD88" s="1"/>
  <c r="AZ34"/>
  <c r="BA34" s="1"/>
  <c r="BD34" s="1"/>
  <c r="AZ51"/>
  <c r="BA51" s="1"/>
  <c r="BD51" s="1"/>
  <c r="AZ20"/>
  <c r="BA20" s="1"/>
  <c r="BD20" s="1"/>
  <c r="BE21"/>
  <c r="BK21"/>
  <c r="BE94"/>
  <c r="BK94"/>
  <c r="AZ27"/>
  <c r="BA27" s="1"/>
  <c r="BD27" s="1"/>
  <c r="BE79"/>
  <c r="BK79"/>
  <c r="BE22"/>
  <c r="BK22"/>
  <c r="BE9"/>
  <c r="BK9"/>
  <c r="AZ68"/>
  <c r="BA68" s="1"/>
  <c r="BD68" s="1"/>
  <c r="AZ54"/>
  <c r="BA54" s="1"/>
  <c r="BD54" s="1"/>
  <c r="AZ73"/>
  <c r="BA73" s="1"/>
  <c r="BD73" s="1"/>
  <c r="AZ82"/>
  <c r="BA82" s="1"/>
  <c r="BD82" s="1"/>
  <c r="AZ38"/>
  <c r="BA38" s="1"/>
  <c r="BD38" s="1"/>
  <c r="AZ91"/>
  <c r="BA91" s="1"/>
  <c r="BD91" s="1"/>
  <c r="AZ8"/>
  <c r="BA8" s="1"/>
  <c r="BD8" s="1"/>
  <c r="AZ42"/>
  <c r="BA42" s="1"/>
  <c r="BD42" s="1"/>
  <c r="AZ84"/>
  <c r="BA84" s="1"/>
  <c r="BD84" s="1"/>
  <c r="AZ41"/>
  <c r="BA41" s="1"/>
  <c r="BD41" s="1"/>
  <c r="BE29"/>
  <c r="BK29"/>
  <c r="BE17"/>
  <c r="BK17"/>
  <c r="AU31" i="1"/>
  <c r="AR109"/>
  <c r="BE42" i="2" l="1"/>
  <c r="BK42"/>
  <c r="BE91"/>
  <c r="BK91"/>
  <c r="BE82"/>
  <c r="BK82"/>
  <c r="BE54"/>
  <c r="BK54"/>
  <c r="BE68"/>
  <c r="BK68"/>
  <c r="BE27"/>
  <c r="BK27"/>
  <c r="BE51"/>
  <c r="BK51"/>
  <c r="BE19"/>
  <c r="BK19"/>
  <c r="BE14"/>
  <c r="BK14"/>
  <c r="AZ74"/>
  <c r="BA74" s="1"/>
  <c r="BD74" s="1"/>
  <c r="BE65"/>
  <c r="BK65"/>
  <c r="AZ49"/>
  <c r="BA49" s="1"/>
  <c r="BD49" s="1"/>
  <c r="AZ60"/>
  <c r="BA60" s="1"/>
  <c r="BD60" s="1"/>
  <c r="AZ99"/>
  <c r="BA99" s="1"/>
  <c r="BD99" s="1"/>
  <c r="BE62"/>
  <c r="BK62"/>
  <c r="BE59"/>
  <c r="BK59"/>
  <c r="BE75"/>
  <c r="BK75"/>
  <c r="BE58"/>
  <c r="BK58"/>
  <c r="AZ77"/>
  <c r="BA77" s="1"/>
  <c r="BD77" s="1"/>
  <c r="AU2"/>
  <c r="AR108"/>
  <c r="AZ5"/>
  <c r="BA5" s="1"/>
  <c r="BD5" s="1"/>
  <c r="BE85"/>
  <c r="BK85"/>
  <c r="AZ67"/>
  <c r="BA67" s="1"/>
  <c r="BD67" s="1"/>
  <c r="BE4"/>
  <c r="BK4"/>
  <c r="BE41"/>
  <c r="BK41"/>
  <c r="BE84"/>
  <c r="BK84"/>
  <c r="BE8"/>
  <c r="BK8"/>
  <c r="BE38"/>
  <c r="BK38"/>
  <c r="BE73"/>
  <c r="BK73"/>
  <c r="BE20"/>
  <c r="BK20"/>
  <c r="BE34"/>
  <c r="BK34"/>
  <c r="BE88"/>
  <c r="BK88"/>
  <c r="BE72"/>
  <c r="BK72"/>
  <c r="BE52"/>
  <c r="BK52"/>
  <c r="BE6"/>
  <c r="BK6"/>
  <c r="BE66"/>
  <c r="BK66"/>
  <c r="BE63"/>
  <c r="BK63"/>
  <c r="BE3"/>
  <c r="BK3"/>
  <c r="BE97"/>
  <c r="BK97"/>
  <c r="BE81"/>
  <c r="BK81"/>
  <c r="BE40"/>
  <c r="BK40"/>
  <c r="AZ31" i="1"/>
  <c r="AU109"/>
  <c r="AU108" i="2" l="1"/>
  <c r="AZ2"/>
  <c r="BE67"/>
  <c r="BK67"/>
  <c r="BE5"/>
  <c r="BK5"/>
  <c r="BE77"/>
  <c r="BK77"/>
  <c r="BE99"/>
  <c r="BK99"/>
  <c r="BE60"/>
  <c r="BK60"/>
  <c r="BE49"/>
  <c r="BK49"/>
  <c r="BE74"/>
  <c r="BK74"/>
  <c r="BA31" i="1"/>
  <c r="AZ109"/>
  <c r="AZ108" i="2" l="1"/>
  <c r="BA2"/>
  <c r="BD31" i="1"/>
  <c r="BA109"/>
  <c r="BD2" i="2" l="1"/>
  <c r="BA108"/>
  <c r="BE31" i="1"/>
  <c r="BE109" s="1"/>
  <c r="BK31"/>
  <c r="BD109"/>
  <c r="BE2" i="2" l="1"/>
  <c r="BK2"/>
  <c r="BD108"/>
  <c r="BE108" l="1"/>
</calcChain>
</file>

<file path=xl/sharedStrings.xml><?xml version="1.0" encoding="utf-8"?>
<sst xmlns="http://schemas.openxmlformats.org/spreadsheetml/2006/main" count="1158" uniqueCount="363">
  <si>
    <t>N° mat.</t>
  </si>
  <si>
    <t>Nom et prénom</t>
  </si>
  <si>
    <t>P/T</t>
  </si>
  <si>
    <t>N° CNAPS</t>
  </si>
  <si>
    <t>Date d'emb.</t>
  </si>
  <si>
    <t>Fonction</t>
  </si>
  <si>
    <t>Cat</t>
  </si>
  <si>
    <t>Salaire de base (Ar)</t>
  </si>
  <si>
    <t>Fermeture</t>
  </si>
  <si>
    <t>Jours comptés (sans congé)</t>
  </si>
  <si>
    <t>Salaire brut</t>
  </si>
  <si>
    <t>j. Abs.</t>
  </si>
  <si>
    <t>Mt abs.</t>
  </si>
  <si>
    <t>Taux horaire</t>
  </si>
  <si>
    <t>1er 32 H</t>
  </si>
  <si>
    <t>Mt 1er 32H</t>
  </si>
  <si>
    <t>+32H</t>
  </si>
  <si>
    <t>Mt + 32H</t>
  </si>
  <si>
    <t>HS Dim.</t>
  </si>
  <si>
    <t>Mt Dim.</t>
  </si>
  <si>
    <t>HS J fér.</t>
  </si>
  <si>
    <t>Mt J fer.</t>
  </si>
  <si>
    <t>HS nuit</t>
  </si>
  <si>
    <t>Mt HS nuit</t>
  </si>
  <si>
    <t>TOT Mt HS</t>
  </si>
  <si>
    <t>j congé pris sur le mois</t>
  </si>
  <si>
    <t>Montant congé pris/mois</t>
  </si>
  <si>
    <t>Frais/Repas</t>
  </si>
  <si>
    <t>Primes/Rappel</t>
  </si>
  <si>
    <t>Préavis</t>
  </si>
  <si>
    <t>j congé non pris payés</t>
  </si>
  <si>
    <t>M congé</t>
  </si>
  <si>
    <t>MATERNITE (jours)</t>
  </si>
  <si>
    <t>MATERNITE (Montant)</t>
  </si>
  <si>
    <t>Avantage en nature</t>
  </si>
  <si>
    <t>Imposable/avantage</t>
  </si>
  <si>
    <t>Salaire brut+Avantage</t>
  </si>
  <si>
    <t>CNAPS</t>
  </si>
  <si>
    <t>OSTIE</t>
  </si>
  <si>
    <t>Chrge profess.</t>
  </si>
  <si>
    <t>Imposable</t>
  </si>
  <si>
    <t>IRSA</t>
  </si>
  <si>
    <t>Nbre enfant à charge</t>
  </si>
  <si>
    <t>Déd. IRSA</t>
  </si>
  <si>
    <t>IRSA net</t>
  </si>
  <si>
    <t>Avance quinzaine</t>
  </si>
  <si>
    <t>Avance spéciale</t>
  </si>
  <si>
    <t>TOTAL AVANCE</t>
  </si>
  <si>
    <t>Primes déjà perçues</t>
  </si>
  <si>
    <t>Retenues</t>
  </si>
  <si>
    <t>Salaire net (Ariary)</t>
  </si>
  <si>
    <t>13ème mois</t>
  </si>
  <si>
    <t>HS</t>
  </si>
  <si>
    <t>Net à payer</t>
  </si>
  <si>
    <t>A payer arrondi</t>
  </si>
  <si>
    <t>Date début congé maternité</t>
  </si>
  <si>
    <t>Date fin congé maternité</t>
  </si>
  <si>
    <t>Salaire de base</t>
  </si>
  <si>
    <t>Jours</t>
  </si>
  <si>
    <t>Salaire maternité</t>
  </si>
  <si>
    <t>FISC - Salaire net</t>
  </si>
  <si>
    <t>Fisc = Sal de base</t>
  </si>
  <si>
    <t>T002</t>
  </si>
  <si>
    <t>T006</t>
  </si>
  <si>
    <t>T007</t>
  </si>
  <si>
    <t>T008</t>
  </si>
  <si>
    <t>T009</t>
  </si>
  <si>
    <t>T011</t>
  </si>
  <si>
    <t>T014</t>
  </si>
  <si>
    <t>T016</t>
  </si>
  <si>
    <t>T018</t>
  </si>
  <si>
    <t>T019</t>
  </si>
  <si>
    <t>T022</t>
  </si>
  <si>
    <t>T025</t>
  </si>
  <si>
    <t>T028</t>
  </si>
  <si>
    <t>T032</t>
  </si>
  <si>
    <t>T036</t>
  </si>
  <si>
    <t>T050</t>
  </si>
  <si>
    <t>T053</t>
  </si>
  <si>
    <t>T057</t>
  </si>
  <si>
    <t>T062</t>
  </si>
  <si>
    <t>T071</t>
  </si>
  <si>
    <t>T093</t>
  </si>
  <si>
    <t>T099</t>
  </si>
  <si>
    <t>T101</t>
  </si>
  <si>
    <t>T102</t>
  </si>
  <si>
    <t>T113</t>
  </si>
  <si>
    <t>T114</t>
  </si>
  <si>
    <t>T132</t>
  </si>
  <si>
    <t>T133</t>
  </si>
  <si>
    <t>T134</t>
  </si>
  <si>
    <t>T144</t>
  </si>
  <si>
    <t>T146</t>
  </si>
  <si>
    <t>T148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</si>
  <si>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</si>
  <si>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</si>
  <si>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</si>
  <si>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</si>
  <si>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</si>
  <si>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</si>
  <si>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</si>
  <si>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</si>
  <si>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</si>
  <si>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</si>
  <si>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</si>
  <si>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T168</t>
  </si>
  <si>
    <t>T173</t>
  </si>
  <si>
    <t>T176</t>
  </si>
  <si>
    <t>T177</t>
  </si>
  <si>
    <t>T178</t>
  </si>
  <si>
    <t>T179</t>
  </si>
  <si>
    <t>T182</t>
  </si>
  <si>
    <t>T184</t>
  </si>
  <si>
    <t>T185</t>
  </si>
  <si>
    <t>T186</t>
  </si>
  <si>
    <t>T187</t>
  </si>
  <si>
    <t>T188</t>
  </si>
  <si>
    <t>T191</t>
  </si>
  <si>
    <t>T193</t>
  </si>
  <si>
    <t>T194</t>
  </si>
  <si>
    <t>T197</t>
  </si>
  <si>
    <t>T200</t>
  </si>
  <si>
    <t>T201</t>
  </si>
  <si>
    <t>T202</t>
  </si>
  <si>
    <t>T204</t>
  </si>
  <si>
    <t>T206</t>
  </si>
  <si>
    <t>T208</t>
  </si>
  <si>
    <t>T210</t>
  </si>
  <si>
    <t>T211</t>
  </si>
  <si>
    <t>T212</t>
  </si>
  <si>
    <t>T213</t>
  </si>
  <si>
    <t>T214</t>
  </si>
  <si>
    <t>T215</t>
  </si>
  <si>
    <t>T216</t>
  </si>
  <si>
    <t>T218</t>
  </si>
  <si>
    <t>T219</t>
  </si>
  <si>
    <t>T220</t>
  </si>
  <si>
    <t>T222</t>
  </si>
  <si>
    <t>T223</t>
  </si>
  <si>
    <t>T226</t>
  </si>
  <si>
    <t>T227</t>
  </si>
  <si>
    <t>T228</t>
  </si>
  <si>
    <t>T229</t>
  </si>
  <si>
    <t>T230</t>
  </si>
  <si>
    <t>T231</t>
  </si>
  <si>
    <t>T232</t>
  </si>
  <si>
    <t>T234</t>
  </si>
  <si>
    <t>T235</t>
  </si>
  <si>
    <t>T236</t>
  </si>
  <si>
    <t>T237</t>
  </si>
  <si>
    <t>T238</t>
  </si>
  <si>
    <t>T240</t>
  </si>
  <si>
    <t>T241</t>
  </si>
  <si>
    <t>T242</t>
  </si>
  <si>
    <t>T243</t>
  </si>
  <si>
    <t>T245</t>
  </si>
  <si>
    <t>T246</t>
  </si>
  <si>
    <t>T247</t>
  </si>
  <si>
    <t>T248</t>
  </si>
  <si>
    <t>T249</t>
  </si>
  <si>
    <t>T250</t>
  </si>
  <si>
    <t>T252</t>
  </si>
  <si>
    <t>T253</t>
  </si>
  <si>
    <t>T254</t>
  </si>
  <si>
    <t>T255</t>
  </si>
  <si>
    <t>TOTAL</t>
  </si>
  <si>
    <t>RATSIMANDRESY Dominique Aimé</t>
  </si>
  <si>
    <t>900516000104</t>
  </si>
  <si>
    <t>Chef d'équipe Composite</t>
  </si>
  <si>
    <t>OS2</t>
  </si>
  <si>
    <t>TSIRINONY Dieu Donné</t>
  </si>
  <si>
    <t>848983</t>
  </si>
  <si>
    <t>Technicien</t>
  </si>
  <si>
    <t>OP</t>
  </si>
  <si>
    <t>EUGENE</t>
  </si>
  <si>
    <t>888242</t>
  </si>
  <si>
    <t>RAMANANA Louis de Gonzague</t>
  </si>
  <si>
    <t>800311002185</t>
  </si>
  <si>
    <t>Cadre junior-stratifieur</t>
  </si>
  <si>
    <t>OS</t>
  </si>
  <si>
    <t>RAKOTOARISOA Jean Michel</t>
  </si>
  <si>
    <t>780820001233</t>
  </si>
  <si>
    <t>Ouvrier qualifié composite</t>
  </si>
  <si>
    <t>OS1</t>
  </si>
  <si>
    <t>RAZAFINDRAZANANY Romaine</t>
  </si>
  <si>
    <t>642423001439</t>
  </si>
  <si>
    <t>Préparatrice de surface</t>
  </si>
  <si>
    <t>M1</t>
  </si>
  <si>
    <t>NOAVISON Tsimahaboa</t>
  </si>
  <si>
    <t>670130000492</t>
  </si>
  <si>
    <t>RAZAFINDRASATA José Gabriel</t>
  </si>
  <si>
    <t>590628003486</t>
  </si>
  <si>
    <t>Chauffeur</t>
  </si>
  <si>
    <t>RABASOAMALALA Fidelia</t>
  </si>
  <si>
    <t>882207001540</t>
  </si>
  <si>
    <t>FOMBEA Joeline</t>
  </si>
  <si>
    <t>782119003409</t>
  </si>
  <si>
    <t>RAZAFIMAHEFASOLO Jean Eddy</t>
  </si>
  <si>
    <t>820402001893</t>
  </si>
  <si>
    <t>RAKOTOZAFY Pierre</t>
  </si>
  <si>
    <t>901015000234</t>
  </si>
  <si>
    <t>Ouvrier qualifié Composite</t>
  </si>
  <si>
    <t>RAZAFINIAINA Tolotra Franca</t>
  </si>
  <si>
    <t>891209000957</t>
  </si>
  <si>
    <t>DEHAAS Pierre Herman Joseph</t>
  </si>
  <si>
    <t>524730000432</t>
  </si>
  <si>
    <t>Responsable atelier mécanique</t>
  </si>
  <si>
    <t>HC</t>
  </si>
  <si>
    <t>RAKOTONIRINA Fanomezantsoa</t>
  </si>
  <si>
    <t>860127001270</t>
  </si>
  <si>
    <t>RAMANALINIRIANA Jean Victor</t>
  </si>
  <si>
    <t>72121020001L</t>
  </si>
  <si>
    <t>Chef d'équipe Menuisier</t>
  </si>
  <si>
    <t>RAMANATSOA Eddy Christ</t>
  </si>
  <si>
    <t>800613000470</t>
  </si>
  <si>
    <t>Ouvrier composite</t>
  </si>
  <si>
    <t>RAKOTOMALALA Jean Jacques</t>
  </si>
  <si>
    <t>770512003314</t>
  </si>
  <si>
    <t>RANDRIANARISON Philippe Joseph</t>
  </si>
  <si>
    <t>610211004393</t>
  </si>
  <si>
    <t>Ouvrier Composite</t>
  </si>
  <si>
    <t>RANDRIAMIANDRISOA Rémi</t>
  </si>
  <si>
    <t>757558</t>
  </si>
  <si>
    <t xml:space="preserve">RAFIDIMANANTSOA Jean Bruno </t>
  </si>
  <si>
    <t>99999999999</t>
  </si>
  <si>
    <t xml:space="preserve">RAVELONARIVO Henri Bernard </t>
  </si>
  <si>
    <t>RANDRIANARIMALALA Jean Jacques</t>
  </si>
  <si>
    <t>RABEARINORO John Eddy</t>
  </si>
  <si>
    <t>810320000335</t>
  </si>
  <si>
    <t>ANDRIAMANDIMBINIAINA Veuvé Bayard</t>
  </si>
  <si>
    <t>Responsable atelier Chaudronnerie</t>
  </si>
  <si>
    <t>TINASOA NOMENJANAHARY Tantely</t>
  </si>
  <si>
    <t>RATOVOSON Holihasina Mamisoa</t>
  </si>
  <si>
    <t>712127000233</t>
  </si>
  <si>
    <t>Responsable Comptable</t>
  </si>
  <si>
    <t>RANAIVOSON RAMANANDRAISOA Voahangy</t>
  </si>
  <si>
    <t>713121000211</t>
  </si>
  <si>
    <t>Responsable administratif</t>
  </si>
  <si>
    <t>ANDRIAMANANTENA Tovonony Barison</t>
  </si>
  <si>
    <t>800525004595</t>
  </si>
  <si>
    <t>Responsable Composite</t>
  </si>
  <si>
    <t>RANDRIAMANANA Sylvin</t>
  </si>
  <si>
    <t>890101003707</t>
  </si>
  <si>
    <t>Gardien de nuit</t>
  </si>
  <si>
    <t>RANDRIAMIADANA Rijaniaina</t>
  </si>
  <si>
    <t>790228003547</t>
  </si>
  <si>
    <t>Responsable montage</t>
  </si>
  <si>
    <t>RAKOTONDRATSARA Solofoniana Hyacinthe Jean Ferdinand</t>
  </si>
  <si>
    <t>800302000787</t>
  </si>
  <si>
    <t>RAMILAVONJY Ramiandrasoa Flavien</t>
  </si>
  <si>
    <t>720214003432</t>
  </si>
  <si>
    <t>RAMAROSON Jean Christ</t>
  </si>
  <si>
    <t>850710003925</t>
  </si>
  <si>
    <t>RABARIJAONA Barthélemy Jacques</t>
  </si>
  <si>
    <t>7181030002Y</t>
  </si>
  <si>
    <t>RAFARAMALALA Laurence</t>
  </si>
  <si>
    <t>763107000718</t>
  </si>
  <si>
    <t>Cuisinière</t>
  </si>
  <si>
    <t>RAMIANDRAVOLA Rondroelinjaka</t>
  </si>
  <si>
    <t>712613000422</t>
  </si>
  <si>
    <t>Femme de menage</t>
  </si>
  <si>
    <t>RAKOTONATOANDRO Edmond</t>
  </si>
  <si>
    <t>550504000228</t>
  </si>
  <si>
    <t>Gardien</t>
  </si>
  <si>
    <t>RANGITARINORO José</t>
  </si>
  <si>
    <t>760225002962</t>
  </si>
  <si>
    <t>Jardinier</t>
  </si>
  <si>
    <t>MAMITIANA Pascal</t>
  </si>
  <si>
    <t>750427003054</t>
  </si>
  <si>
    <t>Agent de sécurité</t>
  </si>
  <si>
    <t>RANDRIAMIRADOMANANA René</t>
  </si>
  <si>
    <t>870606001196</t>
  </si>
  <si>
    <t>RATOVOSON Vololomiadana Voniarisoa</t>
  </si>
  <si>
    <t>Directeur administratif et financier</t>
  </si>
  <si>
    <t>RAZAFINIRINA Patrick</t>
  </si>
  <si>
    <t>871121000569</t>
  </si>
  <si>
    <t>Cadre junior- Responsable Production</t>
  </si>
  <si>
    <t>HUON DE KERMADEC Vincent</t>
  </si>
  <si>
    <t>774413000174</t>
  </si>
  <si>
    <t>Directeur de production</t>
  </si>
  <si>
    <t>RAKOTONDRAMAVO Michaël</t>
  </si>
  <si>
    <t>999999999</t>
  </si>
  <si>
    <t>RAKOTOARIMANANA Jean Joseph</t>
  </si>
  <si>
    <t>RAKOTOMANANA Maminirina Jean Michel</t>
  </si>
  <si>
    <t xml:space="preserve">RANDRIANAVALOMANDRESY Olivier Gendratto </t>
  </si>
  <si>
    <t>RANDRIANJATOVO Tojosoa Fabien</t>
  </si>
  <si>
    <t>RANDRIANARISON Gérard</t>
  </si>
  <si>
    <t>940826000316</t>
  </si>
  <si>
    <t xml:space="preserve">RAFANOMEZANTSOA Jean Fidèle </t>
  </si>
  <si>
    <t>RANDRIARIJAONA Jean Lucia</t>
  </si>
  <si>
    <t>99999999</t>
  </si>
  <si>
    <t>RANDRIAMANALINARIVO Jean Ruphin</t>
  </si>
  <si>
    <t>RAHARISON Herimampionona</t>
  </si>
  <si>
    <t>OP2A</t>
  </si>
  <si>
    <t>NICOLAS Jean Arthur</t>
  </si>
  <si>
    <t>901229002543</t>
  </si>
  <si>
    <t>RATOJONIAINA Jeannot Paul</t>
  </si>
  <si>
    <t>RANDRIANASOLONIRINA Jenny Angelin</t>
  </si>
  <si>
    <t>RAMANANJATO Tolojanahary</t>
  </si>
  <si>
    <t>Stratifieur</t>
  </si>
  <si>
    <t>ANDRIANIRINTSOA Safiditiana José</t>
  </si>
  <si>
    <t>9999999</t>
  </si>
  <si>
    <t>RAMANANTENASOA Nambinintsoa</t>
  </si>
  <si>
    <t>TISTE</t>
  </si>
  <si>
    <t>RASOANAVALONA Sahondraniaina</t>
  </si>
  <si>
    <t>Garde d'enfant</t>
  </si>
  <si>
    <t>ANDONIAINA Nathalie Alida</t>
  </si>
  <si>
    <t>Ouvrier Sellerie</t>
  </si>
  <si>
    <t>SOATAHY</t>
  </si>
  <si>
    <t>791105003078</t>
  </si>
  <si>
    <t>Mécanicien</t>
  </si>
  <si>
    <t>RAVAONIRINA Jocelyne</t>
  </si>
  <si>
    <t>RAZANAJATOVO Jeannot</t>
  </si>
  <si>
    <t>RANDRIANANTENAINA Noël</t>
  </si>
  <si>
    <t>RAVELOSON Holiarimanga Dera</t>
  </si>
  <si>
    <t>RAZANDRAINIBE Hajaniaina Patrick</t>
  </si>
  <si>
    <t>802119001979</t>
  </si>
  <si>
    <t>HERINTSOA Andry Manoely Georges</t>
  </si>
  <si>
    <t>851020004811</t>
  </si>
  <si>
    <t>ANDRIAMPARANIAINA clermont</t>
  </si>
  <si>
    <t>RAZANADRAKOTO Hariniaina Patrick</t>
  </si>
  <si>
    <t>ANDRIAMANATENA Lalaina Angeline</t>
  </si>
  <si>
    <t>RAKOTONDRABE Jean Martial</t>
  </si>
  <si>
    <t>832962</t>
  </si>
  <si>
    <t>RASOLONIAINA Honoré</t>
  </si>
  <si>
    <t>670913003805</t>
  </si>
  <si>
    <t>RABESON Tovo Harilaza</t>
  </si>
  <si>
    <t>840924005341</t>
  </si>
  <si>
    <t>RANDRIANARISON Nico Faniry</t>
  </si>
  <si>
    <t>850622000572</t>
  </si>
  <si>
    <t>RAMAROSON Lalaina Niandrisoa</t>
  </si>
  <si>
    <t>102031009138</t>
  </si>
  <si>
    <t>AVILAZA Michel</t>
  </si>
  <si>
    <t>751211002221</t>
  </si>
  <si>
    <t>Skipper</t>
  </si>
  <si>
    <t>RANDRIAMAMPIONONA Fulgence Angelo</t>
  </si>
  <si>
    <t>9999999999</t>
  </si>
  <si>
    <t>RAZAFINOARISON Jean Baptiste</t>
  </si>
  <si>
    <t>RAZAFINDRAVAHATRA Tolojanahary Jean Parfait</t>
  </si>
  <si>
    <t>TODISOA FANIRY Jean Louiset</t>
  </si>
  <si>
    <t>RANDRIAMANANTENA Fanomezantsoa Heriniaina</t>
  </si>
  <si>
    <t>RAZAFINDRAIBE Dimbiniaina Onja Fanantenana</t>
  </si>
  <si>
    <t>RASOLOFOMANDIMBY Florentin</t>
  </si>
  <si>
    <t>RAMANDANIAINA Alfred Lovasoa</t>
  </si>
  <si>
    <t>RANDRIANANTENAINA Toky Elysé</t>
  </si>
  <si>
    <t>RANDRIANANDRASANA Miora Lantoniaina Fabien</t>
  </si>
  <si>
    <t>RAFANOMEZANTSOA Andrianiaina</t>
  </si>
  <si>
    <t>RASOLOFOMANANA Daniel</t>
  </si>
  <si>
    <t>RAMANAMAHENINA Ryselle Tokinandrasana Njarasoa</t>
  </si>
  <si>
    <t>RAKOTOMAMONJY Jean Pierrot</t>
  </si>
  <si>
    <t>RAKOTONDRAMANANA Frédéric</t>
  </si>
  <si>
    <t>RAZAFIARIJAONA Tahianarinala</t>
  </si>
  <si>
    <t>Soudeur - Tolier - Peintre</t>
  </si>
  <si>
    <t>RAKOTOHASIMANANA N. Avotra</t>
  </si>
  <si>
    <t>RATOVOARISOA Mamitiana</t>
  </si>
  <si>
    <t>RAKOTONIRINA Nomenjanahary Feno</t>
  </si>
  <si>
    <t>ANDRINIAINA Tojosoa Eric</t>
  </si>
  <si>
    <t>RANDRIANARISON Heritiana Mamitiana</t>
  </si>
  <si>
    <t>RANARISON Rojo Nambinintsoa</t>
  </si>
  <si>
    <t>RAKOTOMALALA Tolotra</t>
  </si>
  <si>
    <t>RASAMOELINA TAFITASOA Hanitriniala</t>
  </si>
  <si>
    <t>Autres</t>
  </si>
  <si>
    <t>Rep. mois pr.</t>
  </si>
</sst>
</file>

<file path=xl/styles.xml><?xml version="1.0" encoding="utf-8"?>
<styleSheet xmlns="http://schemas.openxmlformats.org/spreadsheetml/2006/main">
  <numFmts count="4">
    <numFmt numFmtId="164" formatCode="000"/>
    <numFmt numFmtId="165" formatCode="dd/mm/yy"/>
    <numFmt numFmtId="166" formatCode="dd/mm/yy;@"/>
    <numFmt numFmtId="167" formatCode="#,##0.00;\-#,##0.00;"/>
  </numFmts>
  <fonts count="12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8"/>
      <color indexed="4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8"/>
      <color indexed="40"/>
      <name val="Arial"/>
      <family val="2"/>
    </font>
    <font>
      <sz val="14"/>
      <name val="Arial"/>
      <family val="2"/>
    </font>
    <font>
      <b/>
      <sz val="12"/>
      <color indexed="12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58">
    <xf numFmtId="0" fontId="0" fillId="0" borderId="0" xfId="0"/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4" fillId="4" borderId="1" xfId="0" applyNumberFormat="1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167" fontId="4" fillId="2" borderId="1" xfId="0" applyNumberFormat="1" applyFont="1" applyFill="1" applyBorder="1" applyAlignment="1">
      <alignment horizontal="center" vertical="center" wrapText="1"/>
    </xf>
    <xf numFmtId="167" fontId="4" fillId="5" borderId="1" xfId="0" applyNumberFormat="1" applyFont="1" applyFill="1" applyBorder="1" applyAlignment="1">
      <alignment horizontal="center" vertical="center" wrapText="1"/>
    </xf>
    <xf numFmtId="167" fontId="5" fillId="0" borderId="1" xfId="0" applyNumberFormat="1" applyFont="1" applyFill="1" applyBorder="1" applyAlignment="1">
      <alignment horizontal="center" vertical="center" wrapText="1"/>
    </xf>
    <xf numFmtId="166" fontId="4" fillId="6" borderId="1" xfId="0" applyNumberFormat="1" applyFont="1" applyFill="1" applyBorder="1" applyAlignment="1">
      <alignment horizontal="center" vertical="center" wrapText="1"/>
    </xf>
    <xf numFmtId="4" fontId="4" fillId="6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justify" vertical="center"/>
    </xf>
    <xf numFmtId="0" fontId="6" fillId="0" borderId="3" xfId="0" applyNumberFormat="1" applyFont="1" applyBorder="1" applyAlignment="1">
      <alignment horizontal="center" wrapText="1"/>
    </xf>
    <xf numFmtId="0" fontId="6" fillId="5" borderId="4" xfId="0" applyFont="1" applyFill="1" applyBorder="1" applyAlignment="1">
      <alignment horizontal="justify" vertical="center" wrapText="1"/>
    </xf>
    <xf numFmtId="165" fontId="6" fillId="0" borderId="5" xfId="0" applyNumberFormat="1" applyFont="1" applyBorder="1" applyAlignment="1">
      <alignment wrapText="1"/>
    </xf>
    <xf numFmtId="165" fontId="6" fillId="0" borderId="5" xfId="0" applyNumberFormat="1" applyFont="1" applyFill="1" applyBorder="1" applyAlignment="1">
      <alignment wrapText="1"/>
    </xf>
    <xf numFmtId="165" fontId="6" fillId="0" borderId="5" xfId="0" applyNumberFormat="1" applyFont="1" applyBorder="1" applyAlignment="1">
      <alignment horizontal="center" wrapText="1"/>
    </xf>
    <xf numFmtId="3" fontId="6" fillId="0" borderId="4" xfId="0" applyNumberFormat="1" applyFont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4" fontId="6" fillId="0" borderId="4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 vertical="center" wrapText="1"/>
    </xf>
    <xf numFmtId="4" fontId="6" fillId="7" borderId="1" xfId="0" applyNumberFormat="1" applyFont="1" applyFill="1" applyBorder="1" applyAlignment="1">
      <alignment horizontal="center" vertical="center" wrapText="1"/>
    </xf>
    <xf numFmtId="4" fontId="6" fillId="2" borderId="4" xfId="0" applyNumberFormat="1" applyFont="1" applyFill="1" applyBorder="1" applyAlignment="1">
      <alignment horizontal="center" vertical="center" wrapText="1"/>
    </xf>
    <xf numFmtId="4" fontId="6" fillId="8" borderId="4" xfId="0" applyNumberFormat="1" applyFont="1" applyFill="1" applyBorder="1" applyAlignment="1">
      <alignment horizontal="center" vertical="center" wrapText="1"/>
    </xf>
    <xf numFmtId="167" fontId="6" fillId="4" borderId="1" xfId="0" applyNumberFormat="1" applyFont="1" applyFill="1" applyBorder="1" applyAlignment="1">
      <alignment vertical="center" wrapText="1"/>
    </xf>
    <xf numFmtId="167" fontId="6" fillId="0" borderId="1" xfId="0" applyNumberFormat="1" applyFont="1" applyFill="1" applyBorder="1" applyAlignment="1">
      <alignment vertical="center" wrapText="1"/>
    </xf>
    <xf numFmtId="167" fontId="6" fillId="0" borderId="4" xfId="0" applyNumberFormat="1" applyFont="1" applyFill="1" applyBorder="1" applyAlignment="1">
      <alignment vertical="center" wrapText="1"/>
    </xf>
    <xf numFmtId="1" fontId="6" fillId="0" borderId="1" xfId="0" applyNumberFormat="1" applyFont="1" applyFill="1" applyBorder="1" applyAlignment="1">
      <alignment vertical="center" wrapText="1"/>
    </xf>
    <xf numFmtId="167" fontId="6" fillId="5" borderId="4" xfId="0" applyNumberFormat="1" applyFont="1" applyFill="1" applyBorder="1" applyAlignment="1">
      <alignment vertical="center" wrapText="1"/>
    </xf>
    <xf numFmtId="4" fontId="8" fillId="0" borderId="4" xfId="0" applyNumberFormat="1" applyFont="1" applyFill="1" applyBorder="1" applyAlignment="1">
      <alignment horizontal="center" vertical="center" wrapText="1"/>
    </xf>
    <xf numFmtId="167" fontId="8" fillId="0" borderId="5" xfId="0" applyNumberFormat="1" applyFont="1" applyFill="1" applyBorder="1" applyAlignment="1">
      <alignment vertical="center" wrapText="1"/>
    </xf>
    <xf numFmtId="167" fontId="6" fillId="0" borderId="2" xfId="0" applyNumberFormat="1" applyFont="1" applyFill="1" applyBorder="1" applyAlignment="1">
      <alignment vertical="center" wrapText="1"/>
    </xf>
    <xf numFmtId="4" fontId="6" fillId="0" borderId="6" xfId="0" applyNumberFormat="1" applyFont="1" applyFill="1" applyBorder="1" applyAlignment="1">
      <alignment vertical="center" wrapText="1"/>
    </xf>
    <xf numFmtId="166" fontId="6" fillId="6" borderId="2" xfId="0" applyNumberFormat="1" applyFont="1" applyFill="1" applyBorder="1" applyAlignment="1">
      <alignment horizontal="center" vertical="center" wrapText="1"/>
    </xf>
    <xf numFmtId="4" fontId="6" fillId="6" borderId="2" xfId="0" applyNumberFormat="1" applyFont="1" applyFill="1" applyBorder="1" applyAlignment="1">
      <alignment horizontal="center" vertical="center" wrapText="1"/>
    </xf>
    <xf numFmtId="4" fontId="6" fillId="4" borderId="2" xfId="0" applyNumberFormat="1" applyFont="1" applyFill="1" applyBorder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/>
    </xf>
    <xf numFmtId="0" fontId="6" fillId="0" borderId="8" xfId="0" applyNumberFormat="1" applyFont="1" applyBorder="1" applyAlignment="1">
      <alignment horizontal="center" wrapText="1"/>
    </xf>
    <xf numFmtId="0" fontId="6" fillId="5" borderId="1" xfId="0" applyFont="1" applyFill="1" applyBorder="1" applyAlignment="1">
      <alignment horizontal="justify" vertical="center" wrapText="1"/>
    </xf>
    <xf numFmtId="165" fontId="6" fillId="0" borderId="9" xfId="0" applyNumberFormat="1" applyFont="1" applyBorder="1" applyAlignment="1">
      <alignment wrapText="1"/>
    </xf>
    <xf numFmtId="165" fontId="6" fillId="0" borderId="9" xfId="0" applyNumberFormat="1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 vertical="center" wrapText="1"/>
    </xf>
    <xf numFmtId="167" fontId="6" fillId="5" borderId="1" xfId="0" applyNumberFormat="1" applyFont="1" applyFill="1" applyBorder="1" applyAlignment="1">
      <alignment vertical="center" wrapText="1"/>
    </xf>
    <xf numFmtId="167" fontId="6" fillId="0" borderId="7" xfId="0" applyNumberFormat="1" applyFont="1" applyFill="1" applyBorder="1" applyAlignment="1">
      <alignment vertical="center" wrapText="1"/>
    </xf>
    <xf numFmtId="4" fontId="6" fillId="0" borderId="10" xfId="0" applyNumberFormat="1" applyFont="1" applyFill="1" applyBorder="1" applyAlignment="1">
      <alignment vertical="center" wrapText="1"/>
    </xf>
    <xf numFmtId="166" fontId="6" fillId="6" borderId="7" xfId="0" applyNumberFormat="1" applyFont="1" applyFill="1" applyBorder="1" applyAlignment="1">
      <alignment horizontal="center" vertical="center" wrapText="1"/>
    </xf>
    <xf numFmtId="4" fontId="6" fillId="6" borderId="7" xfId="0" applyNumberFormat="1" applyFont="1" applyFill="1" applyBorder="1" applyAlignment="1">
      <alignment horizontal="center" vertical="center" wrapText="1"/>
    </xf>
    <xf numFmtId="4" fontId="6" fillId="4" borderId="7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7" fillId="7" borderId="7" xfId="0" applyNumberFormat="1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justify" vertical="center"/>
    </xf>
    <xf numFmtId="0" fontId="6" fillId="7" borderId="8" xfId="0" applyNumberFormat="1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justify" vertical="center" wrapText="1"/>
    </xf>
    <xf numFmtId="165" fontId="6" fillId="7" borderId="9" xfId="0" applyNumberFormat="1" applyFont="1" applyFill="1" applyBorder="1" applyAlignment="1">
      <alignment wrapText="1"/>
    </xf>
    <xf numFmtId="165" fontId="6" fillId="7" borderId="5" xfId="0" applyNumberFormat="1" applyFont="1" applyFill="1" applyBorder="1" applyAlignment="1">
      <alignment wrapText="1"/>
    </xf>
    <xf numFmtId="165" fontId="6" fillId="7" borderId="9" xfId="0" applyNumberFormat="1" applyFont="1" applyFill="1" applyBorder="1" applyAlignment="1">
      <alignment horizont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4" fontId="6" fillId="7" borderId="4" xfId="0" applyNumberFormat="1" applyFont="1" applyFill="1" applyBorder="1" applyAlignment="1">
      <alignment horizontal="center" vertical="center" wrapText="1"/>
    </xf>
    <xf numFmtId="167" fontId="6" fillId="7" borderId="1" xfId="0" applyNumberFormat="1" applyFont="1" applyFill="1" applyBorder="1" applyAlignment="1">
      <alignment vertical="center" wrapText="1"/>
    </xf>
    <xf numFmtId="167" fontId="6" fillId="7" borderId="4" xfId="0" applyNumberFormat="1" applyFont="1" applyFill="1" applyBorder="1" applyAlignment="1">
      <alignment vertical="center" wrapText="1"/>
    </xf>
    <xf numFmtId="1" fontId="6" fillId="7" borderId="1" xfId="0" applyNumberFormat="1" applyFont="1" applyFill="1" applyBorder="1" applyAlignment="1">
      <alignment vertical="center" wrapText="1"/>
    </xf>
    <xf numFmtId="4" fontId="8" fillId="7" borderId="4" xfId="0" applyNumberFormat="1" applyFont="1" applyFill="1" applyBorder="1" applyAlignment="1">
      <alignment horizontal="center" vertical="center" wrapText="1"/>
    </xf>
    <xf numFmtId="167" fontId="8" fillId="7" borderId="5" xfId="0" applyNumberFormat="1" applyFont="1" applyFill="1" applyBorder="1" applyAlignment="1">
      <alignment vertical="center" wrapText="1"/>
    </xf>
    <xf numFmtId="167" fontId="6" fillId="7" borderId="7" xfId="0" applyNumberFormat="1" applyFont="1" applyFill="1" applyBorder="1" applyAlignment="1">
      <alignment vertical="center" wrapText="1"/>
    </xf>
    <xf numFmtId="4" fontId="6" fillId="7" borderId="10" xfId="0" applyNumberFormat="1" applyFont="1" applyFill="1" applyBorder="1" applyAlignment="1">
      <alignment vertical="center" wrapText="1"/>
    </xf>
    <xf numFmtId="166" fontId="6" fillId="7" borderId="7" xfId="0" applyNumberFormat="1" applyFont="1" applyFill="1" applyBorder="1" applyAlignment="1">
      <alignment horizontal="center" vertical="center" wrapText="1"/>
    </xf>
    <xf numFmtId="4" fontId="6" fillId="7" borderId="7" xfId="0" applyNumberFormat="1" applyFont="1" applyFill="1" applyBorder="1" applyAlignment="1">
      <alignment horizontal="center" vertical="center" wrapText="1"/>
    </xf>
    <xf numFmtId="4" fontId="6" fillId="7" borderId="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4" fontId="6" fillId="7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4" fontId="6" fillId="7" borderId="0" xfId="0" applyNumberFormat="1" applyFont="1" applyFill="1" applyAlignment="1">
      <alignment horizontal="center" vertical="center"/>
    </xf>
    <xf numFmtId="1" fontId="6" fillId="7" borderId="0" xfId="0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164" fontId="7" fillId="9" borderId="7" xfId="0" applyNumberFormat="1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justify" vertical="center"/>
    </xf>
    <xf numFmtId="0" fontId="6" fillId="9" borderId="8" xfId="0" applyNumberFormat="1" applyFont="1" applyFill="1" applyBorder="1" applyAlignment="1">
      <alignment horizontal="center" wrapText="1"/>
    </xf>
    <xf numFmtId="0" fontId="6" fillId="9" borderId="1" xfId="0" applyFont="1" applyFill="1" applyBorder="1" applyAlignment="1">
      <alignment horizontal="justify" vertical="center" wrapText="1"/>
    </xf>
    <xf numFmtId="165" fontId="6" fillId="9" borderId="9" xfId="0" applyNumberFormat="1" applyFont="1" applyFill="1" applyBorder="1" applyAlignment="1">
      <alignment wrapText="1"/>
    </xf>
    <xf numFmtId="165" fontId="6" fillId="9" borderId="5" xfId="0" applyNumberFormat="1" applyFont="1" applyFill="1" applyBorder="1" applyAlignment="1">
      <alignment wrapText="1"/>
    </xf>
    <xf numFmtId="165" fontId="6" fillId="9" borderId="9" xfId="0" applyNumberFormat="1" applyFont="1" applyFill="1" applyBorder="1" applyAlignment="1">
      <alignment horizontal="center" wrapText="1"/>
    </xf>
    <xf numFmtId="3" fontId="6" fillId="9" borderId="1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4" fontId="6" fillId="9" borderId="1" xfId="0" applyNumberFormat="1" applyFont="1" applyFill="1" applyBorder="1" applyAlignment="1">
      <alignment horizontal="center" vertical="center" wrapText="1"/>
    </xf>
    <xf numFmtId="4" fontId="6" fillId="9" borderId="4" xfId="0" applyNumberFormat="1" applyFont="1" applyFill="1" applyBorder="1" applyAlignment="1">
      <alignment horizontal="center" vertical="center" wrapText="1"/>
    </xf>
    <xf numFmtId="167" fontId="6" fillId="9" borderId="1" xfId="0" applyNumberFormat="1" applyFont="1" applyFill="1" applyBorder="1" applyAlignment="1">
      <alignment vertical="center" wrapText="1"/>
    </xf>
    <xf numFmtId="167" fontId="6" fillId="9" borderId="4" xfId="0" applyNumberFormat="1" applyFont="1" applyFill="1" applyBorder="1" applyAlignment="1">
      <alignment vertical="center" wrapText="1"/>
    </xf>
    <xf numFmtId="1" fontId="6" fillId="9" borderId="1" xfId="0" applyNumberFormat="1" applyFont="1" applyFill="1" applyBorder="1" applyAlignment="1">
      <alignment vertical="center" wrapText="1"/>
    </xf>
    <xf numFmtId="4" fontId="8" fillId="9" borderId="4" xfId="0" applyNumberFormat="1" applyFont="1" applyFill="1" applyBorder="1" applyAlignment="1">
      <alignment horizontal="center" vertical="center" wrapText="1"/>
    </xf>
    <xf numFmtId="167" fontId="8" fillId="9" borderId="5" xfId="0" applyNumberFormat="1" applyFont="1" applyFill="1" applyBorder="1" applyAlignment="1">
      <alignment vertical="center" wrapText="1"/>
    </xf>
    <xf numFmtId="167" fontId="6" fillId="9" borderId="7" xfId="0" applyNumberFormat="1" applyFont="1" applyFill="1" applyBorder="1" applyAlignment="1">
      <alignment vertical="center" wrapText="1"/>
    </xf>
    <xf numFmtId="4" fontId="6" fillId="9" borderId="10" xfId="0" applyNumberFormat="1" applyFont="1" applyFill="1" applyBorder="1" applyAlignment="1">
      <alignment vertical="center" wrapText="1"/>
    </xf>
    <xf numFmtId="166" fontId="6" fillId="9" borderId="7" xfId="0" applyNumberFormat="1" applyFont="1" applyFill="1" applyBorder="1" applyAlignment="1">
      <alignment horizontal="center" vertical="center" wrapText="1"/>
    </xf>
    <xf numFmtId="4" fontId="6" fillId="9" borderId="7" xfId="0" applyNumberFormat="1" applyFont="1" applyFill="1" applyBorder="1" applyAlignment="1">
      <alignment horizontal="center" vertical="center" wrapText="1"/>
    </xf>
    <xf numFmtId="4" fontId="6" fillId="9" borderId="2" xfId="0" applyNumberFormat="1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4" fontId="8" fillId="0" borderId="1" xfId="0" applyNumberFormat="1" applyFont="1" applyFill="1" applyBorder="1" applyAlignment="1">
      <alignment horizontal="center" vertical="center" wrapText="1"/>
    </xf>
    <xf numFmtId="167" fontId="8" fillId="0" borderId="9" xfId="0" applyNumberFormat="1" applyFont="1" applyFill="1" applyBorder="1" applyAlignment="1">
      <alignment vertical="center" wrapText="1"/>
    </xf>
    <xf numFmtId="165" fontId="6" fillId="0" borderId="9" xfId="0" applyNumberFormat="1" applyFont="1" applyFill="1" applyBorder="1" applyAlignment="1">
      <alignment wrapText="1"/>
    </xf>
    <xf numFmtId="166" fontId="4" fillId="2" borderId="8" xfId="0" applyNumberFormat="1" applyFont="1" applyFill="1" applyBorder="1" applyAlignment="1">
      <alignment horizontal="center" vertical="center" wrapText="1"/>
    </xf>
    <xf numFmtId="4" fontId="10" fillId="0" borderId="7" xfId="0" applyNumberFormat="1" applyFont="1" applyBorder="1" applyAlignment="1">
      <alignment horizontal="center" vertical="center"/>
    </xf>
    <xf numFmtId="4" fontId="4" fillId="0" borderId="8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 vertical="center"/>
    </xf>
    <xf numFmtId="4" fontId="6" fillId="0" borderId="9" xfId="0" applyNumberFormat="1" applyFont="1" applyFill="1" applyBorder="1" applyAlignment="1">
      <alignment wrapText="1"/>
    </xf>
    <xf numFmtId="4" fontId="4" fillId="0" borderId="10" xfId="0" applyNumberFormat="1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4" fontId="4" fillId="2" borderId="8" xfId="0" applyNumberFormat="1" applyFont="1" applyFill="1" applyBorder="1" applyAlignment="1">
      <alignment horizontal="center" vertical="center"/>
    </xf>
    <xf numFmtId="4" fontId="4" fillId="0" borderId="8" xfId="0" applyNumberFormat="1" applyFont="1" applyFill="1" applyBorder="1" applyAlignment="1">
      <alignment horizontal="center" vertical="center"/>
    </xf>
    <xf numFmtId="4" fontId="4" fillId="4" borderId="8" xfId="0" applyNumberFormat="1" applyFont="1" applyFill="1" applyBorder="1" applyAlignment="1">
      <alignment horizontal="center" vertical="center"/>
    </xf>
    <xf numFmtId="4" fontId="5" fillId="0" borderId="8" xfId="0" applyNumberFormat="1" applyFont="1" applyFill="1" applyBorder="1" applyAlignment="1">
      <alignment horizontal="center" vertical="center"/>
    </xf>
    <xf numFmtId="166" fontId="11" fillId="5" borderId="7" xfId="0" applyNumberFormat="1" applyFont="1" applyFill="1" applyBorder="1" applyAlignment="1">
      <alignment vertical="center"/>
    </xf>
    <xf numFmtId="166" fontId="11" fillId="5" borderId="0" xfId="0" applyNumberFormat="1" applyFont="1" applyFill="1" applyBorder="1" applyAlignment="1">
      <alignment vertical="center"/>
    </xf>
    <xf numFmtId="4" fontId="11" fillId="5" borderId="0" xfId="0" applyNumberFormat="1" applyFont="1" applyFill="1" applyBorder="1" applyAlignment="1">
      <alignment vertical="center"/>
    </xf>
    <xf numFmtId="1" fontId="7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" fontId="6" fillId="0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4" fontId="6" fillId="3" borderId="0" xfId="0" applyNumberFormat="1" applyFont="1" applyFill="1" applyAlignment="1">
      <alignment horizontal="center" vertical="center"/>
    </xf>
    <xf numFmtId="167" fontId="6" fillId="4" borderId="0" xfId="0" applyNumberFormat="1" applyFont="1" applyFill="1" applyAlignment="1">
      <alignment vertical="center"/>
    </xf>
    <xf numFmtId="167" fontId="6" fillId="0" borderId="0" xfId="0" applyNumberFormat="1" applyFont="1" applyFill="1" applyAlignment="1">
      <alignment vertical="center"/>
    </xf>
    <xf numFmtId="1" fontId="6" fillId="0" borderId="0" xfId="0" applyNumberFormat="1" applyFont="1" applyFill="1" applyAlignment="1">
      <alignment vertical="center"/>
    </xf>
    <xf numFmtId="167" fontId="6" fillId="2" borderId="0" xfId="0" applyNumberFormat="1" applyFont="1" applyFill="1" applyAlignment="1">
      <alignment vertical="center"/>
    </xf>
    <xf numFmtId="167" fontId="6" fillId="5" borderId="0" xfId="0" applyNumberFormat="1" applyFont="1" applyFill="1" applyAlignment="1">
      <alignment vertical="center"/>
    </xf>
    <xf numFmtId="167" fontId="8" fillId="0" borderId="0" xfId="0" applyNumberFormat="1" applyFont="1" applyFill="1" applyAlignment="1">
      <alignment vertical="center"/>
    </xf>
    <xf numFmtId="4" fontId="6" fillId="0" borderId="0" xfId="0" applyNumberFormat="1" applyFont="1" applyFill="1" applyAlignment="1">
      <alignment vertical="center"/>
    </xf>
    <xf numFmtId="166" fontId="6" fillId="6" borderId="0" xfId="0" applyNumberFormat="1" applyFont="1" applyFill="1" applyAlignment="1">
      <alignment horizontal="center" vertical="center"/>
    </xf>
    <xf numFmtId="4" fontId="6" fillId="6" borderId="0" xfId="0" applyNumberFormat="1" applyFont="1" applyFill="1" applyAlignment="1">
      <alignment horizontal="center" vertical="center"/>
    </xf>
    <xf numFmtId="4" fontId="6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AIRE-21-3112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AIRE-CONGE%203112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rement BOA"/>
      <sheetName val="Récap"/>
      <sheetName val="Virt multiple BFV"/>
      <sheetName val="Ecart Virt"/>
      <sheetName val="AVANCE"/>
      <sheetName val="REPAS+DEPL"/>
      <sheetName val="ABSENCE"/>
      <sheetName val="HS"/>
      <sheetName val="CONGE"/>
      <sheetName val="SALAIRE PERM"/>
      <sheetName val="NOVEMBRE 2015"/>
      <sheetName val="BUL PERM"/>
      <sheetName val="SALAIRE PERM HS+13ème"/>
      <sheetName val="SALAIRE PERM SANS HS"/>
      <sheetName val="DEC SANS HS"/>
      <sheetName val="DEC HS+13ème"/>
      <sheetName val="DECOMPTE HS"/>
      <sheetName val="DECOMPTE HS (2)"/>
      <sheetName val="BP SANS HS"/>
      <sheetName val="Liste personnel"/>
      <sheetName val="TEMPORAIRE"/>
      <sheetName val="AVANTAGE"/>
      <sheetName val="Comptabilisation"/>
      <sheetName val="Comptabilisation SANS HS"/>
      <sheetName val="Préavis"/>
      <sheetName val="Prime"/>
      <sheetName val="Feuil1"/>
    </sheetNames>
    <sheetDataSet>
      <sheetData sheetId="0"/>
      <sheetData sheetId="1"/>
      <sheetData sheetId="2"/>
      <sheetData sheetId="3"/>
      <sheetData sheetId="4">
        <row r="6">
          <cell r="A6" t="str">
            <v>T002</v>
          </cell>
          <cell r="B6" t="str">
            <v>RATSIMANDRESY Dominique Aimé</v>
          </cell>
          <cell r="C6">
            <v>0</v>
          </cell>
        </row>
        <row r="7">
          <cell r="A7" t="str">
            <v>T006</v>
          </cell>
          <cell r="B7" t="str">
            <v>TSIRINONY Dieu Donné</v>
          </cell>
          <cell r="C7">
            <v>0</v>
          </cell>
        </row>
        <row r="8">
          <cell r="A8" t="str">
            <v>T007</v>
          </cell>
          <cell r="B8" t="str">
            <v>EUGENE</v>
          </cell>
          <cell r="C8">
            <v>0</v>
          </cell>
        </row>
        <row r="9">
          <cell r="A9" t="str">
            <v>T008</v>
          </cell>
          <cell r="B9" t="str">
            <v>RAMANANA Louis de Gonzague</v>
          </cell>
          <cell r="C9">
            <v>0</v>
          </cell>
        </row>
        <row r="10">
          <cell r="A10" t="str">
            <v>T009</v>
          </cell>
          <cell r="B10" t="str">
            <v>RAKOTOARISOA Jean Michel</v>
          </cell>
          <cell r="C10">
            <v>0</v>
          </cell>
        </row>
        <row r="11">
          <cell r="A11" t="str">
            <v>T011</v>
          </cell>
          <cell r="B11" t="str">
            <v>RAZAFINDRAZANANY Romaine</v>
          </cell>
          <cell r="C11">
            <v>0</v>
          </cell>
        </row>
        <row r="12">
          <cell r="A12" t="str">
            <v>T014</v>
          </cell>
          <cell r="B12" t="str">
            <v>NOAVISON Tsimahaboa</v>
          </cell>
          <cell r="C12">
            <v>0</v>
          </cell>
        </row>
        <row r="13">
          <cell r="A13" t="str">
            <v>T016</v>
          </cell>
          <cell r="B13" t="str">
            <v>RAZAFINDRASATA José Gabriel</v>
          </cell>
          <cell r="C13">
            <v>0</v>
          </cell>
        </row>
        <row r="14">
          <cell r="A14" t="str">
            <v>T018</v>
          </cell>
          <cell r="B14" t="str">
            <v>RABASOAMALALA Fidelia</v>
          </cell>
          <cell r="C14">
            <v>0</v>
          </cell>
        </row>
        <row r="15">
          <cell r="A15" t="str">
            <v>T019</v>
          </cell>
          <cell r="B15" t="str">
            <v>FOMBEA Joeline</v>
          </cell>
          <cell r="C15">
            <v>0</v>
          </cell>
        </row>
        <row r="16">
          <cell r="A16" t="str">
            <v>T022</v>
          </cell>
          <cell r="B16" t="str">
            <v>RAZAFIMAHEFASOLO Jean Eddy</v>
          </cell>
          <cell r="C16">
            <v>0</v>
          </cell>
        </row>
        <row r="17">
          <cell r="A17" t="str">
            <v>T025</v>
          </cell>
          <cell r="B17" t="str">
            <v>RAKOTOZAFY Pierre</v>
          </cell>
          <cell r="C17">
            <v>0</v>
          </cell>
        </row>
        <row r="18">
          <cell r="A18" t="str">
            <v>T028</v>
          </cell>
          <cell r="B18" t="str">
            <v>RAZAFINIAINA Tolotra Franca</v>
          </cell>
          <cell r="C18">
            <v>0</v>
          </cell>
        </row>
        <row r="19">
          <cell r="A19" t="str">
            <v>T032</v>
          </cell>
          <cell r="B19" t="str">
            <v>DEHAAS Pierre Herman Joseph</v>
          </cell>
          <cell r="C19">
            <v>0</v>
          </cell>
        </row>
        <row r="20">
          <cell r="A20" t="str">
            <v>T036</v>
          </cell>
          <cell r="B20" t="str">
            <v>RAKOTONIRINA Fanomezantsoa</v>
          </cell>
          <cell r="C20">
            <v>0</v>
          </cell>
        </row>
        <row r="21">
          <cell r="A21" t="str">
            <v>T050</v>
          </cell>
          <cell r="B21" t="str">
            <v>RAMANALINIRIANA Jean Victor</v>
          </cell>
          <cell r="C21">
            <v>0</v>
          </cell>
        </row>
        <row r="22">
          <cell r="A22" t="str">
            <v>T053</v>
          </cell>
          <cell r="B22" t="str">
            <v>RAMANATSOA Eddy Christ</v>
          </cell>
          <cell r="C22">
            <v>0</v>
          </cell>
        </row>
        <row r="23">
          <cell r="A23" t="str">
            <v>T057</v>
          </cell>
          <cell r="B23" t="str">
            <v>RAKOTOMALALA Jean Jacques</v>
          </cell>
          <cell r="C23">
            <v>0</v>
          </cell>
        </row>
        <row r="24">
          <cell r="A24" t="str">
            <v>T062</v>
          </cell>
          <cell r="B24" t="str">
            <v>RANDRIANARISON Philippe Joseph</v>
          </cell>
          <cell r="C24">
            <v>0</v>
          </cell>
        </row>
        <row r="25">
          <cell r="A25" t="str">
            <v>T071</v>
          </cell>
          <cell r="B25" t="str">
            <v>RANDRIAMIANDRISOA Rémi</v>
          </cell>
          <cell r="C25">
            <v>0</v>
          </cell>
        </row>
        <row r="26">
          <cell r="A26" t="str">
            <v>T093</v>
          </cell>
          <cell r="B26" t="str">
            <v xml:space="preserve">RAFIDIMANANTSOA Jean Bruno </v>
          </cell>
          <cell r="C26">
            <v>0</v>
          </cell>
        </row>
        <row r="27">
          <cell r="A27" t="str">
            <v>T099</v>
          </cell>
          <cell r="B27" t="str">
            <v xml:space="preserve">RAVELONARIVO Henri Bernard </v>
          </cell>
          <cell r="C27">
            <v>0</v>
          </cell>
        </row>
        <row r="28">
          <cell r="A28" t="str">
            <v>T101</v>
          </cell>
          <cell r="B28" t="str">
            <v>RANDRIANARIMALALA Jean Jacques</v>
          </cell>
          <cell r="C28">
            <v>0</v>
          </cell>
        </row>
        <row r="29">
          <cell r="A29" t="str">
            <v>T102</v>
          </cell>
          <cell r="B29" t="str">
            <v>RABEARINORO John Eddy</v>
          </cell>
          <cell r="C29">
            <v>0</v>
          </cell>
        </row>
        <row r="30">
          <cell r="A30" t="str">
            <v>T113</v>
          </cell>
          <cell r="B30" t="str">
            <v>ANDRIAMANDIMBINIAINA Veuvé Bayard</v>
          </cell>
          <cell r="C30">
            <v>0</v>
          </cell>
        </row>
        <row r="31">
          <cell r="A31" t="str">
            <v>T114</v>
          </cell>
          <cell r="B31" t="str">
            <v>TINASOA NOMENJANAHARY Tantely</v>
          </cell>
          <cell r="C31">
            <v>0</v>
          </cell>
        </row>
        <row r="32">
          <cell r="A32" t="str">
            <v>T132</v>
          </cell>
          <cell r="B32" t="str">
            <v>RATOVOSON Holihasina Mamisoa</v>
          </cell>
          <cell r="C32">
            <v>0</v>
          </cell>
        </row>
        <row r="33">
          <cell r="A33" t="str">
            <v>T133</v>
          </cell>
          <cell r="B33" t="str">
            <v>RANAIVOSON RAMANANDRAISOA Voahangy</v>
          </cell>
          <cell r="C33">
            <v>0</v>
          </cell>
        </row>
        <row r="34">
          <cell r="A34" t="str">
            <v>T134</v>
          </cell>
          <cell r="B34" t="str">
            <v>ANDRIAMANANTENA Tovonony Barison</v>
          </cell>
          <cell r="C34">
            <v>0</v>
          </cell>
        </row>
        <row r="35">
          <cell r="A35" t="str">
            <v>T144</v>
          </cell>
          <cell r="B35" t="str">
            <v>RANDRIAMANANA Sylvin</v>
          </cell>
          <cell r="C35">
            <v>0</v>
          </cell>
        </row>
        <row r="36">
          <cell r="A36" t="str">
            <v>T146</v>
          </cell>
          <cell r="B36" t="str">
            <v>RANDRIAMIADANA Rijaniaina</v>
          </cell>
          <cell r="C36">
            <v>0</v>
          </cell>
        </row>
        <row r="37">
          <cell r="A37" t="str">
            <v>T148</v>
          </cell>
          <cell r="B37" t="str">
            <v>RAKOTONDRATSARA Solofoniana Hyacinthe Jean Ferdinand</v>
          </cell>
          <cell r="C37">
            <v>0</v>
          </cell>
        </row>
        <row r="38">
          <cell r="A38" t="str">
            <v>T153</v>
          </cell>
          <cell r="B38" t="str">
            <v>RAMILAVONJY Ramiandrasoa Flavien</v>
          </cell>
          <cell r="C38">
            <v>0</v>
          </cell>
        </row>
        <row r="39">
          <cell r="A39" t="str">
            <v>T154</v>
          </cell>
          <cell r="B39" t="str">
            <v>RAMAROSON Jean Christ</v>
          </cell>
          <cell r="C39">
            <v>0</v>
          </cell>
        </row>
        <row r="40">
          <cell r="A40" t="str">
            <v>T155</v>
          </cell>
          <cell r="B40" t="str">
            <v>RABARIJAONA Barthélemy Jacques</v>
          </cell>
          <cell r="C40">
            <v>0</v>
          </cell>
        </row>
        <row r="41">
          <cell r="A41" t="str">
            <v>T156</v>
          </cell>
          <cell r="B41" t="str">
            <v>RAFARAMALALA Laurence</v>
          </cell>
          <cell r="C41">
            <v>0</v>
          </cell>
        </row>
        <row r="42">
          <cell r="A42" t="str">
            <v>T157</v>
          </cell>
          <cell r="B42" t="str">
            <v>RAMIANDRAVOLA Rondroelinjaka</v>
          </cell>
          <cell r="C42">
            <v>0</v>
          </cell>
        </row>
        <row r="43">
          <cell r="A43" t="str">
            <v>T158</v>
          </cell>
          <cell r="B43" t="str">
            <v>RAKOTONATOANDRO Edmond</v>
          </cell>
          <cell r="C43">
            <v>0</v>
          </cell>
        </row>
        <row r="44">
          <cell r="A44" t="str">
            <v>T159</v>
          </cell>
          <cell r="B44" t="str">
            <v>RANGITARINORO José</v>
          </cell>
          <cell r="C44">
            <v>0</v>
          </cell>
        </row>
        <row r="45">
          <cell r="A45" t="str">
            <v>T160</v>
          </cell>
          <cell r="B45" t="str">
            <v>MAMITIANA Pascal</v>
          </cell>
          <cell r="C45">
            <v>0</v>
          </cell>
        </row>
        <row r="46">
          <cell r="A46" t="str">
            <v>T161</v>
          </cell>
          <cell r="B46" t="str">
            <v>RANDRIAMIRADOMANANA René</v>
          </cell>
          <cell r="C46">
            <v>0</v>
          </cell>
        </row>
        <row r="47">
          <cell r="A47" t="str">
            <v>T162</v>
          </cell>
          <cell r="B47" t="str">
            <v>RATOVOSON Vololomiadana Voniarisoa</v>
          </cell>
          <cell r="C47">
            <v>0</v>
          </cell>
        </row>
        <row r="48">
          <cell r="A48" t="str">
            <v>T163</v>
          </cell>
          <cell r="B48" t="str">
            <v>RAZAFINIRINA Patrick</v>
          </cell>
          <cell r="C48">
            <v>0</v>
          </cell>
        </row>
        <row r="49">
          <cell r="A49" t="str">
            <v>T173</v>
          </cell>
          <cell r="B49" t="str">
            <v>RAKOTONDRAMAVO Michaël</v>
          </cell>
          <cell r="C49">
            <v>0</v>
          </cell>
        </row>
        <row r="50">
          <cell r="A50" t="str">
            <v>T176</v>
          </cell>
          <cell r="B50" t="str">
            <v>RAKOTOARIMANANA Jean Joseph</v>
          </cell>
          <cell r="C50">
            <v>0</v>
          </cell>
        </row>
        <row r="51">
          <cell r="A51" t="str">
            <v>T177</v>
          </cell>
          <cell r="B51" t="str">
            <v>RAKOTOMANANA Maminirina Jean Michel</v>
          </cell>
          <cell r="C51">
            <v>0</v>
          </cell>
        </row>
        <row r="52">
          <cell r="A52" t="str">
            <v>T178</v>
          </cell>
          <cell r="B52" t="str">
            <v xml:space="preserve">RANDRIANAVALOMANDRESY Olivier Gendratto </v>
          </cell>
          <cell r="C52">
            <v>0</v>
          </cell>
        </row>
        <row r="53">
          <cell r="A53" t="str">
            <v>T179</v>
          </cell>
          <cell r="B53" t="str">
            <v>RANDRIANJATOVO Tojosoa Fabien</v>
          </cell>
          <cell r="C53">
            <v>0</v>
          </cell>
        </row>
        <row r="54">
          <cell r="A54" t="str">
            <v>T182</v>
          </cell>
          <cell r="B54" t="str">
            <v>RANDRIANARISON Gérard</v>
          </cell>
          <cell r="C54">
            <v>0</v>
          </cell>
        </row>
        <row r="55">
          <cell r="A55" t="str">
            <v>T184</v>
          </cell>
          <cell r="B55" t="str">
            <v xml:space="preserve">RAFANOMEZANTSOA Jean Fidèle </v>
          </cell>
          <cell r="C55">
            <v>0</v>
          </cell>
        </row>
        <row r="56">
          <cell r="A56" t="str">
            <v>T185</v>
          </cell>
          <cell r="B56" t="str">
            <v>RANDRIARIJAONA Jean Lucia</v>
          </cell>
          <cell r="C56">
            <v>0</v>
          </cell>
        </row>
        <row r="57">
          <cell r="A57" t="str">
            <v>T186</v>
          </cell>
          <cell r="B57" t="str">
            <v>RANDRIAMANALINARIVO Jean Ruphin</v>
          </cell>
          <cell r="C57">
            <v>0</v>
          </cell>
        </row>
        <row r="58">
          <cell r="A58" t="str">
            <v>T187</v>
          </cell>
          <cell r="B58" t="str">
            <v>RAHARISON Herimampionona</v>
          </cell>
          <cell r="C58">
            <v>0</v>
          </cell>
        </row>
        <row r="59">
          <cell r="A59" t="str">
            <v>T188</v>
          </cell>
          <cell r="B59" t="str">
            <v>NICOLAS Jean Arthur</v>
          </cell>
          <cell r="C59">
            <v>0</v>
          </cell>
        </row>
        <row r="60">
          <cell r="A60" t="str">
            <v>T191</v>
          </cell>
          <cell r="B60" t="str">
            <v>RATOJONIAINA Jeannot Paul</v>
          </cell>
          <cell r="C60">
            <v>0</v>
          </cell>
        </row>
        <row r="61">
          <cell r="A61" t="str">
            <v>T193</v>
          </cell>
          <cell r="B61" t="str">
            <v>RANDRIANASOLONIRINA Jenny Angelin</v>
          </cell>
          <cell r="C61">
            <v>0</v>
          </cell>
        </row>
        <row r="62">
          <cell r="A62" t="str">
            <v>T194</v>
          </cell>
          <cell r="B62" t="str">
            <v>RAMANANJATO Tolojanahary</v>
          </cell>
          <cell r="C62">
            <v>0</v>
          </cell>
        </row>
        <row r="63">
          <cell r="A63" t="str">
            <v>T197</v>
          </cell>
          <cell r="B63" t="str">
            <v>ANDRIANIRINTSOA Safiditiana José</v>
          </cell>
          <cell r="C63">
            <v>0</v>
          </cell>
        </row>
        <row r="64">
          <cell r="A64" t="str">
            <v>T200</v>
          </cell>
          <cell r="B64" t="str">
            <v>RAMANANTENASOA Nambinintsoa</v>
          </cell>
          <cell r="C64">
            <v>0</v>
          </cell>
        </row>
        <row r="65">
          <cell r="A65" t="str">
            <v>T201</v>
          </cell>
          <cell r="B65" t="str">
            <v>TISTE</v>
          </cell>
          <cell r="C65">
            <v>0</v>
          </cell>
        </row>
        <row r="66">
          <cell r="A66" t="str">
            <v>T202</v>
          </cell>
          <cell r="B66" t="str">
            <v>RASOANAVALONA Sahondraniaina</v>
          </cell>
          <cell r="C66">
            <v>0</v>
          </cell>
        </row>
        <row r="67">
          <cell r="A67" t="str">
            <v>T204</v>
          </cell>
          <cell r="B67" t="str">
            <v>ANDONIAINA Nathalie Alida</v>
          </cell>
          <cell r="C67">
            <v>0</v>
          </cell>
        </row>
        <row r="68">
          <cell r="A68" t="str">
            <v>T206</v>
          </cell>
          <cell r="B68" t="str">
            <v>SOATAHY</v>
          </cell>
          <cell r="C68">
            <v>0</v>
          </cell>
        </row>
        <row r="69">
          <cell r="A69" t="str">
            <v>T208</v>
          </cell>
          <cell r="B69" t="str">
            <v>RAVAONIRINA Jocelyne</v>
          </cell>
          <cell r="C69">
            <v>0</v>
          </cell>
        </row>
        <row r="70">
          <cell r="A70" t="str">
            <v>T210</v>
          </cell>
          <cell r="B70" t="str">
            <v>RAZANAJATOVO Jeannot</v>
          </cell>
          <cell r="C70">
            <v>0</v>
          </cell>
        </row>
        <row r="71">
          <cell r="A71" t="str">
            <v>T211</v>
          </cell>
          <cell r="B71" t="str">
            <v>RANDRIANANTENAINA Noël</v>
          </cell>
          <cell r="C71">
            <v>0</v>
          </cell>
        </row>
        <row r="72">
          <cell r="A72" t="str">
            <v>T212</v>
          </cell>
          <cell r="B72" t="str">
            <v>RAVELOSON Holiarimanga Dera</v>
          </cell>
          <cell r="C72">
            <v>0</v>
          </cell>
        </row>
        <row r="73">
          <cell r="A73" t="str">
            <v>T213</v>
          </cell>
          <cell r="B73" t="str">
            <v>RAZANDRAINIBE Hajaniaina Patrick</v>
          </cell>
          <cell r="C73">
            <v>0</v>
          </cell>
        </row>
        <row r="74">
          <cell r="A74" t="str">
            <v>T214</v>
          </cell>
          <cell r="B74" t="str">
            <v>HERINTSOA Andry Manoely Georges</v>
          </cell>
          <cell r="C74">
            <v>0</v>
          </cell>
        </row>
        <row r="75">
          <cell r="A75" t="str">
            <v>T215</v>
          </cell>
          <cell r="B75" t="str">
            <v>ANDRIAMPARANIAINA clermont</v>
          </cell>
          <cell r="C75">
            <v>0</v>
          </cell>
        </row>
        <row r="76">
          <cell r="A76" t="str">
            <v>T216</v>
          </cell>
          <cell r="B76" t="str">
            <v>RAZANADRAKOTO Hariniaina Patrick</v>
          </cell>
          <cell r="C76">
            <v>0</v>
          </cell>
        </row>
        <row r="77">
          <cell r="A77" t="str">
            <v>T218</v>
          </cell>
          <cell r="B77" t="str">
            <v>ANDRIAMANATENA Lalaina Angeline</v>
          </cell>
          <cell r="C77">
            <v>0</v>
          </cell>
        </row>
        <row r="78">
          <cell r="A78" t="str">
            <v>T219</v>
          </cell>
          <cell r="B78" t="str">
            <v>RAKOTONDRABE Jean Martial</v>
          </cell>
          <cell r="C78">
            <v>0</v>
          </cell>
        </row>
        <row r="79">
          <cell r="A79" t="str">
            <v>T220</v>
          </cell>
          <cell r="B79" t="str">
            <v>RASOLONIAINA Honoré</v>
          </cell>
          <cell r="C79">
            <v>0</v>
          </cell>
        </row>
        <row r="80">
          <cell r="A80" t="str">
            <v>T222</v>
          </cell>
          <cell r="B80" t="str">
            <v>RABESON Tovo Harilaza</v>
          </cell>
          <cell r="C80">
            <v>0</v>
          </cell>
        </row>
        <row r="81">
          <cell r="A81" t="str">
            <v>T223</v>
          </cell>
          <cell r="B81" t="str">
            <v>RANDRIANARISON Nico Faniry</v>
          </cell>
          <cell r="C81">
            <v>0</v>
          </cell>
        </row>
        <row r="82">
          <cell r="A82" t="str">
            <v>T226</v>
          </cell>
          <cell r="B82" t="str">
            <v>RAMAROSON Lalaina Niandrisoa</v>
          </cell>
          <cell r="C82">
            <v>0</v>
          </cell>
        </row>
        <row r="83">
          <cell r="A83" t="str">
            <v>T227</v>
          </cell>
          <cell r="B83" t="str">
            <v>AVILAZA Michel</v>
          </cell>
          <cell r="C83">
            <v>0</v>
          </cell>
        </row>
        <row r="84">
          <cell r="A84" t="str">
            <v>T228</v>
          </cell>
          <cell r="B84" t="str">
            <v>RANDRIAMAMPIONONA Fulgence Angelo</v>
          </cell>
          <cell r="C84">
            <v>0</v>
          </cell>
        </row>
        <row r="85">
          <cell r="A85" t="str">
            <v>T229</v>
          </cell>
          <cell r="B85" t="str">
            <v>RAZAFINOARISON Jean Baptiste</v>
          </cell>
          <cell r="C85">
            <v>0</v>
          </cell>
        </row>
        <row r="86">
          <cell r="A86" t="str">
            <v>T230</v>
          </cell>
          <cell r="B86" t="str">
            <v>RAZAFINDRAVAHATRA Tolojanahary Jean Parfait</v>
          </cell>
          <cell r="C86">
            <v>0</v>
          </cell>
        </row>
        <row r="87">
          <cell r="A87" t="str">
            <v>T231</v>
          </cell>
          <cell r="B87" t="str">
            <v>TODISOA FANIRY Jean Louiset</v>
          </cell>
          <cell r="C87">
            <v>0</v>
          </cell>
        </row>
        <row r="88">
          <cell r="A88" t="str">
            <v>T232</v>
          </cell>
          <cell r="B88" t="str">
            <v>RANDRIAMANANTENA Fanomezantsoa Heriniaina</v>
          </cell>
          <cell r="C88">
            <v>0</v>
          </cell>
        </row>
        <row r="89">
          <cell r="A89" t="str">
            <v>T233</v>
          </cell>
          <cell r="B89" t="str">
            <v>ANDRIAMIRIJA Joe Dassin</v>
          </cell>
          <cell r="C89">
            <v>0</v>
          </cell>
        </row>
        <row r="90">
          <cell r="A90" t="str">
            <v>T234</v>
          </cell>
          <cell r="B90" t="str">
            <v>RAZAFINDRAIBE Dimbiniaina Onja Fanantenana</v>
          </cell>
          <cell r="C90">
            <v>0</v>
          </cell>
        </row>
        <row r="91">
          <cell r="A91" t="str">
            <v>T235</v>
          </cell>
          <cell r="B91" t="str">
            <v>RASOLOFOMANDIMBY Florentin</v>
          </cell>
          <cell r="C91">
            <v>0</v>
          </cell>
        </row>
        <row r="92">
          <cell r="A92" t="str">
            <v>T236</v>
          </cell>
          <cell r="B92" t="str">
            <v>RAMANDANIAINA Alfred Lovasoa</v>
          </cell>
          <cell r="C92">
            <v>0</v>
          </cell>
        </row>
        <row r="93">
          <cell r="A93" t="str">
            <v>T237</v>
          </cell>
          <cell r="B93" t="str">
            <v>RANDRIANANTENAINA Toky Elysé</v>
          </cell>
          <cell r="C93">
            <v>0</v>
          </cell>
        </row>
        <row r="94">
          <cell r="A94" t="str">
            <v>T238</v>
          </cell>
          <cell r="B94" t="str">
            <v>RANDRIANANDRASANA Miora Lantoniaina Fabien</v>
          </cell>
          <cell r="C94">
            <v>0</v>
          </cell>
        </row>
        <row r="95">
          <cell r="A95" t="str">
            <v>T239</v>
          </cell>
          <cell r="B95" t="str">
            <v>PIRET Alcide Jean Ianna Mahefa</v>
          </cell>
          <cell r="C95">
            <v>0</v>
          </cell>
        </row>
        <row r="96">
          <cell r="A96" t="str">
            <v>T240</v>
          </cell>
          <cell r="B96" t="str">
            <v>RAFANOMEZANTSOA Andrianiaina</v>
          </cell>
          <cell r="C96">
            <v>0</v>
          </cell>
        </row>
        <row r="97">
          <cell r="A97" t="str">
            <v>T241</v>
          </cell>
          <cell r="B97" t="str">
            <v>RASOLOFOMANANA Daniel</v>
          </cell>
          <cell r="C97">
            <v>0</v>
          </cell>
        </row>
        <row r="98">
          <cell r="A98" t="str">
            <v>T242</v>
          </cell>
          <cell r="B98" t="str">
            <v>RAMANAMAHENINA Ryselle Tokinandrasana Njarasoa</v>
          </cell>
          <cell r="C98">
            <v>0</v>
          </cell>
        </row>
        <row r="99">
          <cell r="A99" t="str">
            <v>T243</v>
          </cell>
          <cell r="B99" t="str">
            <v>RAKOTOMAMONJY Jean Pierrot</v>
          </cell>
          <cell r="C99">
            <v>0</v>
          </cell>
        </row>
        <row r="100">
          <cell r="A100" t="str">
            <v>T244</v>
          </cell>
          <cell r="B100" t="str">
            <v>RANAIVOHARISOA Tsilavina Nadé</v>
          </cell>
          <cell r="C100">
            <v>0</v>
          </cell>
        </row>
        <row r="101">
          <cell r="A101" t="str">
            <v>T245</v>
          </cell>
          <cell r="B101" t="str">
            <v>RAKOTONDRAMANANA Frédéric</v>
          </cell>
          <cell r="C101">
            <v>0</v>
          </cell>
        </row>
        <row r="102">
          <cell r="A102" t="str">
            <v>T246</v>
          </cell>
          <cell r="B102" t="str">
            <v>RAZAFIARIJAONA Tahianarinala</v>
          </cell>
          <cell r="C102">
            <v>0</v>
          </cell>
        </row>
        <row r="122">
          <cell r="B122" t="str">
            <v>TOTAL</v>
          </cell>
          <cell r="C122">
            <v>0</v>
          </cell>
          <cell r="D122">
            <v>0</v>
          </cell>
          <cell r="E122">
            <v>0</v>
          </cell>
        </row>
      </sheetData>
      <sheetData sheetId="5">
        <row r="6">
          <cell r="A6" t="str">
            <v>T002</v>
          </cell>
          <cell r="B6" t="str">
            <v>RATSIMANDRESY Dominique Aimé</v>
          </cell>
          <cell r="E6">
            <v>800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M6">
            <v>0</v>
          </cell>
        </row>
        <row r="7">
          <cell r="A7" t="str">
            <v>T006</v>
          </cell>
          <cell r="B7" t="str">
            <v>TSIRINONY Dieu Donné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M7">
            <v>0</v>
          </cell>
        </row>
        <row r="8">
          <cell r="A8" t="str">
            <v>T007</v>
          </cell>
          <cell r="B8" t="str">
            <v>EUGENE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M8">
            <v>0</v>
          </cell>
        </row>
        <row r="9">
          <cell r="A9" t="str">
            <v>T008</v>
          </cell>
          <cell r="B9" t="str">
            <v>RAMANANA Louis de Gonzague</v>
          </cell>
          <cell r="E9">
            <v>1400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M9">
            <v>0</v>
          </cell>
        </row>
        <row r="10">
          <cell r="A10" t="str">
            <v>T009</v>
          </cell>
          <cell r="B10" t="str">
            <v>RAKOTOARISOA Jean Michel</v>
          </cell>
          <cell r="E10">
            <v>800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M10">
            <v>0</v>
          </cell>
        </row>
        <row r="11">
          <cell r="A11" t="str">
            <v>T011</v>
          </cell>
          <cell r="B11" t="str">
            <v>RAZAFINDRAZANANY Romaine</v>
          </cell>
          <cell r="E11">
            <v>800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M11">
            <v>0</v>
          </cell>
        </row>
        <row r="12">
          <cell r="A12" t="str">
            <v>T014</v>
          </cell>
          <cell r="B12" t="str">
            <v>NOAVISON Tsimahaboa</v>
          </cell>
          <cell r="E12">
            <v>800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M12">
            <v>0</v>
          </cell>
        </row>
        <row r="13">
          <cell r="A13" t="str">
            <v>T016</v>
          </cell>
          <cell r="B13" t="str">
            <v>RAZAFINDRASATA José Gabriel</v>
          </cell>
          <cell r="E13">
            <v>800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</row>
        <row r="14">
          <cell r="A14" t="str">
            <v>T018</v>
          </cell>
          <cell r="B14" t="str">
            <v>RABASOAMALALA Fidelia</v>
          </cell>
          <cell r="E14">
            <v>800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M14">
            <v>0</v>
          </cell>
        </row>
        <row r="15">
          <cell r="A15" t="str">
            <v>T019</v>
          </cell>
          <cell r="B15" t="str">
            <v>FOMBEA Joeline</v>
          </cell>
          <cell r="E15">
            <v>800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</row>
        <row r="16">
          <cell r="A16" t="str">
            <v>T022</v>
          </cell>
          <cell r="B16" t="str">
            <v>RAZAFIMAHEFASOLO Jean Eddy</v>
          </cell>
          <cell r="E16">
            <v>800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M16">
            <v>0</v>
          </cell>
        </row>
        <row r="17">
          <cell r="A17" t="str">
            <v>T025</v>
          </cell>
          <cell r="B17" t="str">
            <v>RAKOTOZAFY Pierre</v>
          </cell>
          <cell r="E17">
            <v>800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M17">
            <v>0</v>
          </cell>
        </row>
        <row r="18">
          <cell r="A18" t="str">
            <v>T028</v>
          </cell>
          <cell r="B18" t="str">
            <v>RAZAFINIAINA Tolotra Franca</v>
          </cell>
          <cell r="E18">
            <v>800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</row>
        <row r="19">
          <cell r="A19" t="str">
            <v>T032</v>
          </cell>
          <cell r="B19" t="str">
            <v>DEHAAS Pierre Herman Joseph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>
            <v>0</v>
          </cell>
        </row>
        <row r="20">
          <cell r="A20" t="str">
            <v>T036</v>
          </cell>
          <cell r="B20" t="str">
            <v>RAKOTONIRINA Fanomezantsoa</v>
          </cell>
          <cell r="E20">
            <v>800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M20">
            <v>0</v>
          </cell>
        </row>
        <row r="21">
          <cell r="A21" t="str">
            <v>T050</v>
          </cell>
          <cell r="B21" t="str">
            <v>RAMANALINIRIANA Jean Victor</v>
          </cell>
          <cell r="E21">
            <v>800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</row>
        <row r="22">
          <cell r="A22" t="str">
            <v>T053</v>
          </cell>
          <cell r="B22" t="str">
            <v>RAMANATSOA Eddy Christ</v>
          </cell>
          <cell r="E22">
            <v>800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M22">
            <v>0</v>
          </cell>
        </row>
        <row r="23">
          <cell r="A23" t="str">
            <v>T057</v>
          </cell>
          <cell r="B23" t="str">
            <v>RAKOTOMALALA Jean Jacques</v>
          </cell>
          <cell r="E23">
            <v>800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M23">
            <v>0</v>
          </cell>
        </row>
        <row r="24">
          <cell r="A24" t="str">
            <v>T062</v>
          </cell>
          <cell r="B24" t="str">
            <v>RANDRIANARISON Philippe Joseph</v>
          </cell>
          <cell r="E24">
            <v>800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</row>
        <row r="25">
          <cell r="A25" t="str">
            <v>T071</v>
          </cell>
          <cell r="B25" t="str">
            <v>RANDRIAMIANDRISOA Rémi</v>
          </cell>
          <cell r="E25">
            <v>800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</row>
        <row r="26">
          <cell r="A26" t="str">
            <v>T093</v>
          </cell>
          <cell r="B26" t="str">
            <v xml:space="preserve">RAFIDIMANANTSOA Jean Bruno </v>
          </cell>
          <cell r="E26">
            <v>800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</row>
        <row r="27">
          <cell r="A27" t="str">
            <v>T099</v>
          </cell>
          <cell r="B27" t="str">
            <v xml:space="preserve">RAVELONARIVO Henri Bernard </v>
          </cell>
          <cell r="E27">
            <v>800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</row>
        <row r="28">
          <cell r="A28" t="str">
            <v>T101</v>
          </cell>
          <cell r="B28" t="str">
            <v>RANDRIANARIMALALA Jean Jacques</v>
          </cell>
          <cell r="E28">
            <v>800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</row>
        <row r="29">
          <cell r="A29" t="str">
            <v>T102</v>
          </cell>
          <cell r="B29" t="str">
            <v>RABEARINORO John Eddy</v>
          </cell>
          <cell r="E29">
            <v>800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</row>
        <row r="30">
          <cell r="A30" t="str">
            <v>T113</v>
          </cell>
          <cell r="B30" t="str">
            <v>ANDRIAMANDIMBINIAINA Veuvé Bayard</v>
          </cell>
          <cell r="E30">
            <v>1400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M30">
            <v>0</v>
          </cell>
        </row>
        <row r="31">
          <cell r="A31" t="str">
            <v>T114</v>
          </cell>
          <cell r="B31" t="str">
            <v>TINASOA NOMENJANAHARY Tantely</v>
          </cell>
          <cell r="E31">
            <v>800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M31">
            <v>0</v>
          </cell>
        </row>
        <row r="32">
          <cell r="A32" t="str">
            <v>T132</v>
          </cell>
          <cell r="B32" t="str">
            <v>RATOVOSON Holihasina Mamisoa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</row>
        <row r="33">
          <cell r="A33" t="str">
            <v>T133</v>
          </cell>
          <cell r="B33" t="str">
            <v>RANAIVOSON RAMANANDRAISOA Voahangy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</row>
        <row r="34">
          <cell r="A34" t="str">
            <v>T134</v>
          </cell>
          <cell r="B34" t="str">
            <v>ANDRIAMANANTENA Tovonony Barison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</row>
        <row r="35">
          <cell r="A35" t="str">
            <v>T144</v>
          </cell>
          <cell r="B35" t="str">
            <v>RANDRIAMANANA Sylvin</v>
          </cell>
          <cell r="D35">
            <v>1000</v>
          </cell>
          <cell r="E35">
            <v>800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</row>
        <row r="36">
          <cell r="A36" t="str">
            <v>T146</v>
          </cell>
          <cell r="B36" t="str">
            <v>RANDRIAMIADANA Rijaniaina</v>
          </cell>
          <cell r="E36">
            <v>1400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</row>
        <row r="37">
          <cell r="A37" t="str">
            <v>T148</v>
          </cell>
          <cell r="B37" t="str">
            <v>RAKOTONDRATSARA Solofoniana Hyacinthe Jean Ferdinand</v>
          </cell>
          <cell r="E37">
            <v>800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</row>
        <row r="38">
          <cell r="A38" t="str">
            <v>T153</v>
          </cell>
          <cell r="B38" t="str">
            <v>RAMILAVONJY Ramiandrasoa Flavien</v>
          </cell>
          <cell r="E38">
            <v>800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</row>
        <row r="39">
          <cell r="A39" t="str">
            <v>T154</v>
          </cell>
          <cell r="B39" t="str">
            <v>RAMAROSON Jean Christ</v>
          </cell>
          <cell r="E39">
            <v>800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M39">
            <v>0</v>
          </cell>
        </row>
        <row r="40">
          <cell r="A40" t="str">
            <v>T155</v>
          </cell>
          <cell r="B40" t="str">
            <v>RABARIJAONA Barthélemy Jacques</v>
          </cell>
          <cell r="E40">
            <v>800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</row>
        <row r="41">
          <cell r="A41" t="str">
            <v>T156</v>
          </cell>
          <cell r="B41" t="str">
            <v>RAFARAMALALA Laurence</v>
          </cell>
          <cell r="D41">
            <v>1000</v>
          </cell>
          <cell r="E41">
            <v>400</v>
          </cell>
          <cell r="F41">
            <v>500</v>
          </cell>
          <cell r="G41">
            <v>300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</row>
        <row r="42">
          <cell r="A42" t="str">
            <v>T157</v>
          </cell>
          <cell r="B42" t="str">
            <v>RAMIANDRAVOLA Rondroelinjaka</v>
          </cell>
          <cell r="D42">
            <v>1000</v>
          </cell>
          <cell r="E42">
            <v>400</v>
          </cell>
          <cell r="F42">
            <v>500</v>
          </cell>
          <cell r="G42">
            <v>300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</row>
        <row r="43">
          <cell r="A43" t="str">
            <v>T158</v>
          </cell>
          <cell r="B43" t="str">
            <v>RAKOTONATOANDRO Edmond</v>
          </cell>
          <cell r="D43">
            <v>1000</v>
          </cell>
          <cell r="E43">
            <v>800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</row>
        <row r="44">
          <cell r="A44" t="str">
            <v>T159</v>
          </cell>
          <cell r="B44" t="str">
            <v>RANGITARINORO José</v>
          </cell>
          <cell r="D44">
            <v>1000</v>
          </cell>
          <cell r="E44">
            <v>1500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M44">
            <v>0</v>
          </cell>
        </row>
        <row r="45">
          <cell r="A45" t="str">
            <v>T160</v>
          </cell>
          <cell r="B45" t="str">
            <v>MAMITIANA Pascal</v>
          </cell>
          <cell r="E45">
            <v>800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M45">
            <v>0</v>
          </cell>
        </row>
        <row r="46">
          <cell r="A46" t="str">
            <v>T161</v>
          </cell>
          <cell r="B46" t="str">
            <v>RANDRIAMIRADOMANANA René</v>
          </cell>
          <cell r="E46">
            <v>800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M46">
            <v>0</v>
          </cell>
        </row>
        <row r="47">
          <cell r="A47" t="str">
            <v>T162</v>
          </cell>
          <cell r="B47" t="str">
            <v>RATOVOSON Vololomiadana Voniarisoa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0</v>
          </cell>
        </row>
        <row r="48">
          <cell r="A48" t="str">
            <v>T163</v>
          </cell>
          <cell r="B48" t="str">
            <v>RAZAFINIRINA Patrick</v>
          </cell>
          <cell r="E48">
            <v>1400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</row>
        <row r="49">
          <cell r="A49" t="str">
            <v>T168</v>
          </cell>
          <cell r="B49" t="str">
            <v>HUON DE KERMADEC Vincent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M49">
            <v>0</v>
          </cell>
        </row>
        <row r="50">
          <cell r="A50" t="str">
            <v>T173</v>
          </cell>
          <cell r="B50" t="str">
            <v>RAKOTONDRAMAVO Michaël</v>
          </cell>
          <cell r="E50">
            <v>800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</row>
        <row r="51">
          <cell r="A51" t="str">
            <v>T176</v>
          </cell>
          <cell r="B51" t="str">
            <v>RAKOTOARIMANANA Jean Joseph</v>
          </cell>
          <cell r="E51">
            <v>800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</row>
        <row r="52">
          <cell r="A52" t="str">
            <v>T177</v>
          </cell>
          <cell r="B52" t="str">
            <v>RAKOTOMANANA Maminirina Jean Michel</v>
          </cell>
          <cell r="E52">
            <v>800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M52">
            <v>0</v>
          </cell>
        </row>
        <row r="53">
          <cell r="A53" t="str">
            <v>T178</v>
          </cell>
          <cell r="B53" t="str">
            <v xml:space="preserve">RANDRIANAVALOMANDRESY Olivier Gendratto </v>
          </cell>
          <cell r="E53">
            <v>800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M53">
            <v>0</v>
          </cell>
        </row>
        <row r="54">
          <cell r="A54" t="str">
            <v>T179</v>
          </cell>
          <cell r="B54" t="str">
            <v>RANDRIANJATOVO Tojosoa Fabien</v>
          </cell>
          <cell r="E54">
            <v>800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</row>
        <row r="55">
          <cell r="A55" t="str">
            <v>T182</v>
          </cell>
          <cell r="B55" t="str">
            <v>RANDRIANARISON Gérard</v>
          </cell>
          <cell r="E55">
            <v>800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M55">
            <v>0</v>
          </cell>
        </row>
        <row r="56">
          <cell r="A56" t="str">
            <v>T184</v>
          </cell>
          <cell r="B56" t="str">
            <v xml:space="preserve">RAFANOMEZANTSOA Jean Fidèle </v>
          </cell>
          <cell r="E56">
            <v>800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M56">
            <v>0</v>
          </cell>
        </row>
        <row r="57">
          <cell r="A57" t="str">
            <v>T185</v>
          </cell>
          <cell r="B57" t="str">
            <v>RANDRIARIJAONA Jean Lucia</v>
          </cell>
          <cell r="E57">
            <v>800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M57">
            <v>0</v>
          </cell>
        </row>
        <row r="58">
          <cell r="A58" t="str">
            <v>T186</v>
          </cell>
          <cell r="B58" t="str">
            <v>RANDRIAMANALINARIVO Jean Ruphin</v>
          </cell>
          <cell r="E58">
            <v>800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</row>
        <row r="59">
          <cell r="A59" t="str">
            <v>T187</v>
          </cell>
          <cell r="B59" t="str">
            <v>RAHARISON Herimampionona</v>
          </cell>
          <cell r="E59">
            <v>800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M59">
            <v>0</v>
          </cell>
        </row>
        <row r="60">
          <cell r="A60" t="str">
            <v>T188</v>
          </cell>
          <cell r="B60" t="str">
            <v>NICOLAS Jean Arthur</v>
          </cell>
          <cell r="E60">
            <v>800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M60">
            <v>0</v>
          </cell>
        </row>
        <row r="61">
          <cell r="A61" t="str">
            <v>T191</v>
          </cell>
          <cell r="B61" t="str">
            <v>RATOJONIAINA Jeannot Paul</v>
          </cell>
          <cell r="D61">
            <v>1000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M61">
            <v>0</v>
          </cell>
        </row>
        <row r="62">
          <cell r="A62" t="str">
            <v>T193</v>
          </cell>
          <cell r="B62" t="str">
            <v>RANDRIANASOLONIRINA Jenny Angelin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M62">
            <v>0</v>
          </cell>
        </row>
        <row r="63">
          <cell r="A63" t="str">
            <v>T194</v>
          </cell>
          <cell r="B63" t="str">
            <v>RAMANANJATO Tolojanahary</v>
          </cell>
          <cell r="E63">
            <v>800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M63">
            <v>0</v>
          </cell>
        </row>
        <row r="64">
          <cell r="A64" t="str">
            <v>T197</v>
          </cell>
          <cell r="B64" t="str">
            <v>ANDRIANIRINTSOA Safiditiana José</v>
          </cell>
          <cell r="E64">
            <v>800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M64">
            <v>0</v>
          </cell>
        </row>
        <row r="65">
          <cell r="A65" t="str">
            <v>T200</v>
          </cell>
          <cell r="B65" t="str">
            <v>RAMANANTENASOA Nambinintsoa</v>
          </cell>
          <cell r="D65">
            <v>1500</v>
          </cell>
          <cell r="E65">
            <v>1200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</row>
        <row r="66">
          <cell r="A66" t="str">
            <v>T201</v>
          </cell>
          <cell r="B66" t="str">
            <v>TISTE</v>
          </cell>
          <cell r="D66">
            <v>1000</v>
          </cell>
          <cell r="E66">
            <v>800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</row>
        <row r="67">
          <cell r="A67" t="str">
            <v>T202</v>
          </cell>
          <cell r="B67" t="str">
            <v>RASOANAVALONA Sahondraniaina</v>
          </cell>
          <cell r="D67">
            <v>1500</v>
          </cell>
          <cell r="E67">
            <v>1200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</row>
        <row r="68">
          <cell r="A68" t="str">
            <v>T204</v>
          </cell>
          <cell r="B68" t="str">
            <v>ANDONIAINA Nathalie Alida</v>
          </cell>
          <cell r="E68">
            <v>800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>
            <v>0</v>
          </cell>
        </row>
        <row r="69">
          <cell r="A69" t="str">
            <v>T206</v>
          </cell>
          <cell r="B69" t="str">
            <v>SOATAHY</v>
          </cell>
          <cell r="E69">
            <v>1400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</row>
        <row r="70">
          <cell r="A70" t="str">
            <v>T208</v>
          </cell>
          <cell r="B70" t="str">
            <v>RAVAONIRINA Jocelyne</v>
          </cell>
          <cell r="E70">
            <v>800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M70">
            <v>0</v>
          </cell>
        </row>
        <row r="71">
          <cell r="A71" t="str">
            <v>T210</v>
          </cell>
          <cell r="B71" t="str">
            <v>RAZANAJATOVO Jeannot</v>
          </cell>
          <cell r="E71">
            <v>800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</row>
        <row r="72">
          <cell r="A72" t="str">
            <v>T211</v>
          </cell>
          <cell r="B72" t="str">
            <v>RANDRIANANTENAINA Noël</v>
          </cell>
          <cell r="E72">
            <v>800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M72">
            <v>0</v>
          </cell>
        </row>
        <row r="73">
          <cell r="A73" t="str">
            <v>T212</v>
          </cell>
          <cell r="B73" t="str">
            <v>RAVELOSON Holiarimanga Dera</v>
          </cell>
          <cell r="E73">
            <v>800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M73">
            <v>0</v>
          </cell>
        </row>
        <row r="74">
          <cell r="A74" t="str">
            <v>T213</v>
          </cell>
          <cell r="B74" t="str">
            <v>RAZANDRAINIBE Hajaniaina Patrick</v>
          </cell>
          <cell r="E74">
            <v>800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M74">
            <v>0</v>
          </cell>
        </row>
        <row r="75">
          <cell r="A75" t="str">
            <v>T214</v>
          </cell>
          <cell r="B75" t="str">
            <v>HERINTSOA Andry Manoely Georges</v>
          </cell>
          <cell r="E75">
            <v>800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</row>
        <row r="76">
          <cell r="A76" t="str">
            <v>T215</v>
          </cell>
          <cell r="B76" t="str">
            <v>ANDRIAMPARANIAINA clermont</v>
          </cell>
          <cell r="E76">
            <v>800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M76">
            <v>0</v>
          </cell>
        </row>
        <row r="77">
          <cell r="A77" t="str">
            <v>T216</v>
          </cell>
          <cell r="B77" t="str">
            <v>RAZANADRAKOTO Hariniaina Patrick</v>
          </cell>
          <cell r="E77">
            <v>800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</row>
        <row r="78">
          <cell r="A78" t="str">
            <v>T218</v>
          </cell>
          <cell r="B78" t="str">
            <v>ANDRIAMANATENA Lalaina Angeline</v>
          </cell>
          <cell r="E78">
            <v>800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M78">
            <v>0</v>
          </cell>
        </row>
        <row r="79">
          <cell r="A79" t="str">
            <v>T219</v>
          </cell>
          <cell r="B79" t="str">
            <v>RAKOTONDRABE Jean Martial</v>
          </cell>
          <cell r="E79">
            <v>1400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M79">
            <v>0</v>
          </cell>
        </row>
        <row r="80">
          <cell r="A80" t="str">
            <v>T220</v>
          </cell>
          <cell r="B80" t="str">
            <v>RASOLONIAINA Honoré</v>
          </cell>
          <cell r="D80">
            <v>1000</v>
          </cell>
          <cell r="E80">
            <v>800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M80">
            <v>0</v>
          </cell>
        </row>
        <row r="81">
          <cell r="A81" t="str">
            <v>T222</v>
          </cell>
          <cell r="B81" t="str">
            <v>RABESON Tovo Harilaza</v>
          </cell>
          <cell r="E81">
            <v>800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M81">
            <v>0</v>
          </cell>
        </row>
        <row r="82">
          <cell r="A82" t="str">
            <v>T223</v>
          </cell>
          <cell r="B82" t="str">
            <v>RANDRIANARISON Nico Faniry</v>
          </cell>
          <cell r="D82">
            <v>1000</v>
          </cell>
          <cell r="E82">
            <v>800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M82">
            <v>0</v>
          </cell>
        </row>
        <row r="83">
          <cell r="A83" t="str">
            <v>T226</v>
          </cell>
          <cell r="B83" t="str">
            <v>RAMAROSON Lalaina Niandrisoa</v>
          </cell>
          <cell r="E83">
            <v>800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M83">
            <v>0</v>
          </cell>
        </row>
        <row r="84">
          <cell r="A84" t="str">
            <v>T227</v>
          </cell>
          <cell r="B84" t="str">
            <v>AVILAZA Michel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M84">
            <v>0</v>
          </cell>
        </row>
        <row r="85">
          <cell r="A85" t="str">
            <v>T228</v>
          </cell>
          <cell r="B85" t="str">
            <v>RANDRIAMAMPIONONA Fulgence Angelo</v>
          </cell>
          <cell r="E85">
            <v>800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M85">
            <v>0</v>
          </cell>
        </row>
        <row r="86">
          <cell r="A86" t="str">
            <v>T229</v>
          </cell>
          <cell r="B86" t="str">
            <v>RAZAFINOARISON Jean Baptiste</v>
          </cell>
          <cell r="E86">
            <v>800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M86">
            <v>0</v>
          </cell>
        </row>
        <row r="87">
          <cell r="A87" t="str">
            <v>T230</v>
          </cell>
          <cell r="B87" t="str">
            <v>RAZAFINDRAVAHATRA Tolojanahary Jean Parfait</v>
          </cell>
          <cell r="E87">
            <v>800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M87">
            <v>0</v>
          </cell>
        </row>
        <row r="88">
          <cell r="A88" t="str">
            <v>T231</v>
          </cell>
          <cell r="B88" t="str">
            <v>TODISOA FANIRY Jean Louiset</v>
          </cell>
          <cell r="E88">
            <v>800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M88">
            <v>0</v>
          </cell>
        </row>
        <row r="89">
          <cell r="A89" t="str">
            <v>T232</v>
          </cell>
          <cell r="B89" t="str">
            <v>RANDRIAMANANTENA Fanomezantsoa Heriniaina</v>
          </cell>
          <cell r="E89">
            <v>800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M89">
            <v>0</v>
          </cell>
        </row>
        <row r="90">
          <cell r="A90" t="str">
            <v>T233</v>
          </cell>
          <cell r="B90" t="str">
            <v>ANDRIAMIRIJA Joe Dassin</v>
          </cell>
          <cell r="E90">
            <v>800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M90">
            <v>0</v>
          </cell>
        </row>
        <row r="91">
          <cell r="A91" t="str">
            <v>T234</v>
          </cell>
          <cell r="B91" t="str">
            <v>RAZAFINDRAIBE Dimbiniaina Onja Fanantenana</v>
          </cell>
          <cell r="E91">
            <v>800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M91">
            <v>0</v>
          </cell>
        </row>
        <row r="92">
          <cell r="A92" t="str">
            <v>T235</v>
          </cell>
          <cell r="B92" t="str">
            <v>RASOLOFOMANDIMBY Florentin</v>
          </cell>
          <cell r="E92">
            <v>800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M92">
            <v>0</v>
          </cell>
        </row>
        <row r="93">
          <cell r="A93" t="str">
            <v>T236</v>
          </cell>
          <cell r="B93" t="str">
            <v>RAMANDANIAINA Alfred Lovasoa</v>
          </cell>
          <cell r="E93">
            <v>800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M93">
            <v>0</v>
          </cell>
        </row>
        <row r="94">
          <cell r="A94" t="str">
            <v>T237</v>
          </cell>
          <cell r="B94" t="str">
            <v>RANDRIANANTENAINA Toky Elysé</v>
          </cell>
          <cell r="E94">
            <v>800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M94">
            <v>0</v>
          </cell>
        </row>
        <row r="95">
          <cell r="A95" t="str">
            <v>T238</v>
          </cell>
          <cell r="B95" t="str">
            <v>RANDRIANANDRASANA Miora Lantoniaina Fabien</v>
          </cell>
          <cell r="E95">
            <v>800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M95">
            <v>0</v>
          </cell>
        </row>
        <row r="96">
          <cell r="A96" t="str">
            <v>T239</v>
          </cell>
          <cell r="B96" t="str">
            <v>PIRET Alcide Jean Ianna Mahefa</v>
          </cell>
          <cell r="E96">
            <v>800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M96">
            <v>0</v>
          </cell>
        </row>
        <row r="97">
          <cell r="A97" t="str">
            <v>T240</v>
          </cell>
          <cell r="B97" t="str">
            <v>RAFANOMEZANTSOA Andrianiaina</v>
          </cell>
          <cell r="E97">
            <v>800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M97">
            <v>0</v>
          </cell>
        </row>
        <row r="98">
          <cell r="A98" t="str">
            <v>T241</v>
          </cell>
          <cell r="B98" t="str">
            <v>RASOLOFOMANANA Daniel</v>
          </cell>
          <cell r="E98">
            <v>800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M98">
            <v>0</v>
          </cell>
        </row>
        <row r="99">
          <cell r="A99" t="str">
            <v>T242</v>
          </cell>
          <cell r="B99" t="str">
            <v>RAMANAMAHENINA Ryselle Tokinandrasana Njarasoa</v>
          </cell>
          <cell r="E99">
            <v>800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M99">
            <v>0</v>
          </cell>
        </row>
        <row r="100">
          <cell r="A100" t="str">
            <v>T243</v>
          </cell>
          <cell r="B100" t="str">
            <v>RAKOTOMAMONJY Jean Pierrot</v>
          </cell>
          <cell r="E100">
            <v>800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M100">
            <v>0</v>
          </cell>
        </row>
        <row r="101">
          <cell r="A101" t="str">
            <v>T244</v>
          </cell>
          <cell r="B101" t="str">
            <v>RANAIVOHARISOA Tsilavina Nadé</v>
          </cell>
          <cell r="E101">
            <v>800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M101">
            <v>0</v>
          </cell>
        </row>
        <row r="102">
          <cell r="A102" t="str">
            <v>T245</v>
          </cell>
          <cell r="B102" t="str">
            <v>RAKOTONDRAMANANA Frédéric</v>
          </cell>
          <cell r="E102">
            <v>800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M102">
            <v>0</v>
          </cell>
        </row>
        <row r="103">
          <cell r="A103" t="str">
            <v>T246</v>
          </cell>
          <cell r="B103" t="str">
            <v>RAZAFIARIJAONA Tahianarinala</v>
          </cell>
          <cell r="E103">
            <v>1400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M103">
            <v>0</v>
          </cell>
        </row>
        <row r="104">
          <cell r="A104" t="str">
            <v>T247</v>
          </cell>
          <cell r="B104" t="str">
            <v>RAKOTOHASIMANANA N. Avotra</v>
          </cell>
          <cell r="E104">
            <v>1400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M104">
            <v>0</v>
          </cell>
        </row>
        <row r="105">
          <cell r="A105" t="str">
            <v>T248</v>
          </cell>
          <cell r="B105" t="str">
            <v>RATOVOARISOA Mamitiana</v>
          </cell>
          <cell r="E105">
            <v>1400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M105">
            <v>0</v>
          </cell>
        </row>
        <row r="106">
          <cell r="A106" t="str">
            <v>T249</v>
          </cell>
          <cell r="B106" t="str">
            <v>RAKOTONIRINA Nomenjanahary Feno</v>
          </cell>
          <cell r="E106">
            <v>1400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M106">
            <v>0</v>
          </cell>
        </row>
        <row r="107">
          <cell r="A107" t="str">
            <v>T250</v>
          </cell>
          <cell r="B107" t="str">
            <v>ANDRINIAINA Tojosoa Eric</v>
          </cell>
          <cell r="E107">
            <v>1400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M107">
            <v>0</v>
          </cell>
        </row>
        <row r="108">
          <cell r="A108" t="str">
            <v>T252</v>
          </cell>
          <cell r="B108" t="str">
            <v>RANDRIANARISON Heritiana Mamitiana</v>
          </cell>
          <cell r="E108">
            <v>1400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M108">
            <v>0</v>
          </cell>
        </row>
        <row r="109">
          <cell r="A109" t="str">
            <v>T253</v>
          </cell>
          <cell r="B109" t="str">
            <v>RANARISON Rojo Nambinintsoa</v>
          </cell>
          <cell r="E109">
            <v>1400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M109">
            <v>0</v>
          </cell>
        </row>
        <row r="110">
          <cell r="A110" t="str">
            <v>T254</v>
          </cell>
          <cell r="B110" t="str">
            <v>RAKOTOMALALA Tolotra</v>
          </cell>
          <cell r="E110">
            <v>1400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M110">
            <v>0</v>
          </cell>
        </row>
        <row r="111">
          <cell r="A111" t="str">
            <v>T255</v>
          </cell>
          <cell r="B111" t="str">
            <v>RASAMOELINA TAFITASOA Hanitriniala</v>
          </cell>
          <cell r="E111">
            <v>1400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M111">
            <v>0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M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M117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M119">
            <v>0</v>
          </cell>
        </row>
        <row r="120">
          <cell r="B120" t="str">
            <v>TOTAL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H121">
            <v>0</v>
          </cell>
          <cell r="I121">
            <v>0</v>
          </cell>
        </row>
        <row r="122">
          <cell r="H122">
            <v>0</v>
          </cell>
          <cell r="I122">
            <v>0</v>
          </cell>
        </row>
        <row r="123">
          <cell r="H123">
            <v>0</v>
          </cell>
          <cell r="I123">
            <v>0</v>
          </cell>
        </row>
      </sheetData>
      <sheetData sheetId="6">
        <row r="5">
          <cell r="B5" t="str">
            <v>T002</v>
          </cell>
          <cell r="C5" t="str">
            <v>RATSIMANDRESY Dominique Aimé</v>
          </cell>
          <cell r="D5">
            <v>380000</v>
          </cell>
          <cell r="AJ5">
            <v>0</v>
          </cell>
          <cell r="AK5">
            <v>0</v>
          </cell>
        </row>
        <row r="6">
          <cell r="B6" t="str">
            <v>T006</v>
          </cell>
          <cell r="C6" t="str">
            <v>TSIRINONY Dieu Donné</v>
          </cell>
          <cell r="D6">
            <v>400000</v>
          </cell>
          <cell r="AJ6">
            <v>0</v>
          </cell>
          <cell r="AK6">
            <v>0</v>
          </cell>
        </row>
        <row r="7">
          <cell r="B7" t="str">
            <v>T007</v>
          </cell>
          <cell r="C7" t="str">
            <v>EUGENE</v>
          </cell>
          <cell r="D7">
            <v>472000</v>
          </cell>
          <cell r="AJ7">
            <v>0</v>
          </cell>
          <cell r="AK7">
            <v>0</v>
          </cell>
        </row>
        <row r="8">
          <cell r="B8" t="str">
            <v>T008</v>
          </cell>
          <cell r="C8" t="str">
            <v>RAMANANA Louis de Gonzague</v>
          </cell>
          <cell r="D8">
            <v>693857</v>
          </cell>
          <cell r="AJ8">
            <v>0</v>
          </cell>
          <cell r="AK8">
            <v>0</v>
          </cell>
        </row>
        <row r="9">
          <cell r="B9" t="str">
            <v>T009</v>
          </cell>
          <cell r="C9" t="str">
            <v>RAKOTOARISOA Jean Michel</v>
          </cell>
          <cell r="D9">
            <v>275000</v>
          </cell>
          <cell r="AJ9">
            <v>0</v>
          </cell>
          <cell r="AK9">
            <v>0</v>
          </cell>
        </row>
        <row r="10">
          <cell r="B10" t="str">
            <v>T011</v>
          </cell>
          <cell r="C10" t="str">
            <v>RAZAFINDRAZANANY Romaine</v>
          </cell>
          <cell r="D10">
            <v>170000</v>
          </cell>
          <cell r="AJ10">
            <v>0</v>
          </cell>
          <cell r="AK10">
            <v>0</v>
          </cell>
        </row>
        <row r="11">
          <cell r="B11" t="str">
            <v>T014</v>
          </cell>
          <cell r="C11" t="str">
            <v>NOAVISON Tsimahaboa</v>
          </cell>
          <cell r="D11">
            <v>300000</v>
          </cell>
          <cell r="AJ11">
            <v>0</v>
          </cell>
          <cell r="AK11">
            <v>0</v>
          </cell>
        </row>
        <row r="12">
          <cell r="B12" t="str">
            <v>T016</v>
          </cell>
          <cell r="C12" t="str">
            <v>RAZAFINDRASATA José Gabriel</v>
          </cell>
          <cell r="D12">
            <v>300000</v>
          </cell>
          <cell r="AJ12">
            <v>0</v>
          </cell>
          <cell r="AK12">
            <v>0</v>
          </cell>
        </row>
        <row r="13">
          <cell r="B13" t="str">
            <v>T018</v>
          </cell>
          <cell r="C13" t="str">
            <v>RABASOAMALALA Fidelia</v>
          </cell>
          <cell r="D13">
            <v>170000</v>
          </cell>
          <cell r="AJ13">
            <v>0</v>
          </cell>
          <cell r="AK13">
            <v>0</v>
          </cell>
        </row>
        <row r="14">
          <cell r="B14" t="str">
            <v>T019</v>
          </cell>
          <cell r="C14" t="str">
            <v>FOMBEA Joeline</v>
          </cell>
          <cell r="D14">
            <v>170000</v>
          </cell>
          <cell r="AJ14">
            <v>0</v>
          </cell>
          <cell r="AK14">
            <v>0</v>
          </cell>
        </row>
        <row r="15">
          <cell r="B15" t="str">
            <v>T022</v>
          </cell>
          <cell r="C15" t="str">
            <v>RAZAFIMAHEFASOLO Jean Eddy</v>
          </cell>
          <cell r="D15">
            <v>380000</v>
          </cell>
          <cell r="AJ15">
            <v>0</v>
          </cell>
          <cell r="AK15">
            <v>0</v>
          </cell>
        </row>
        <row r="16">
          <cell r="B16" t="str">
            <v>T025</v>
          </cell>
          <cell r="C16" t="str">
            <v>RAKOTOZAFY Pierre</v>
          </cell>
          <cell r="D16">
            <v>220000</v>
          </cell>
          <cell r="AJ16">
            <v>0</v>
          </cell>
          <cell r="AK16">
            <v>0</v>
          </cell>
        </row>
        <row r="17">
          <cell r="B17" t="str">
            <v>T028</v>
          </cell>
          <cell r="C17" t="str">
            <v>RAZAFINIAINA Tolotra Franca</v>
          </cell>
          <cell r="D17">
            <v>220000</v>
          </cell>
          <cell r="AJ17">
            <v>0</v>
          </cell>
          <cell r="AK17">
            <v>0</v>
          </cell>
        </row>
        <row r="18">
          <cell r="B18" t="str">
            <v>T032</v>
          </cell>
          <cell r="C18" t="str">
            <v>DEHAAS Pierre Herman Joseph</v>
          </cell>
          <cell r="D18">
            <v>3200000</v>
          </cell>
          <cell r="AJ18">
            <v>0</v>
          </cell>
          <cell r="AK18">
            <v>0</v>
          </cell>
        </row>
        <row r="19">
          <cell r="B19" t="str">
            <v>T036</v>
          </cell>
          <cell r="C19" t="str">
            <v>RAKOTONIRINA Fanomezantsoa</v>
          </cell>
          <cell r="D19">
            <v>220000</v>
          </cell>
          <cell r="AJ19">
            <v>0</v>
          </cell>
          <cell r="AK19">
            <v>0</v>
          </cell>
        </row>
        <row r="20">
          <cell r="B20" t="str">
            <v>T050</v>
          </cell>
          <cell r="C20" t="str">
            <v>RAMANALINIRIANA Jean Victor</v>
          </cell>
          <cell r="D20">
            <v>380000</v>
          </cell>
          <cell r="AJ20">
            <v>0</v>
          </cell>
          <cell r="AK20">
            <v>0</v>
          </cell>
        </row>
        <row r="21">
          <cell r="B21" t="str">
            <v>T053</v>
          </cell>
          <cell r="C21" t="str">
            <v>RAMANATSOA Eddy Christ</v>
          </cell>
          <cell r="D21">
            <v>150000</v>
          </cell>
          <cell r="AJ21">
            <v>0</v>
          </cell>
          <cell r="AK21">
            <v>0</v>
          </cell>
        </row>
        <row r="22">
          <cell r="B22" t="str">
            <v>T057</v>
          </cell>
          <cell r="C22" t="str">
            <v>RAKOTOMALALA Jean Jacques</v>
          </cell>
          <cell r="D22">
            <v>220000</v>
          </cell>
          <cell r="AJ22">
            <v>0</v>
          </cell>
          <cell r="AK22">
            <v>0</v>
          </cell>
        </row>
        <row r="23">
          <cell r="B23" t="str">
            <v>T062</v>
          </cell>
          <cell r="C23" t="str">
            <v>RANDRIANARISON Philippe Joseph</v>
          </cell>
          <cell r="D23">
            <v>150000</v>
          </cell>
          <cell r="AJ23">
            <v>0</v>
          </cell>
          <cell r="AK23">
            <v>0</v>
          </cell>
        </row>
        <row r="24">
          <cell r="B24" t="str">
            <v>T071</v>
          </cell>
          <cell r="C24" t="str">
            <v>RANDRIAMIANDRISOA Rémi</v>
          </cell>
          <cell r="D24">
            <v>220000</v>
          </cell>
          <cell r="AJ24">
            <v>0</v>
          </cell>
          <cell r="AK24">
            <v>0</v>
          </cell>
        </row>
        <row r="25">
          <cell r="B25" t="str">
            <v>T093</v>
          </cell>
          <cell r="C25" t="str">
            <v xml:space="preserve">RAFIDIMANANTSOA Jean Bruno </v>
          </cell>
          <cell r="D25">
            <v>220000</v>
          </cell>
          <cell r="AJ25">
            <v>0</v>
          </cell>
          <cell r="AK25">
            <v>0</v>
          </cell>
        </row>
        <row r="26">
          <cell r="B26" t="str">
            <v>T099</v>
          </cell>
          <cell r="C26" t="str">
            <v xml:space="preserve">RAVELONARIVO Henri Bernard </v>
          </cell>
          <cell r="D26">
            <v>165000</v>
          </cell>
          <cell r="AJ26">
            <v>0</v>
          </cell>
          <cell r="AK26">
            <v>0</v>
          </cell>
        </row>
        <row r="27">
          <cell r="B27" t="str">
            <v>T101</v>
          </cell>
          <cell r="C27" t="str">
            <v>RANDRIANARIMALALA Jean Jacques</v>
          </cell>
          <cell r="D27">
            <v>150000</v>
          </cell>
          <cell r="AJ27">
            <v>0</v>
          </cell>
          <cell r="AK27">
            <v>0</v>
          </cell>
        </row>
        <row r="28">
          <cell r="B28" t="str">
            <v>T102</v>
          </cell>
          <cell r="C28" t="str">
            <v>RABEARINORO John Eddy</v>
          </cell>
          <cell r="D28">
            <v>380000</v>
          </cell>
          <cell r="AJ28">
            <v>0</v>
          </cell>
          <cell r="AK28">
            <v>0</v>
          </cell>
        </row>
        <row r="29">
          <cell r="B29" t="str">
            <v>T113</v>
          </cell>
          <cell r="C29" t="str">
            <v>ANDRIAMANDIMBINIAINA Veuvé Bayard</v>
          </cell>
          <cell r="D29">
            <v>1208762</v>
          </cell>
          <cell r="AJ29">
            <v>0</v>
          </cell>
          <cell r="AK29">
            <v>0</v>
          </cell>
        </row>
        <row r="30">
          <cell r="B30" t="str">
            <v>T114</v>
          </cell>
          <cell r="C30" t="str">
            <v>TINASOA NOMENJANAHARY Tantely</v>
          </cell>
          <cell r="D30">
            <v>170000</v>
          </cell>
          <cell r="AJ30">
            <v>0</v>
          </cell>
          <cell r="AK30">
            <v>0</v>
          </cell>
        </row>
        <row r="31">
          <cell r="B31" t="str">
            <v>T132</v>
          </cell>
          <cell r="C31" t="str">
            <v>RATOVOSON Holihasina Mamisoa</v>
          </cell>
          <cell r="D31">
            <v>1208762</v>
          </cell>
          <cell r="AJ31">
            <v>0</v>
          </cell>
          <cell r="AK31">
            <v>0</v>
          </cell>
        </row>
        <row r="32">
          <cell r="B32" t="str">
            <v>T133</v>
          </cell>
          <cell r="C32" t="str">
            <v>RANAIVOSON RAMANANDRAISOA Voahangy</v>
          </cell>
          <cell r="D32">
            <v>1208762</v>
          </cell>
          <cell r="AJ32">
            <v>0</v>
          </cell>
          <cell r="AK32">
            <v>0</v>
          </cell>
        </row>
        <row r="33">
          <cell r="B33" t="str">
            <v>T134</v>
          </cell>
          <cell r="C33" t="str">
            <v>ANDRIAMANANTENA Tovonony Barison</v>
          </cell>
          <cell r="D33">
            <v>1458762</v>
          </cell>
          <cell r="AJ33">
            <v>0</v>
          </cell>
          <cell r="AK33">
            <v>0</v>
          </cell>
        </row>
        <row r="34">
          <cell r="B34" t="str">
            <v>T144</v>
          </cell>
          <cell r="C34" t="str">
            <v>RANDRIAMANANA Sylvin</v>
          </cell>
          <cell r="D34">
            <v>150000</v>
          </cell>
          <cell r="AJ34">
            <v>0</v>
          </cell>
          <cell r="AK34">
            <v>0</v>
          </cell>
        </row>
        <row r="35">
          <cell r="B35" t="str">
            <v>T146</v>
          </cell>
          <cell r="C35" t="str">
            <v>RANDRIAMIADANA Rijaniaina</v>
          </cell>
          <cell r="D35">
            <v>956612</v>
          </cell>
          <cell r="AJ35">
            <v>0</v>
          </cell>
          <cell r="AK35">
            <v>0</v>
          </cell>
        </row>
        <row r="36">
          <cell r="B36" t="str">
            <v>T148</v>
          </cell>
          <cell r="C36" t="str">
            <v>RAKOTONDRATSARA Solofoniana Hyacinthe Jean Ferdinand</v>
          </cell>
          <cell r="D36">
            <v>380000</v>
          </cell>
          <cell r="AJ36">
            <v>0</v>
          </cell>
          <cell r="AK36">
            <v>0</v>
          </cell>
        </row>
        <row r="37">
          <cell r="B37" t="str">
            <v>T153</v>
          </cell>
          <cell r="C37" t="str">
            <v>RAMILAVONJY Ramiandrasoa Flavien</v>
          </cell>
          <cell r="D37">
            <v>380000</v>
          </cell>
          <cell r="AJ37">
            <v>0</v>
          </cell>
          <cell r="AK37">
            <v>0</v>
          </cell>
        </row>
        <row r="38">
          <cell r="B38" t="str">
            <v>T154</v>
          </cell>
          <cell r="C38" t="str">
            <v>RAMAROSON Jean Christ</v>
          </cell>
          <cell r="D38">
            <v>220000</v>
          </cell>
          <cell r="AJ38">
            <v>0</v>
          </cell>
          <cell r="AK38">
            <v>0</v>
          </cell>
        </row>
        <row r="39">
          <cell r="B39" t="str">
            <v>T155</v>
          </cell>
          <cell r="C39" t="str">
            <v>RABARIJAONA Barthélemy Jacques</v>
          </cell>
          <cell r="D39">
            <v>555081</v>
          </cell>
          <cell r="AJ39">
            <v>0</v>
          </cell>
          <cell r="AK39">
            <v>0</v>
          </cell>
        </row>
        <row r="40">
          <cell r="B40" t="str">
            <v>T156</v>
          </cell>
          <cell r="C40" t="str">
            <v>RAFARAMALALA Laurence</v>
          </cell>
          <cell r="D40">
            <v>275000</v>
          </cell>
          <cell r="AJ40">
            <v>0</v>
          </cell>
          <cell r="AK40">
            <v>0</v>
          </cell>
        </row>
        <row r="41">
          <cell r="B41" t="str">
            <v>T157</v>
          </cell>
          <cell r="C41" t="str">
            <v>RAMIANDRAVOLA Rondroelinjaka</v>
          </cell>
          <cell r="D41">
            <v>220000</v>
          </cell>
          <cell r="AJ41">
            <v>0</v>
          </cell>
          <cell r="AK41">
            <v>0</v>
          </cell>
        </row>
        <row r="42">
          <cell r="B42" t="str">
            <v>T158</v>
          </cell>
          <cell r="C42" t="str">
            <v>RAKOTONATOANDRO Edmond</v>
          </cell>
          <cell r="D42">
            <v>165000</v>
          </cell>
          <cell r="AJ42">
            <v>0</v>
          </cell>
          <cell r="AK42">
            <v>0</v>
          </cell>
        </row>
        <row r="43">
          <cell r="B43" t="str">
            <v>T159</v>
          </cell>
          <cell r="C43" t="str">
            <v>RANGITARINORO José</v>
          </cell>
          <cell r="D43">
            <v>220000</v>
          </cell>
          <cell r="AJ43">
            <v>0</v>
          </cell>
          <cell r="AK43">
            <v>0</v>
          </cell>
        </row>
        <row r="44">
          <cell r="B44" t="str">
            <v>T160</v>
          </cell>
          <cell r="C44" t="str">
            <v>MAMITIANA Pascal</v>
          </cell>
          <cell r="D44">
            <v>150000</v>
          </cell>
          <cell r="AJ44">
            <v>0</v>
          </cell>
          <cell r="AK44">
            <v>0</v>
          </cell>
        </row>
        <row r="45">
          <cell r="B45" t="str">
            <v>T161</v>
          </cell>
          <cell r="C45" t="str">
            <v>RANDRIAMIRADOMANANA René</v>
          </cell>
          <cell r="D45">
            <v>165000</v>
          </cell>
          <cell r="AJ45">
            <v>0</v>
          </cell>
          <cell r="AK45">
            <v>0</v>
          </cell>
        </row>
        <row r="46">
          <cell r="B46" t="str">
            <v>T162</v>
          </cell>
          <cell r="C46" t="str">
            <v>RATOVOSON Vololomiadana Voniarisoa</v>
          </cell>
          <cell r="D46">
            <v>1833762</v>
          </cell>
          <cell r="AJ46">
            <v>0</v>
          </cell>
          <cell r="AK46">
            <v>0</v>
          </cell>
        </row>
        <row r="47">
          <cell r="B47" t="str">
            <v>T163</v>
          </cell>
          <cell r="C47" t="str">
            <v>RAZAFINIRINA Patrick</v>
          </cell>
          <cell r="D47">
            <v>701510</v>
          </cell>
          <cell r="AJ47">
            <v>0</v>
          </cell>
          <cell r="AK47">
            <v>0</v>
          </cell>
        </row>
        <row r="48">
          <cell r="B48" t="str">
            <v>T168</v>
          </cell>
          <cell r="C48" t="str">
            <v>HUON DE KERMADEC Vincent</v>
          </cell>
          <cell r="D48">
            <v>1787501</v>
          </cell>
          <cell r="AJ48">
            <v>0</v>
          </cell>
          <cell r="AK48">
            <v>0</v>
          </cell>
        </row>
        <row r="49">
          <cell r="B49" t="str">
            <v>T173</v>
          </cell>
          <cell r="C49" t="str">
            <v>RAKOTONDRAMAVO Michaël</v>
          </cell>
          <cell r="D49">
            <v>220000</v>
          </cell>
          <cell r="AJ49">
            <v>0</v>
          </cell>
          <cell r="AK49">
            <v>0</v>
          </cell>
        </row>
        <row r="50">
          <cell r="B50" t="str">
            <v>T176</v>
          </cell>
          <cell r="C50" t="str">
            <v>RAKOTOARIMANANA Jean Joseph</v>
          </cell>
          <cell r="D50">
            <v>136480</v>
          </cell>
          <cell r="AJ50">
            <v>0</v>
          </cell>
          <cell r="AK50">
            <v>0</v>
          </cell>
        </row>
        <row r="51">
          <cell r="B51" t="str">
            <v>T177</v>
          </cell>
          <cell r="C51" t="str">
            <v>RAKOTOMANANA Maminirina Jean Michel</v>
          </cell>
          <cell r="D51">
            <v>136480</v>
          </cell>
          <cell r="AJ51">
            <v>0</v>
          </cell>
          <cell r="AK51">
            <v>0</v>
          </cell>
        </row>
        <row r="52">
          <cell r="B52" t="str">
            <v>T178</v>
          </cell>
          <cell r="C52" t="str">
            <v xml:space="preserve">RANDRIANAVALOMANDRESY Olivier Gendratto </v>
          </cell>
          <cell r="D52">
            <v>220000</v>
          </cell>
          <cell r="AJ52">
            <v>0</v>
          </cell>
          <cell r="AK52">
            <v>0</v>
          </cell>
        </row>
        <row r="53">
          <cell r="B53" t="str">
            <v>T179</v>
          </cell>
          <cell r="C53" t="str">
            <v>RANDRIANJATOVO Tojosoa Fabien</v>
          </cell>
          <cell r="D53">
            <v>136480</v>
          </cell>
          <cell r="AJ53">
            <v>0</v>
          </cell>
          <cell r="AK53">
            <v>0</v>
          </cell>
        </row>
        <row r="54">
          <cell r="B54" t="str">
            <v>T182</v>
          </cell>
          <cell r="C54" t="str">
            <v>RANDRIANARISON Gérard</v>
          </cell>
          <cell r="D54">
            <v>136480</v>
          </cell>
          <cell r="AJ54">
            <v>0</v>
          </cell>
          <cell r="AK54">
            <v>0</v>
          </cell>
        </row>
        <row r="55">
          <cell r="B55" t="str">
            <v>T184</v>
          </cell>
          <cell r="C55" t="str">
            <v xml:space="preserve">RAFANOMEZANTSOA Jean Fidèle </v>
          </cell>
          <cell r="D55">
            <v>220000</v>
          </cell>
          <cell r="AJ55">
            <v>0</v>
          </cell>
          <cell r="AK55">
            <v>0</v>
          </cell>
        </row>
        <row r="56">
          <cell r="B56" t="str">
            <v>T185</v>
          </cell>
          <cell r="C56" t="str">
            <v>RANDRIARIJAONA Jean Lucia</v>
          </cell>
          <cell r="D56">
            <v>136480</v>
          </cell>
          <cell r="AJ56">
            <v>0</v>
          </cell>
          <cell r="AK56">
            <v>0</v>
          </cell>
        </row>
        <row r="57">
          <cell r="B57" t="str">
            <v>T186</v>
          </cell>
          <cell r="C57" t="str">
            <v>RANDRIAMANALINARIVO Jean Ruphin</v>
          </cell>
          <cell r="D57">
            <v>136480</v>
          </cell>
          <cell r="AJ57">
            <v>0</v>
          </cell>
          <cell r="AK57">
            <v>0</v>
          </cell>
        </row>
        <row r="58">
          <cell r="B58" t="str">
            <v>T187</v>
          </cell>
          <cell r="C58" t="str">
            <v>RAHARISON Herimampionona</v>
          </cell>
          <cell r="D58">
            <v>300000</v>
          </cell>
          <cell r="AJ58">
            <v>0</v>
          </cell>
          <cell r="AK58">
            <v>0</v>
          </cell>
        </row>
        <row r="59">
          <cell r="B59" t="str">
            <v>T188</v>
          </cell>
          <cell r="C59" t="str">
            <v>NICOLAS Jean Arthur</v>
          </cell>
          <cell r="D59">
            <v>136480</v>
          </cell>
          <cell r="AJ59">
            <v>0</v>
          </cell>
          <cell r="AK59">
            <v>0</v>
          </cell>
        </row>
        <row r="60">
          <cell r="B60" t="str">
            <v>T191</v>
          </cell>
          <cell r="C60" t="str">
            <v>RATOJONIAINA Jeannot Paul</v>
          </cell>
          <cell r="D60">
            <v>136480</v>
          </cell>
          <cell r="AJ60">
            <v>0</v>
          </cell>
          <cell r="AK60">
            <v>0</v>
          </cell>
        </row>
        <row r="61">
          <cell r="B61" t="str">
            <v>T193</v>
          </cell>
          <cell r="C61" t="str">
            <v>RANDRIANASOLONIRINA Jenny Angelin</v>
          </cell>
          <cell r="D61">
            <v>136480</v>
          </cell>
          <cell r="AJ61">
            <v>0</v>
          </cell>
          <cell r="AK61">
            <v>0</v>
          </cell>
        </row>
        <row r="62">
          <cell r="B62" t="str">
            <v>T194</v>
          </cell>
          <cell r="C62" t="str">
            <v>RAMANANJATO Tolojanahary</v>
          </cell>
          <cell r="D62">
            <v>136480</v>
          </cell>
          <cell r="AJ62">
            <v>0</v>
          </cell>
          <cell r="AK62">
            <v>0</v>
          </cell>
        </row>
        <row r="63">
          <cell r="B63" t="str">
            <v>T197</v>
          </cell>
          <cell r="C63" t="str">
            <v>ANDRIANIRINTSOA Safiditiana José</v>
          </cell>
          <cell r="D63">
            <v>136480</v>
          </cell>
          <cell r="AJ63">
            <v>0</v>
          </cell>
          <cell r="AK63">
            <v>0</v>
          </cell>
        </row>
        <row r="64">
          <cell r="B64" t="str">
            <v>T200</v>
          </cell>
          <cell r="C64" t="str">
            <v>RAMANANTENASOA Nambinintsoa</v>
          </cell>
          <cell r="D64">
            <v>230000</v>
          </cell>
          <cell r="AJ64">
            <v>0</v>
          </cell>
          <cell r="AK64">
            <v>0</v>
          </cell>
        </row>
        <row r="65">
          <cell r="B65" t="str">
            <v>T201</v>
          </cell>
          <cell r="C65" t="str">
            <v>TISTE</v>
          </cell>
          <cell r="D65">
            <v>136480</v>
          </cell>
          <cell r="AJ65">
            <v>0</v>
          </cell>
          <cell r="AK65">
            <v>0</v>
          </cell>
        </row>
        <row r="66">
          <cell r="B66" t="str">
            <v>T202</v>
          </cell>
          <cell r="C66" t="str">
            <v>RASOANAVALONA Sahondraniaina</v>
          </cell>
          <cell r="D66">
            <v>230000</v>
          </cell>
          <cell r="AJ66">
            <v>0</v>
          </cell>
          <cell r="AK66">
            <v>0</v>
          </cell>
        </row>
        <row r="67">
          <cell r="B67" t="str">
            <v>T204</v>
          </cell>
          <cell r="C67" t="str">
            <v>ANDONIAINA Nathalie Alida</v>
          </cell>
          <cell r="D67">
            <v>133100</v>
          </cell>
          <cell r="AJ67">
            <v>0</v>
          </cell>
          <cell r="AK67">
            <v>0</v>
          </cell>
        </row>
        <row r="68">
          <cell r="B68" t="str">
            <v>T206</v>
          </cell>
          <cell r="C68" t="str">
            <v>SOATAHY</v>
          </cell>
          <cell r="D68">
            <v>701510</v>
          </cell>
          <cell r="AJ68">
            <v>0</v>
          </cell>
          <cell r="AK68">
            <v>0</v>
          </cell>
        </row>
        <row r="69">
          <cell r="B69" t="str">
            <v>T210</v>
          </cell>
          <cell r="C69" t="str">
            <v>RAZANAJATOVO Jeannot</v>
          </cell>
          <cell r="D69">
            <v>133100</v>
          </cell>
          <cell r="AJ69">
            <v>0</v>
          </cell>
          <cell r="AK69">
            <v>0</v>
          </cell>
        </row>
        <row r="70">
          <cell r="B70" t="str">
            <v>T211</v>
          </cell>
          <cell r="C70" t="str">
            <v>RANDRIANANTENAINA Noël</v>
          </cell>
          <cell r="D70">
            <v>133100</v>
          </cell>
          <cell r="AJ70">
            <v>0</v>
          </cell>
          <cell r="AK70">
            <v>0</v>
          </cell>
        </row>
        <row r="71">
          <cell r="B71" t="str">
            <v>T212</v>
          </cell>
          <cell r="C71" t="str">
            <v>RAVELOSON Holiarimanga Dera</v>
          </cell>
          <cell r="D71">
            <v>133100</v>
          </cell>
          <cell r="AJ71">
            <v>0</v>
          </cell>
          <cell r="AK71">
            <v>0</v>
          </cell>
        </row>
        <row r="72">
          <cell r="B72" t="str">
            <v>T213</v>
          </cell>
          <cell r="C72" t="str">
            <v>RAZANDRAINIBE Hajaniaina Patrick</v>
          </cell>
          <cell r="D72">
            <v>133100</v>
          </cell>
          <cell r="AJ72">
            <v>0</v>
          </cell>
          <cell r="AK72">
            <v>0</v>
          </cell>
        </row>
        <row r="73">
          <cell r="B73" t="str">
            <v>T214</v>
          </cell>
          <cell r="C73" t="str">
            <v>HERINTSOA Andry Manoely Georges</v>
          </cell>
          <cell r="D73">
            <v>133100</v>
          </cell>
          <cell r="AJ73">
            <v>0</v>
          </cell>
          <cell r="AK73">
            <v>0</v>
          </cell>
        </row>
        <row r="74">
          <cell r="B74" t="str">
            <v>T215</v>
          </cell>
          <cell r="C74" t="str">
            <v>ANDRIAMPARANIAINA clermont</v>
          </cell>
          <cell r="D74">
            <v>133100</v>
          </cell>
          <cell r="AJ74">
            <v>0</v>
          </cell>
          <cell r="AK74">
            <v>0</v>
          </cell>
        </row>
        <row r="75">
          <cell r="B75" t="str">
            <v>T216</v>
          </cell>
          <cell r="C75" t="str">
            <v>RAZANADRAKOTO Hariniaina Patrick</v>
          </cell>
          <cell r="D75">
            <v>133100</v>
          </cell>
          <cell r="AJ75">
            <v>0</v>
          </cell>
          <cell r="AK75">
            <v>0</v>
          </cell>
        </row>
        <row r="76">
          <cell r="B76" t="str">
            <v>T218</v>
          </cell>
          <cell r="C76" t="str">
            <v>ANDRIAMANATENA Lalaina Angeline</v>
          </cell>
          <cell r="D76">
            <v>133100</v>
          </cell>
          <cell r="AJ76">
            <v>0</v>
          </cell>
          <cell r="AK76">
            <v>0</v>
          </cell>
        </row>
      </sheetData>
      <sheetData sheetId="7">
        <row r="5">
          <cell r="B5" t="str">
            <v>T002</v>
          </cell>
          <cell r="C5" t="str">
            <v>RATSIMANDRESY Dominique Aimé</v>
          </cell>
          <cell r="D5">
            <v>2192.3498528817859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</row>
        <row r="6">
          <cell r="B6" t="str">
            <v>T006</v>
          </cell>
          <cell r="C6" t="str">
            <v>TSIRINONY Dieu Donné</v>
          </cell>
          <cell r="D6">
            <v>2307.7366872439852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B7" t="str">
            <v>T007</v>
          </cell>
          <cell r="C7" t="str">
            <v>EUGENE</v>
          </cell>
          <cell r="D7">
            <v>2723.1292909479025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B8" t="str">
            <v>T009</v>
          </cell>
          <cell r="C8" t="str">
            <v>RAKOTOARISOA Jean Michel</v>
          </cell>
          <cell r="D8">
            <v>1586.5689724802398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B9" t="str">
            <v>T011</v>
          </cell>
          <cell r="C9" t="str">
            <v>RAZAFINDRAZANANY Romaine</v>
          </cell>
          <cell r="D9">
            <v>980.78809207869369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B10" t="str">
            <v>T014</v>
          </cell>
          <cell r="C10" t="str">
            <v>NOAVISON Tsimahaboa</v>
          </cell>
          <cell r="D10">
            <v>1730.8025154329889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B11" t="str">
            <v>T016</v>
          </cell>
          <cell r="C11" t="str">
            <v>RAZAFINDRASATA José Gabriel</v>
          </cell>
          <cell r="D11">
            <v>1730.8025154329889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B12" t="str">
            <v>T018</v>
          </cell>
          <cell r="C12" t="str">
            <v>RABASOAMALALA Fidelia</v>
          </cell>
          <cell r="D12">
            <v>980.78809207869369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B13" t="str">
            <v>T019</v>
          </cell>
          <cell r="C13" t="str">
            <v>FOMBEA Joeline</v>
          </cell>
          <cell r="D13">
            <v>980.78809207869369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B14" t="str">
            <v>T022</v>
          </cell>
          <cell r="C14" t="str">
            <v>RAZAFIMAHEFASOLO Jean Eddy</v>
          </cell>
          <cell r="D14">
            <v>2192.3498528817859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B15" t="str">
            <v>T025</v>
          </cell>
          <cell r="C15" t="str">
            <v>RAKOTOZAFY Pierre</v>
          </cell>
          <cell r="D15">
            <v>1269.255177984192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B16" t="str">
            <v>T028</v>
          </cell>
          <cell r="C16" t="str">
            <v>RAZAFINIAINA Tolotra Franca</v>
          </cell>
          <cell r="D16">
            <v>1269.255177984192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B17" t="str">
            <v>T036</v>
          </cell>
          <cell r="C17" t="str">
            <v>RAKOTONIRINA Fanomezantsoa</v>
          </cell>
          <cell r="D17">
            <v>1269.255177984192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B18" t="str">
            <v>T050</v>
          </cell>
          <cell r="C18" t="str">
            <v>RAMANALINIRIANA Jean Victor</v>
          </cell>
          <cell r="D18">
            <v>2192.3498528817859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B19" t="str">
            <v>T053</v>
          </cell>
          <cell r="C19" t="str">
            <v>RAMANATSOA Eddy Christ</v>
          </cell>
          <cell r="D19">
            <v>865.40125771649446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B20" t="str">
            <v>T057</v>
          </cell>
          <cell r="C20" t="str">
            <v>RAKOTOMALALA Jean Jacques</v>
          </cell>
          <cell r="D20">
            <v>1269.255177984192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B21" t="str">
            <v>T062</v>
          </cell>
          <cell r="C21" t="str">
            <v>RANDRIANARISON Philippe Joseph</v>
          </cell>
          <cell r="D21">
            <v>865.40125771649446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B22" t="str">
            <v>T071</v>
          </cell>
          <cell r="C22" t="str">
            <v>RANDRIAMIANDRISOA Rémi</v>
          </cell>
          <cell r="D22">
            <v>1269.255177984192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B23" t="str">
            <v>T093</v>
          </cell>
          <cell r="C23" t="str">
            <v xml:space="preserve">RAFIDIMANANTSOA Jean Bruno </v>
          </cell>
          <cell r="D23">
            <v>1269.255177984192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B24" t="str">
            <v>T099</v>
          </cell>
          <cell r="C24" t="str">
            <v xml:space="preserve">RAVELONARIVO Henri Bernard </v>
          </cell>
          <cell r="D24">
            <v>951.94138348814397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B25" t="str">
            <v>T101</v>
          </cell>
          <cell r="C25" t="str">
            <v>RANDRIANARIMALALA Jean Jacques</v>
          </cell>
          <cell r="D25">
            <v>865.40125771649446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B26" t="str">
            <v>T102</v>
          </cell>
          <cell r="C26" t="str">
            <v>RABEARINORO John Eddy</v>
          </cell>
          <cell r="D26">
            <v>2192.3498528817859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B27" t="str">
            <v>T114</v>
          </cell>
          <cell r="C27" t="str">
            <v>TINASOA NOMENJANAHARY Tantely</v>
          </cell>
          <cell r="D27">
            <v>980.78809207869369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B28" t="str">
            <v>T144</v>
          </cell>
          <cell r="C28" t="str">
            <v>RANDRIAMANANA Sylvin</v>
          </cell>
          <cell r="D28">
            <v>617.28395061728395</v>
          </cell>
          <cell r="I28" t="str">
            <v>GARDIEN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B29" t="str">
            <v>T148</v>
          </cell>
          <cell r="C29" t="str">
            <v>RAKOTONDRATSARA Solofoniana Hyacinthe Jean Ferdinand</v>
          </cell>
          <cell r="D29">
            <v>2192.3498528817859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B30" t="str">
            <v>T153</v>
          </cell>
          <cell r="C30" t="str">
            <v>RAMILAVONJY Ramiandrasoa Flavien</v>
          </cell>
          <cell r="D30">
            <v>2192.3498528817859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B31" t="str">
            <v>T154</v>
          </cell>
          <cell r="C31" t="str">
            <v>RAMAROSON Jean Christ</v>
          </cell>
          <cell r="D31">
            <v>1269.255177984192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B32" t="str">
            <v>T155</v>
          </cell>
          <cell r="C32" t="str">
            <v>RABARIJAONA Barthélemy Jacques</v>
          </cell>
          <cell r="D32">
            <v>3202.4519702301964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B33" t="str">
            <v>T156</v>
          </cell>
          <cell r="C33" t="str">
            <v>RAFARAMALALA Laurence</v>
          </cell>
          <cell r="D33">
            <v>1586.5689724802398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B34" t="str">
            <v>T157</v>
          </cell>
          <cell r="C34" t="str">
            <v>RAMIANDRAVOLA Rondroelinjaka</v>
          </cell>
          <cell r="D34">
            <v>1269.255177984192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B35" t="str">
            <v>T158</v>
          </cell>
          <cell r="C35" t="str">
            <v>RAKOTONATOANDRO Edmond</v>
          </cell>
          <cell r="D35">
            <v>679.01234567901236</v>
          </cell>
          <cell r="I35" t="str">
            <v>GARDIEN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</row>
        <row r="36">
          <cell r="B36" t="str">
            <v>T159</v>
          </cell>
          <cell r="C36" t="str">
            <v>RANGITARINORO José</v>
          </cell>
          <cell r="D36">
            <v>1269.255177984192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B37" t="str">
            <v>T160</v>
          </cell>
          <cell r="C37" t="str">
            <v>MAMITIANA Pascal</v>
          </cell>
          <cell r="D37">
            <v>865.40125771649446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B38" t="str">
            <v>T161</v>
          </cell>
          <cell r="C38" t="str">
            <v>RANDRIAMIRADOMANANA René</v>
          </cell>
          <cell r="D38">
            <v>951.94138348814397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B39" t="str">
            <v>T173</v>
          </cell>
          <cell r="C39" t="str">
            <v>RAKOTONDRAMAVO Michaël</v>
          </cell>
          <cell r="D39">
            <v>1269.255177984192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B40" t="str">
            <v>T176</v>
          </cell>
          <cell r="C40" t="str">
            <v>RAKOTOARIMANANA Jean Joseph</v>
          </cell>
          <cell r="D40">
            <v>787.39975768764782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B41" t="str">
            <v>T177</v>
          </cell>
          <cell r="C41" t="str">
            <v>RAKOTOMANANA Maminirina Jean Michel</v>
          </cell>
          <cell r="D41">
            <v>787.39975768764782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B42" t="str">
            <v>T178</v>
          </cell>
          <cell r="C42" t="str">
            <v xml:space="preserve">RANDRIANAVALOMANDRESY Olivier Gendratto </v>
          </cell>
          <cell r="D42">
            <v>1269.255177984192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B43" t="str">
            <v>T179</v>
          </cell>
          <cell r="C43" t="str">
            <v>RANDRIANJATOVO Tojosoa Fabien</v>
          </cell>
          <cell r="D43">
            <v>787.39975768764782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B44" t="str">
            <v>T182</v>
          </cell>
          <cell r="C44" t="str">
            <v>RANDRIANARISON Gérard</v>
          </cell>
          <cell r="D44">
            <v>787.39975768764782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B45" t="str">
            <v>T184</v>
          </cell>
          <cell r="C45" t="str">
            <v xml:space="preserve">RAFANOMEZANTSOA Jean Fidèle </v>
          </cell>
          <cell r="D45">
            <v>1269.255177984192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B46" t="str">
            <v>T185</v>
          </cell>
          <cell r="C46" t="str">
            <v>RANDRIARIJAONA Jean Lucia</v>
          </cell>
          <cell r="D46">
            <v>787.39975768764782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B47" t="str">
            <v>T186</v>
          </cell>
          <cell r="C47" t="str">
            <v>RANDRIAMANALINARIVO Jean Ruphin</v>
          </cell>
          <cell r="D47">
            <v>787.39975768764782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B48" t="str">
            <v>T187</v>
          </cell>
          <cell r="C48" t="str">
            <v>RAHARISON Herimampionona</v>
          </cell>
          <cell r="D48">
            <v>1730.8025154329889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B49" t="str">
            <v>T188</v>
          </cell>
          <cell r="C49" t="str">
            <v>NICOLAS Jean Arthur</v>
          </cell>
          <cell r="D49">
            <v>787.39975768764782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B50" t="str">
            <v>T191</v>
          </cell>
          <cell r="C50" t="str">
            <v>RATOJONIAINA Jeannot Paul</v>
          </cell>
          <cell r="D50">
            <v>561.64609053497941</v>
          </cell>
          <cell r="I50" t="str">
            <v>Gardien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B51" t="str">
            <v>T193</v>
          </cell>
          <cell r="C51" t="str">
            <v>RANDRIANASOLONIRINA Jenny Angelin</v>
          </cell>
          <cell r="D51">
            <v>561.64609053497941</v>
          </cell>
          <cell r="I51" t="str">
            <v>Gardien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B52" t="str">
            <v>T194</v>
          </cell>
          <cell r="C52" t="str">
            <v>RAMANANJATO Tolojanahary</v>
          </cell>
          <cell r="D52">
            <v>787.39975768764782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B53" t="str">
            <v>T197</v>
          </cell>
          <cell r="C53" t="str">
            <v>ANDRIANIRINTSOA Safiditiana José</v>
          </cell>
          <cell r="D53">
            <v>787.39975768764782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B54" t="str">
            <v>T200</v>
          </cell>
          <cell r="C54" t="str">
            <v>RAMANANTENASOA Nambinintsoa</v>
          </cell>
          <cell r="D54">
            <v>1326.9485951652916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</row>
        <row r="55">
          <cell r="B55" t="str">
            <v>T201</v>
          </cell>
          <cell r="C55" t="str">
            <v>TISTE</v>
          </cell>
          <cell r="D55">
            <v>561.64609053497941</v>
          </cell>
          <cell r="I55" t="str">
            <v>Gardien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B56" t="str">
            <v>T202</v>
          </cell>
          <cell r="C56" t="str">
            <v>RASOANAVALONA Sahondraniaina</v>
          </cell>
          <cell r="D56">
            <v>1326.9485951652916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</row>
        <row r="57">
          <cell r="B57" t="str">
            <v>T204</v>
          </cell>
          <cell r="C57" t="str">
            <v>ANDONIAINA Nathalie Alida</v>
          </cell>
          <cell r="D57">
            <v>767.89938268043613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</row>
        <row r="58">
          <cell r="B58" t="str">
            <v>T206</v>
          </cell>
          <cell r="C58" t="str">
            <v>SOATAHY</v>
          </cell>
          <cell r="D58">
            <v>4047.2509086713203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B59" t="str">
            <v>T210</v>
          </cell>
          <cell r="C59" t="str">
            <v>RAZANAJATOVO Jeannot</v>
          </cell>
          <cell r="D59">
            <v>767.89938268043613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B60" t="str">
            <v>T211</v>
          </cell>
          <cell r="C60" t="str">
            <v>RANDRIANANTENAINA Noël</v>
          </cell>
          <cell r="D60">
            <v>767.89938268043613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B61" t="str">
            <v>T212</v>
          </cell>
          <cell r="C61" t="str">
            <v>RAVELOSON Holiarimanga Dera</v>
          </cell>
          <cell r="D61">
            <v>767.89938268043613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B62" t="str">
            <v>T213</v>
          </cell>
          <cell r="C62" t="str">
            <v>RAZANDRAINIBE Hajaniaina Patrick</v>
          </cell>
          <cell r="D62">
            <v>767.89938268043613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B63" t="str">
            <v>T214</v>
          </cell>
          <cell r="C63" t="str">
            <v>HERINTSOA Andry Manoely Georges</v>
          </cell>
          <cell r="D63">
            <v>767.89938268043613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B64" t="str">
            <v>T215</v>
          </cell>
          <cell r="C64" t="str">
            <v>ANDRIAMPARANIAINA clermont</v>
          </cell>
          <cell r="D64">
            <v>767.89938268043613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B65" t="str">
            <v>T216</v>
          </cell>
          <cell r="C65" t="str">
            <v>RAZANADRAKOTO Hariniaina Patrick</v>
          </cell>
          <cell r="D65">
            <v>767.89938268043613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B66" t="str">
            <v>T218</v>
          </cell>
          <cell r="C66" t="str">
            <v>ANDRIAMANATENA Lalaina Angeline</v>
          </cell>
          <cell r="D66">
            <v>767.89938268043613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B67" t="str">
            <v>T219</v>
          </cell>
          <cell r="C67" t="str">
            <v>RAKOTONDRABE Jean Martial</v>
          </cell>
          <cell r="D67">
            <v>2575.4802976980322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B68" t="str">
            <v>T220</v>
          </cell>
          <cell r="C68" t="str">
            <v>RASOLONIAINA Honoré</v>
          </cell>
          <cell r="D68">
            <v>767.89938268043613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B69" t="str">
            <v>T222</v>
          </cell>
          <cell r="C69" t="str">
            <v>RABESON Tovo Harilaza</v>
          </cell>
          <cell r="D69">
            <v>2575.4802976980322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B70" t="str">
            <v>T223</v>
          </cell>
          <cell r="C70" t="str">
            <v>RANDRIANARISON Nico Faniry</v>
          </cell>
          <cell r="D70">
            <v>767.89938268043613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B71" t="str">
            <v>T226</v>
          </cell>
          <cell r="C71" t="str">
            <v>RAMAROSON Lalaina Niandrisoa</v>
          </cell>
          <cell r="D71">
            <v>1472.9475566837823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B72" t="str">
            <v>T228</v>
          </cell>
          <cell r="C72" t="str">
            <v>RANDRIAMAMPIONONA Fulgence Angelo</v>
          </cell>
          <cell r="D72">
            <v>767.89938268043613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B73" t="str">
            <v>T229</v>
          </cell>
          <cell r="C73" t="str">
            <v>RAZAFINOARISON Jean Baptiste</v>
          </cell>
          <cell r="D73">
            <v>767.89938268043613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B74" t="str">
            <v>T230</v>
          </cell>
          <cell r="C74" t="str">
            <v>RAZAFINDRAVAHATRA Tolojanahary Jean Parfait</v>
          </cell>
          <cell r="D74">
            <v>767.89938268043613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B75" t="str">
            <v>T231</v>
          </cell>
          <cell r="C75" t="str">
            <v>TODISOA FANIRY Jean Louiset</v>
          </cell>
          <cell r="D75">
            <v>767.89938268043613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B76" t="str">
            <v>T232</v>
          </cell>
          <cell r="C76" t="str">
            <v>RANDRIAMANANTENA Fanomezantsoa Heriniaina</v>
          </cell>
          <cell r="D76">
            <v>767.89938268043613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B77" t="str">
            <v>T233</v>
          </cell>
          <cell r="C77" t="str">
            <v>ANDRIAMIRIJA Joe Dassin</v>
          </cell>
          <cell r="D77">
            <v>767.89938268043613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B78" t="str">
            <v>T234</v>
          </cell>
          <cell r="C78" t="str">
            <v>RAZAFINDRAIBE Dimbiniaina Onja Fanantenana</v>
          </cell>
          <cell r="D78">
            <v>767.89938268043613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B79" t="str">
            <v>T235</v>
          </cell>
          <cell r="C79" t="str">
            <v>RASOLOFOMANDIMBY Florentin</v>
          </cell>
          <cell r="D79">
            <v>767.89938268043613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B80" t="str">
            <v>T236</v>
          </cell>
          <cell r="C80" t="str">
            <v>RAMANDANIAINA Alfred Lovasoa</v>
          </cell>
          <cell r="D80">
            <v>767.89938268043613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B81" t="str">
            <v>T237</v>
          </cell>
          <cell r="C81" t="str">
            <v>RANDRIANANTENAINA Toky Elysé</v>
          </cell>
          <cell r="D81">
            <v>767.89938268043613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B82" t="str">
            <v>T238</v>
          </cell>
          <cell r="C82" t="str">
            <v>RANDRIANANDRASANA Miora Lantoniaina Fabien</v>
          </cell>
          <cell r="D82">
            <v>767.89938268043613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B83" t="str">
            <v>T239</v>
          </cell>
          <cell r="C83" t="str">
            <v>PIRET Alcide Jean Ianna Mahefa</v>
          </cell>
          <cell r="D83">
            <v>767.89938268043613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B84" t="str">
            <v>T240</v>
          </cell>
          <cell r="C84" t="str">
            <v>RAFANOMEZANTSOA Andrianiaina</v>
          </cell>
          <cell r="D84">
            <v>776.5533952576011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B85" t="str">
            <v>T241</v>
          </cell>
          <cell r="C85" t="str">
            <v>RASOLOFOMANANA Daniel</v>
          </cell>
          <cell r="D85">
            <v>767.89938268043613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B86" t="str">
            <v>T242</v>
          </cell>
          <cell r="C86" t="str">
            <v>RAMANAMAHENINA Ryselle Tokinandrasana Njarasoa</v>
          </cell>
          <cell r="D86">
            <v>767.89938268043613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B87" t="str">
            <v>T243</v>
          </cell>
          <cell r="C87" t="str">
            <v>RAKOTOMAMONJY Jean Pierrot</v>
          </cell>
          <cell r="D87">
            <v>767.89938268043613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B88" t="str">
            <v>T244</v>
          </cell>
          <cell r="C88" t="str">
            <v>RANAIVOHARISOA Tsilavina Nadé</v>
          </cell>
          <cell r="D88">
            <v>767.89938268043613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B89" t="str">
            <v>T245</v>
          </cell>
          <cell r="C89" t="str">
            <v>RAKOTONDRAMANANA Frédéric</v>
          </cell>
          <cell r="D89">
            <v>767.89938268043613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B90" t="str">
            <v>T246</v>
          </cell>
          <cell r="C90" t="str">
            <v>RAZAFIARIJAONA Tahianarinala</v>
          </cell>
          <cell r="D90">
            <v>2575.4802976980322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B91" t="str">
            <v>T247</v>
          </cell>
          <cell r="C91" t="str">
            <v>RAKOTOHASIMANANA N. Avotra</v>
          </cell>
          <cell r="D91">
            <v>767.89938268043613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B92" t="str">
            <v>T248</v>
          </cell>
          <cell r="C92" t="str">
            <v>RATOVOARISOA Mamitiana</v>
          </cell>
          <cell r="D92">
            <v>767.89938268043613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B93" t="str">
            <v>T249</v>
          </cell>
          <cell r="C93" t="str">
            <v>RAKOTONIRINA Nomenjanahary Feno</v>
          </cell>
          <cell r="D93">
            <v>767.89938268043613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B94" t="str">
            <v>T250</v>
          </cell>
          <cell r="C94" t="str">
            <v>ANDRINIAINA Tojosoa Eric</v>
          </cell>
          <cell r="D94">
            <v>767.89938268043613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B95" t="str">
            <v>T252</v>
          </cell>
          <cell r="C95" t="str">
            <v>RANDRIANARISON Heritiana Mamitiana</v>
          </cell>
          <cell r="D95">
            <v>767.89938268043613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B96" t="str">
            <v>T253</v>
          </cell>
          <cell r="C96" t="str">
            <v>RANARISON Rojo Nambinintsoa</v>
          </cell>
          <cell r="D96">
            <v>767.89938268043613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B97" t="str">
            <v>T254</v>
          </cell>
          <cell r="C97" t="str">
            <v>RAKOTOMALALA Tolotra</v>
          </cell>
          <cell r="D97">
            <v>767.89938268043613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B98" t="str">
            <v>T255</v>
          </cell>
          <cell r="C98" t="str">
            <v>RASAMOELINA TAFITASOA Hanitriniala</v>
          </cell>
          <cell r="D98">
            <v>767.89938268043613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110">
          <cell r="E110">
            <v>4</v>
          </cell>
          <cell r="F110">
            <v>5</v>
          </cell>
          <cell r="G110">
            <v>6</v>
          </cell>
          <cell r="H110">
            <v>7</v>
          </cell>
          <cell r="I110">
            <v>8</v>
          </cell>
          <cell r="J110">
            <v>9</v>
          </cell>
          <cell r="K110">
            <v>10</v>
          </cell>
          <cell r="L110">
            <v>11</v>
          </cell>
          <cell r="M110">
            <v>12</v>
          </cell>
          <cell r="N110">
            <v>13</v>
          </cell>
          <cell r="O110">
            <v>14</v>
          </cell>
          <cell r="P110">
            <v>15</v>
          </cell>
          <cell r="Q110">
            <v>16</v>
          </cell>
          <cell r="R110">
            <v>17</v>
          </cell>
          <cell r="S110">
            <v>18</v>
          </cell>
          <cell r="T110">
            <v>19</v>
          </cell>
        </row>
      </sheetData>
      <sheetData sheetId="8">
        <row r="2">
          <cell r="A2" t="str">
            <v>T002</v>
          </cell>
          <cell r="B2" t="str">
            <v>RATSIMANDRESY Dominique Aimé</v>
          </cell>
          <cell r="C2">
            <v>380000</v>
          </cell>
          <cell r="D2">
            <v>405864.91475779709</v>
          </cell>
          <cell r="E2">
            <v>403355.81675114646</v>
          </cell>
          <cell r="F2">
            <v>544063.19262604997</v>
          </cell>
          <cell r="G2">
            <v>366759.56872908201</v>
          </cell>
          <cell r="H2">
            <v>577018.10081348068</v>
          </cell>
          <cell r="I2">
            <v>512091.73026843549</v>
          </cell>
          <cell r="J2">
            <v>455911.70599434606</v>
          </cell>
          <cell r="K2">
            <v>511274.00534245797</v>
          </cell>
          <cell r="L2">
            <v>482114.9082919847</v>
          </cell>
          <cell r="M2">
            <v>537723.83315063757</v>
          </cell>
          <cell r="N2">
            <v>628146.67974384117</v>
          </cell>
          <cell r="O2">
            <v>730123.62545433559</v>
          </cell>
          <cell r="P2">
            <v>512870.67349363287</v>
          </cell>
          <cell r="Q2">
            <v>17095.689116454429</v>
          </cell>
          <cell r="S2">
            <v>0</v>
          </cell>
          <cell r="U2">
            <v>0</v>
          </cell>
          <cell r="W2">
            <v>0</v>
          </cell>
        </row>
        <row r="3">
          <cell r="A3" t="str">
            <v>T006</v>
          </cell>
          <cell r="B3" t="str">
            <v>TSIRINONY Dieu Donné</v>
          </cell>
          <cell r="C3">
            <v>400000</v>
          </cell>
          <cell r="D3">
            <v>411266.25953777024</v>
          </cell>
          <cell r="E3">
            <v>427986.29300580965</v>
          </cell>
          <cell r="F3">
            <v>400000</v>
          </cell>
          <cell r="G3">
            <v>414100.27115906077</v>
          </cell>
          <cell r="H3">
            <v>495597.99226908211</v>
          </cell>
          <cell r="I3">
            <v>516261.46656666475</v>
          </cell>
          <cell r="J3">
            <v>461511.43618482316</v>
          </cell>
          <cell r="K3">
            <v>459890.70961731381</v>
          </cell>
          <cell r="L3">
            <v>460418.32880763267</v>
          </cell>
          <cell r="M3">
            <v>444596.70494447264</v>
          </cell>
          <cell r="N3">
            <v>539055.0943328063</v>
          </cell>
          <cell r="O3">
            <v>625927.42168118618</v>
          </cell>
          <cell r="P3">
            <v>471384.33150888514</v>
          </cell>
          <cell r="Q3">
            <v>15712.811050296172</v>
          </cell>
          <cell r="S3">
            <v>0</v>
          </cell>
          <cell r="U3">
            <v>0</v>
          </cell>
          <cell r="W3">
            <v>0</v>
          </cell>
        </row>
        <row r="4">
          <cell r="A4" t="str">
            <v>T007</v>
          </cell>
          <cell r="B4" t="str">
            <v>EUGENE</v>
          </cell>
          <cell r="C4">
            <v>472000</v>
          </cell>
          <cell r="D4">
            <v>523237.25975599291</v>
          </cell>
          <cell r="E4">
            <v>492983.70964138501</v>
          </cell>
          <cell r="F4">
            <v>488340.73732187157</v>
          </cell>
          <cell r="G4">
            <v>630369.72468422132</v>
          </cell>
          <cell r="H4">
            <v>694822.01580799627</v>
          </cell>
          <cell r="I4">
            <v>688850.74712975253</v>
          </cell>
          <cell r="J4">
            <v>641470.0282697744</v>
          </cell>
          <cell r="K4">
            <v>894299.20250891463</v>
          </cell>
          <cell r="L4">
            <v>624113.90060889127</v>
          </cell>
          <cell r="M4">
            <v>755069.28979403444</v>
          </cell>
          <cell r="N4">
            <v>1187229.9082674668</v>
          </cell>
          <cell r="O4">
            <v>836338.36035308358</v>
          </cell>
          <cell r="P4">
            <v>704760.40701194864</v>
          </cell>
          <cell r="Q4">
            <v>23492.013567064954</v>
          </cell>
          <cell r="S4">
            <v>0</v>
          </cell>
          <cell r="U4">
            <v>0</v>
          </cell>
          <cell r="W4">
            <v>0</v>
          </cell>
        </row>
        <row r="5">
          <cell r="A5" t="str">
            <v>T008</v>
          </cell>
          <cell r="B5" t="str">
            <v>RAMANANA Louis de Gonzague</v>
          </cell>
          <cell r="C5">
            <v>693857</v>
          </cell>
          <cell r="P5">
            <v>0</v>
          </cell>
          <cell r="Q5">
            <v>23128.566666666666</v>
          </cell>
          <cell r="S5">
            <v>0</v>
          </cell>
          <cell r="U5">
            <v>0</v>
          </cell>
          <cell r="W5">
            <v>0</v>
          </cell>
        </row>
        <row r="6">
          <cell r="A6" t="str">
            <v>T009</v>
          </cell>
          <cell r="B6" t="str">
            <v>RAKOTOARISOA Jean Michel</v>
          </cell>
          <cell r="C6">
            <v>275000</v>
          </cell>
          <cell r="D6">
            <v>342615.71376372618</v>
          </cell>
          <cell r="E6">
            <v>307757.10434091126</v>
          </cell>
          <cell r="F6">
            <v>293602.61800729384</v>
          </cell>
          <cell r="G6">
            <v>344557.0472279503</v>
          </cell>
          <cell r="H6">
            <v>325505.42892298783</v>
          </cell>
          <cell r="I6">
            <v>360593.92488317081</v>
          </cell>
          <cell r="J6">
            <v>352252.85047588986</v>
          </cell>
          <cell r="K6">
            <v>336031.71080971009</v>
          </cell>
          <cell r="L6">
            <v>340221.36478411546</v>
          </cell>
          <cell r="M6">
            <v>300967.74149858358</v>
          </cell>
          <cell r="N6">
            <v>402053.74141810415</v>
          </cell>
          <cell r="O6">
            <v>458509.36364160851</v>
          </cell>
          <cell r="P6">
            <v>347055.71748117096</v>
          </cell>
          <cell r="Q6">
            <v>11568.523916039032</v>
          </cell>
          <cell r="S6">
            <v>0</v>
          </cell>
          <cell r="U6">
            <v>0</v>
          </cell>
          <cell r="W6">
            <v>0</v>
          </cell>
        </row>
        <row r="7">
          <cell r="A7" t="str">
            <v>T011</v>
          </cell>
          <cell r="B7" t="str">
            <v>RAZAFINDRAZANANY Romaine</v>
          </cell>
          <cell r="C7">
            <v>170000</v>
          </cell>
          <cell r="D7">
            <v>188918.99396801606</v>
          </cell>
          <cell r="E7">
            <v>189971.98038941497</v>
          </cell>
          <cell r="F7">
            <v>181933.33333333334</v>
          </cell>
          <cell r="G7">
            <v>186000</v>
          </cell>
          <cell r="H7">
            <v>218985.2189465182</v>
          </cell>
          <cell r="I7">
            <v>250368.16817895786</v>
          </cell>
          <cell r="J7">
            <v>201331.0332891017</v>
          </cell>
          <cell r="K7">
            <v>219402.03681598103</v>
          </cell>
          <cell r="L7">
            <v>210931.14212087751</v>
          </cell>
          <cell r="M7">
            <v>203292.6094732591</v>
          </cell>
          <cell r="N7">
            <v>237462.53460832578</v>
          </cell>
          <cell r="O7">
            <v>274770.83020827326</v>
          </cell>
          <cell r="P7">
            <v>213613.99011100491</v>
          </cell>
          <cell r="Q7">
            <v>7120.4663370334974</v>
          </cell>
          <cell r="S7">
            <v>0</v>
          </cell>
          <cell r="U7">
            <v>0</v>
          </cell>
          <cell r="W7">
            <v>0</v>
          </cell>
        </row>
        <row r="8">
          <cell r="A8" t="str">
            <v>T014</v>
          </cell>
          <cell r="B8" t="str">
            <v>NOAVISON Tsimahaboa</v>
          </cell>
          <cell r="C8">
            <v>300000</v>
          </cell>
          <cell r="D8">
            <v>358663.28967864765</v>
          </cell>
          <cell r="E8">
            <v>326499.9204039342</v>
          </cell>
          <cell r="F8">
            <v>319823.57861201686</v>
          </cell>
          <cell r="G8">
            <v>326781.04346538987</v>
          </cell>
          <cell r="H8">
            <v>377012.14116426726</v>
          </cell>
          <cell r="I8">
            <v>329846.4201234639</v>
          </cell>
          <cell r="J8">
            <v>333296.46339352679</v>
          </cell>
          <cell r="K8">
            <v>349867.22149565007</v>
          </cell>
          <cell r="L8">
            <v>360712.47027146921</v>
          </cell>
          <cell r="M8">
            <v>373561.33991797175</v>
          </cell>
          <cell r="N8">
            <v>409721.69526721729</v>
          </cell>
          <cell r="O8">
            <v>481033.7076638256</v>
          </cell>
          <cell r="P8">
            <v>362234.94095478166</v>
          </cell>
          <cell r="Q8">
            <v>12074.498031826055</v>
          </cell>
          <cell r="S8">
            <v>0</v>
          </cell>
          <cell r="U8">
            <v>0</v>
          </cell>
          <cell r="W8">
            <v>0</v>
          </cell>
        </row>
        <row r="9">
          <cell r="A9" t="str">
            <v>T016</v>
          </cell>
          <cell r="B9" t="str">
            <v>RAZAFINDRASATA José Gabriel</v>
          </cell>
          <cell r="C9">
            <v>300000</v>
          </cell>
          <cell r="D9">
            <v>671827.88899786538</v>
          </cell>
          <cell r="E9">
            <v>487493.25984644855</v>
          </cell>
          <cell r="F9">
            <v>627757.82611204055</v>
          </cell>
          <cell r="G9">
            <v>465639.75302408694</v>
          </cell>
          <cell r="H9">
            <v>574364.55316448386</v>
          </cell>
          <cell r="I9">
            <v>567246.13165637793</v>
          </cell>
          <cell r="J9">
            <v>502005.44625858188</v>
          </cell>
          <cell r="K9">
            <v>353672.70987776772</v>
          </cell>
          <cell r="L9">
            <v>412932.79549029202</v>
          </cell>
          <cell r="M9">
            <v>494795.6960710783</v>
          </cell>
          <cell r="N9">
            <v>618585.56510702125</v>
          </cell>
          <cell r="O9">
            <v>622716.36762245419</v>
          </cell>
          <cell r="P9">
            <v>533253.1661023749</v>
          </cell>
          <cell r="Q9">
            <v>17775.105536745828</v>
          </cell>
          <cell r="S9">
            <v>0</v>
          </cell>
          <cell r="U9">
            <v>0</v>
          </cell>
          <cell r="W9">
            <v>0</v>
          </cell>
        </row>
        <row r="10">
          <cell r="A10" t="str">
            <v>T018</v>
          </cell>
          <cell r="B10" t="str">
            <v>RABASOAMALALA Fidelia</v>
          </cell>
          <cell r="C10">
            <v>170000</v>
          </cell>
          <cell r="D10">
            <v>183266.86282428511</v>
          </cell>
          <cell r="E10">
            <v>85000</v>
          </cell>
          <cell r="F10">
            <v>85000</v>
          </cell>
          <cell r="G10">
            <v>85000</v>
          </cell>
          <cell r="H10">
            <v>167249.76542427141</v>
          </cell>
          <cell r="I10">
            <v>195518.45593128673</v>
          </cell>
          <cell r="J10">
            <v>222808.54251757052</v>
          </cell>
          <cell r="K10">
            <v>234063.25983680494</v>
          </cell>
          <cell r="L10">
            <v>203907.94988878607</v>
          </cell>
          <cell r="M10">
            <v>229362.61466566665</v>
          </cell>
          <cell r="N10">
            <v>252346.56062359831</v>
          </cell>
          <cell r="O10">
            <v>259304.86344415109</v>
          </cell>
          <cell r="P10">
            <v>183569.07292970174</v>
          </cell>
          <cell r="Q10">
            <v>6118.9690976567244</v>
          </cell>
          <cell r="S10">
            <v>0</v>
          </cell>
          <cell r="U10">
            <v>0</v>
          </cell>
          <cell r="W10">
            <v>0</v>
          </cell>
        </row>
        <row r="11">
          <cell r="A11" t="str">
            <v>T019</v>
          </cell>
          <cell r="B11" t="str">
            <v>FOMBEA Joeline</v>
          </cell>
          <cell r="C11">
            <v>170000</v>
          </cell>
          <cell r="D11">
            <v>186000</v>
          </cell>
          <cell r="E11">
            <v>188939.93214142276</v>
          </cell>
          <cell r="F11">
            <v>188400</v>
          </cell>
          <cell r="G11">
            <v>186000</v>
          </cell>
          <cell r="H11">
            <v>219645.23112651048</v>
          </cell>
          <cell r="I11">
            <v>250141.75948189641</v>
          </cell>
          <cell r="J11">
            <v>194246.30473662954</v>
          </cell>
          <cell r="K11">
            <v>219298.42651283223</v>
          </cell>
          <cell r="L11">
            <v>193191.75533306121</v>
          </cell>
          <cell r="M11">
            <v>202892.6094732591</v>
          </cell>
          <cell r="N11">
            <v>237077.8284197773</v>
          </cell>
          <cell r="O11">
            <v>280149.795188369</v>
          </cell>
          <cell r="P11">
            <v>212165.30353447981</v>
          </cell>
          <cell r="Q11">
            <v>7072.17678448266</v>
          </cell>
          <cell r="S11">
            <v>0</v>
          </cell>
          <cell r="U11">
            <v>0</v>
          </cell>
          <cell r="W11">
            <v>0</v>
          </cell>
        </row>
        <row r="12">
          <cell r="A12" t="str">
            <v>T022</v>
          </cell>
          <cell r="B12" t="str">
            <v>RAZAFIMAHEFASOLO Jean Eddy</v>
          </cell>
          <cell r="C12">
            <v>380000</v>
          </cell>
          <cell r="D12">
            <v>369476.18992672936</v>
          </cell>
          <cell r="E12">
            <v>379602.44748906256</v>
          </cell>
          <cell r="F12">
            <v>336530.70403519616</v>
          </cell>
          <cell r="G12">
            <v>436718.85997807648</v>
          </cell>
          <cell r="H12">
            <v>359170.57212371414</v>
          </cell>
          <cell r="I12">
            <v>403492.0671551376</v>
          </cell>
          <cell r="J12">
            <v>488849.8330753062</v>
          </cell>
          <cell r="K12">
            <v>401883.31493019674</v>
          </cell>
          <cell r="L12">
            <v>405983.35941906809</v>
          </cell>
          <cell r="M12">
            <v>461283.52811802982</v>
          </cell>
          <cell r="N12">
            <v>466685.51318294578</v>
          </cell>
          <cell r="O12">
            <v>765700.68970287882</v>
          </cell>
          <cell r="P12">
            <v>439614.75659469515</v>
          </cell>
          <cell r="Q12">
            <v>14653.825219823171</v>
          </cell>
          <cell r="S12">
            <v>0</v>
          </cell>
          <cell r="U12">
            <v>0</v>
          </cell>
          <cell r="W12">
            <v>0</v>
          </cell>
        </row>
        <row r="13">
          <cell r="A13" t="str">
            <v>T025</v>
          </cell>
          <cell r="B13" t="str">
            <v>RAKOTOZAFY Pierre</v>
          </cell>
          <cell r="C13">
            <v>220000</v>
          </cell>
          <cell r="D13">
            <v>264300.63462758902</v>
          </cell>
          <cell r="E13">
            <v>246440.92607385316</v>
          </cell>
          <cell r="F13">
            <v>256814.35412219467</v>
          </cell>
          <cell r="G13">
            <v>242716.95224908169</v>
          </cell>
          <cell r="H13">
            <v>295985.7381872728</v>
          </cell>
          <cell r="I13">
            <v>348427.66316488263</v>
          </cell>
          <cell r="J13">
            <v>256584.70966505355</v>
          </cell>
          <cell r="K13">
            <v>295738.97819551779</v>
          </cell>
          <cell r="L13">
            <v>283085.2459918051</v>
          </cell>
          <cell r="M13">
            <v>273672.09696645942</v>
          </cell>
          <cell r="N13">
            <v>363111.03675070673</v>
          </cell>
          <cell r="O13">
            <v>414980.25731264066</v>
          </cell>
          <cell r="P13">
            <v>295154.88277558808</v>
          </cell>
          <cell r="Q13">
            <v>9838.4960925196028</v>
          </cell>
          <cell r="S13">
            <v>0</v>
          </cell>
          <cell r="U13">
            <v>0</v>
          </cell>
          <cell r="W13">
            <v>0</v>
          </cell>
        </row>
        <row r="14">
          <cell r="A14" t="str">
            <v>T028</v>
          </cell>
          <cell r="B14" t="str">
            <v>RAZAFINIAINA Tolotra Franca</v>
          </cell>
          <cell r="C14">
            <v>220000</v>
          </cell>
          <cell r="D14">
            <v>241362.60312698322</v>
          </cell>
          <cell r="E14">
            <v>242383.23341875867</v>
          </cell>
          <cell r="F14">
            <v>256056.40108463625</v>
          </cell>
          <cell r="G14">
            <v>336468.26285120868</v>
          </cell>
          <cell r="H14">
            <v>280735.4526048578</v>
          </cell>
          <cell r="I14">
            <v>354896.63405731891</v>
          </cell>
          <cell r="J14">
            <v>283420.11192522931</v>
          </cell>
          <cell r="K14">
            <v>308524.47082943434</v>
          </cell>
          <cell r="L14">
            <v>273800.58403441898</v>
          </cell>
          <cell r="M14">
            <v>325617.05417411873</v>
          </cell>
          <cell r="N14">
            <v>355882.99774995673</v>
          </cell>
          <cell r="O14">
            <v>376560.2723129291</v>
          </cell>
          <cell r="P14">
            <v>302975.67318082089</v>
          </cell>
          <cell r="Q14">
            <v>10099.189106027363</v>
          </cell>
          <cell r="S14">
            <v>0</v>
          </cell>
          <cell r="U14">
            <v>0</v>
          </cell>
          <cell r="W14">
            <v>0</v>
          </cell>
        </row>
        <row r="15">
          <cell r="A15" t="str">
            <v>T032</v>
          </cell>
          <cell r="B15" t="str">
            <v>DEHAAS Pierre Herman Joseph</v>
          </cell>
          <cell r="C15">
            <v>3200000</v>
          </cell>
          <cell r="D15">
            <v>3200000</v>
          </cell>
          <cell r="E15">
            <v>3200000</v>
          </cell>
          <cell r="F15">
            <v>3200000</v>
          </cell>
          <cell r="G15">
            <v>3200000</v>
          </cell>
          <cell r="H15">
            <v>3200000</v>
          </cell>
          <cell r="I15">
            <v>3200000</v>
          </cell>
          <cell r="J15">
            <v>3200000</v>
          </cell>
          <cell r="K15">
            <v>3200000</v>
          </cell>
          <cell r="L15">
            <v>3200000</v>
          </cell>
          <cell r="M15">
            <v>3200000</v>
          </cell>
          <cell r="N15">
            <v>3200000</v>
          </cell>
          <cell r="O15">
            <v>3200000</v>
          </cell>
          <cell r="P15">
            <v>3200000</v>
          </cell>
          <cell r="Q15">
            <v>106666.66666666667</v>
          </cell>
          <cell r="S15">
            <v>0</v>
          </cell>
          <cell r="U15">
            <v>0</v>
          </cell>
          <cell r="W15">
            <v>0</v>
          </cell>
        </row>
        <row r="16">
          <cell r="A16" t="str">
            <v>T036</v>
          </cell>
          <cell r="B16" t="str">
            <v>RAKOTONIRINA Fanomezantsoa</v>
          </cell>
          <cell r="C16">
            <v>220000</v>
          </cell>
          <cell r="D16">
            <v>249969.12441234372</v>
          </cell>
          <cell r="E16">
            <v>244830.61755651043</v>
          </cell>
          <cell r="F16">
            <v>242853.70913174897</v>
          </cell>
          <cell r="G16">
            <v>250050.28558241506</v>
          </cell>
          <cell r="H16">
            <v>285758.13381026557</v>
          </cell>
          <cell r="I16">
            <v>305586.91513298335</v>
          </cell>
          <cell r="J16">
            <v>288893.81651828205</v>
          </cell>
          <cell r="K16">
            <v>303893.11768801801</v>
          </cell>
          <cell r="L16">
            <v>281037.27829637041</v>
          </cell>
          <cell r="M16">
            <v>271285.84970048477</v>
          </cell>
          <cell r="N16">
            <v>340122.65620492701</v>
          </cell>
          <cell r="O16">
            <v>327170.9686724745</v>
          </cell>
          <cell r="P16">
            <v>282621.03939223534</v>
          </cell>
          <cell r="Q16">
            <v>9420.7013130745108</v>
          </cell>
          <cell r="S16">
            <v>0</v>
          </cell>
          <cell r="U16">
            <v>0</v>
          </cell>
          <cell r="W16">
            <v>0</v>
          </cell>
        </row>
        <row r="17">
          <cell r="A17" t="str">
            <v>T050</v>
          </cell>
          <cell r="B17" t="str">
            <v>RAMANALINIRIANA Jean Victor</v>
          </cell>
          <cell r="C17">
            <v>380000</v>
          </cell>
          <cell r="D17">
            <v>359793.99988461315</v>
          </cell>
          <cell r="E17">
            <v>353579.71376819187</v>
          </cell>
          <cell r="F17">
            <v>380080.60924248543</v>
          </cell>
          <cell r="G17">
            <v>424405.49257952895</v>
          </cell>
          <cell r="H17">
            <v>457296.16102828638</v>
          </cell>
          <cell r="I17">
            <v>581788.91886322922</v>
          </cell>
          <cell r="J17">
            <v>431364.18343788898</v>
          </cell>
          <cell r="K17">
            <v>518698.64730979054</v>
          </cell>
          <cell r="L17">
            <v>473294.43972440355</v>
          </cell>
          <cell r="M17">
            <v>518487.33108201943</v>
          </cell>
          <cell r="N17">
            <v>567933.99873074482</v>
          </cell>
          <cell r="O17">
            <v>698444.17008019378</v>
          </cell>
          <cell r="P17">
            <v>480430.638810948</v>
          </cell>
          <cell r="Q17">
            <v>16014.3546270316</v>
          </cell>
          <cell r="S17">
            <v>0</v>
          </cell>
          <cell r="U17">
            <v>0</v>
          </cell>
          <cell r="W17">
            <v>0</v>
          </cell>
        </row>
        <row r="18">
          <cell r="A18" t="str">
            <v>T053</v>
          </cell>
          <cell r="B18" t="str">
            <v>RAMANATSOA Eddy Christ</v>
          </cell>
          <cell r="C18">
            <v>150000</v>
          </cell>
          <cell r="D18">
            <v>201900.69232100618</v>
          </cell>
          <cell r="E18">
            <v>172896.30193189264</v>
          </cell>
          <cell r="F18">
            <v>173080.0900017308</v>
          </cell>
          <cell r="G18">
            <v>197175.58414584896</v>
          </cell>
          <cell r="H18">
            <v>202649.24710090578</v>
          </cell>
          <cell r="I18">
            <v>255771.23622175702</v>
          </cell>
          <cell r="J18">
            <v>221535.63722379276</v>
          </cell>
          <cell r="K18">
            <v>196842.66770757455</v>
          </cell>
          <cell r="L18">
            <v>200304.96227718936</v>
          </cell>
          <cell r="M18">
            <v>216949.01055789535</v>
          </cell>
          <cell r="N18">
            <v>239297.50187503605</v>
          </cell>
          <cell r="O18">
            <v>273697.20186926669</v>
          </cell>
          <cell r="P18">
            <v>212675.01110282468</v>
          </cell>
          <cell r="Q18">
            <v>7089.1670367608222</v>
          </cell>
          <cell r="S18">
            <v>0</v>
          </cell>
          <cell r="U18">
            <v>0</v>
          </cell>
          <cell r="W18">
            <v>0</v>
          </cell>
        </row>
        <row r="19">
          <cell r="A19" t="str">
            <v>T057</v>
          </cell>
          <cell r="B19" t="str">
            <v>RAKOTOMALALA Jean Jacques</v>
          </cell>
          <cell r="C19">
            <v>220000</v>
          </cell>
          <cell r="D19">
            <v>242608.50785592032</v>
          </cell>
          <cell r="E19">
            <v>244856.33471090562</v>
          </cell>
          <cell r="F19">
            <v>242593.52959087823</v>
          </cell>
          <cell r="G19">
            <v>248375.23798534588</v>
          </cell>
          <cell r="H19">
            <v>274345.05115496076</v>
          </cell>
          <cell r="I19">
            <v>348242.86895450432</v>
          </cell>
          <cell r="J19">
            <v>259216.91143303298</v>
          </cell>
          <cell r="K19">
            <v>284861.54503590177</v>
          </cell>
          <cell r="L19">
            <v>284289.93894795049</v>
          </cell>
          <cell r="M19">
            <v>257629.21516287408</v>
          </cell>
          <cell r="N19">
            <v>309809.03478913056</v>
          </cell>
          <cell r="O19">
            <v>376507.49437489186</v>
          </cell>
          <cell r="P19">
            <v>281111.30583302473</v>
          </cell>
          <cell r="Q19">
            <v>9370.3768611008236</v>
          </cell>
          <cell r="S19">
            <v>0</v>
          </cell>
          <cell r="U19">
            <v>0</v>
          </cell>
          <cell r="W19">
            <v>0</v>
          </cell>
        </row>
        <row r="20">
          <cell r="A20" t="str">
            <v>T062</v>
          </cell>
          <cell r="B20" t="str">
            <v>RANDRIANARISON Philippe Joseph</v>
          </cell>
          <cell r="C20">
            <v>150000</v>
          </cell>
          <cell r="D20">
            <v>168293.80949633647</v>
          </cell>
          <cell r="E20">
            <v>171702.54874062311</v>
          </cell>
          <cell r="F20">
            <v>164200.08654012578</v>
          </cell>
          <cell r="G20">
            <v>167275.15144522011</v>
          </cell>
          <cell r="H20">
            <v>204314.64835862227</v>
          </cell>
          <cell r="I20">
            <v>239238.11804073153</v>
          </cell>
          <cell r="J20">
            <v>184058.20111925231</v>
          </cell>
          <cell r="K20">
            <v>175850.25147190437</v>
          </cell>
          <cell r="L20">
            <v>188326.44267977547</v>
          </cell>
          <cell r="M20">
            <v>135000</v>
          </cell>
          <cell r="N20">
            <v>138512.64062770439</v>
          </cell>
          <cell r="O20">
            <v>227007.81168868631</v>
          </cell>
          <cell r="P20">
            <v>180314.97585074851</v>
          </cell>
          <cell r="Q20">
            <v>6010.4991950249505</v>
          </cell>
          <cell r="S20">
            <v>0</v>
          </cell>
          <cell r="U20">
            <v>0</v>
          </cell>
          <cell r="W20">
            <v>0</v>
          </cell>
        </row>
        <row r="21">
          <cell r="A21" t="str">
            <v>T071</v>
          </cell>
          <cell r="B21" t="str">
            <v>RANDRIAMIANDRISOA Rémi</v>
          </cell>
          <cell r="C21">
            <v>220000</v>
          </cell>
          <cell r="D21">
            <v>250811.46352289466</v>
          </cell>
          <cell r="E21">
            <v>251565.6311812721</v>
          </cell>
          <cell r="F21">
            <v>251814.03680840015</v>
          </cell>
          <cell r="G21">
            <v>239841.71426373583</v>
          </cell>
          <cell r="H21">
            <v>289658.00688474777</v>
          </cell>
          <cell r="I21">
            <v>315454.63181984267</v>
          </cell>
          <cell r="J21">
            <v>259075.42837362256</v>
          </cell>
          <cell r="K21">
            <v>271133.35256447236</v>
          </cell>
          <cell r="L21">
            <v>269729.33600859984</v>
          </cell>
          <cell r="M21">
            <v>254841.670032116</v>
          </cell>
          <cell r="N21">
            <v>287689.62095424911</v>
          </cell>
          <cell r="O21">
            <v>322907.37898805749</v>
          </cell>
          <cell r="P21">
            <v>272043.52261683421</v>
          </cell>
          <cell r="Q21">
            <v>9068.1174205611405</v>
          </cell>
          <cell r="S21">
            <v>0</v>
          </cell>
          <cell r="U21">
            <v>0</v>
          </cell>
          <cell r="W21">
            <v>0</v>
          </cell>
        </row>
        <row r="22">
          <cell r="A22" t="str">
            <v>T093</v>
          </cell>
          <cell r="B22" t="str">
            <v xml:space="preserve">RAFIDIMANANTSOA Jean Bruno </v>
          </cell>
          <cell r="C22">
            <v>220000</v>
          </cell>
          <cell r="D22">
            <v>180610.89140987975</v>
          </cell>
          <cell r="E22">
            <v>185054.43407147122</v>
          </cell>
          <cell r="F22">
            <v>185972.35736064822</v>
          </cell>
          <cell r="G22">
            <v>184425.14279120753</v>
          </cell>
          <cell r="H22">
            <v>223766.47753926221</v>
          </cell>
          <cell r="I22">
            <v>251667.13404234778</v>
          </cell>
          <cell r="J22">
            <v>195364.13142544363</v>
          </cell>
          <cell r="K22">
            <v>245173.17834153806</v>
          </cell>
          <cell r="L22">
            <v>214050.91998962831</v>
          </cell>
          <cell r="M22">
            <v>204953.84331061249</v>
          </cell>
          <cell r="N22">
            <v>239793.37679570762</v>
          </cell>
          <cell r="O22">
            <v>339008.61939652683</v>
          </cell>
          <cell r="P22">
            <v>220820.04220618945</v>
          </cell>
          <cell r="Q22">
            <v>7360.6680735396485</v>
          </cell>
          <cell r="S22">
            <v>0</v>
          </cell>
          <cell r="U22">
            <v>0</v>
          </cell>
          <cell r="W22">
            <v>0</v>
          </cell>
        </row>
        <row r="23">
          <cell r="A23" t="str">
            <v>T099</v>
          </cell>
          <cell r="B23" t="str">
            <v xml:space="preserve">RAVELONARIVO Henri Bernard </v>
          </cell>
          <cell r="C23">
            <v>165000</v>
          </cell>
          <cell r="D23">
            <v>187368.85709340565</v>
          </cell>
          <cell r="E23">
            <v>179703.42073549004</v>
          </cell>
          <cell r="F23">
            <v>175131.33329487106</v>
          </cell>
          <cell r="G23">
            <v>190900.19038827671</v>
          </cell>
          <cell r="H23">
            <v>224176.70359910838</v>
          </cell>
          <cell r="I23">
            <v>251704.29441992083</v>
          </cell>
          <cell r="J23">
            <v>202453.70402486477</v>
          </cell>
          <cell r="K23">
            <v>208682.30877975115</v>
          </cell>
          <cell r="L23">
            <v>210880.91046614971</v>
          </cell>
          <cell r="M23">
            <v>202748.53765646805</v>
          </cell>
          <cell r="N23">
            <v>225333.01794265275</v>
          </cell>
          <cell r="O23">
            <v>299128.62170426355</v>
          </cell>
          <cell r="P23">
            <v>213184.32500876856</v>
          </cell>
          <cell r="Q23">
            <v>7106.1441669589522</v>
          </cell>
          <cell r="S23">
            <v>0</v>
          </cell>
          <cell r="U23">
            <v>0</v>
          </cell>
          <cell r="W23">
            <v>0</v>
          </cell>
        </row>
        <row r="24">
          <cell r="A24" t="str">
            <v>T101</v>
          </cell>
          <cell r="B24" t="str">
            <v>RANDRIANARIMALALA Jean Jacques</v>
          </cell>
          <cell r="C24">
            <v>150000</v>
          </cell>
          <cell r="D24">
            <v>169656.32031385219</v>
          </cell>
          <cell r="E24">
            <v>163315.89880397549</v>
          </cell>
          <cell r="F24">
            <v>171300.08654012578</v>
          </cell>
          <cell r="G24">
            <v>173676.59309460968</v>
          </cell>
          <cell r="H24">
            <v>201156.42993134481</v>
          </cell>
          <cell r="I24">
            <v>225370.96865761871</v>
          </cell>
          <cell r="J24">
            <v>190013.89257485722</v>
          </cell>
          <cell r="K24">
            <v>205477.88292515953</v>
          </cell>
          <cell r="L24">
            <v>195692.02840782751</v>
          </cell>
          <cell r="M24">
            <v>185709.0174811054</v>
          </cell>
          <cell r="N24">
            <v>212664.28200542319</v>
          </cell>
          <cell r="O24">
            <v>242757.61841573875</v>
          </cell>
          <cell r="P24">
            <v>194732.58492930318</v>
          </cell>
          <cell r="Q24">
            <v>6491.0861643101061</v>
          </cell>
          <cell r="S24">
            <v>0</v>
          </cell>
          <cell r="U24">
            <v>0</v>
          </cell>
          <cell r="W24">
            <v>0</v>
          </cell>
        </row>
        <row r="25">
          <cell r="A25" t="str">
            <v>T102</v>
          </cell>
          <cell r="B25" t="str">
            <v>RABEARINORO John Eddy</v>
          </cell>
          <cell r="C25">
            <v>380000</v>
          </cell>
          <cell r="D25">
            <v>333113.34198930417</v>
          </cell>
          <cell r="E25">
            <v>378288.12013808929</v>
          </cell>
          <cell r="F25">
            <v>378590.65342779976</v>
          </cell>
          <cell r="G25">
            <v>392263.42814284889</v>
          </cell>
          <cell r="H25">
            <v>393900.95194138348</v>
          </cell>
          <cell r="I25">
            <v>487780.39262305829</v>
          </cell>
          <cell r="J25">
            <v>436111.32521779265</v>
          </cell>
          <cell r="K25">
            <v>519605.42737770459</v>
          </cell>
          <cell r="L25">
            <v>471745.20213528996</v>
          </cell>
          <cell r="M25">
            <v>509880.99001903879</v>
          </cell>
          <cell r="N25">
            <v>541970.67011656309</v>
          </cell>
          <cell r="O25">
            <v>582765.03778918821</v>
          </cell>
          <cell r="P25">
            <v>452167.96174317185</v>
          </cell>
          <cell r="Q25">
            <v>15072.265391439061</v>
          </cell>
          <cell r="S25">
            <v>0</v>
          </cell>
          <cell r="U25">
            <v>0</v>
          </cell>
          <cell r="W25">
            <v>0</v>
          </cell>
        </row>
        <row r="26">
          <cell r="A26" t="str">
            <v>T113</v>
          </cell>
          <cell r="B26" t="str">
            <v>ANDRIAMANDIMBINIAINA Veuvé Bayard</v>
          </cell>
          <cell r="C26">
            <v>1208762</v>
          </cell>
          <cell r="D26">
            <v>1238158</v>
          </cell>
          <cell r="E26">
            <v>1228810.7621543445</v>
          </cell>
          <cell r="F26">
            <v>1238775.5076956821</v>
          </cell>
          <cell r="G26">
            <v>1229690.8819535295</v>
          </cell>
          <cell r="H26">
            <v>1234458.3596674558</v>
          </cell>
          <cell r="I26">
            <v>1238162</v>
          </cell>
          <cell r="J26">
            <v>1240226.0802863764</v>
          </cell>
          <cell r="K26">
            <v>1235135.3248961368</v>
          </cell>
          <cell r="L26">
            <v>1233796.9001367376</v>
          </cell>
          <cell r="M26">
            <v>1238334.4456256786</v>
          </cell>
          <cell r="N26">
            <v>1242562.9009134574</v>
          </cell>
          <cell r="O26">
            <v>1245862</v>
          </cell>
          <cell r="P26">
            <v>1236997.7636107833</v>
          </cell>
          <cell r="Q26">
            <v>41233.258787026112</v>
          </cell>
          <cell r="S26">
            <v>0</v>
          </cell>
          <cell r="U26">
            <v>0</v>
          </cell>
          <cell r="W26">
            <v>0</v>
          </cell>
        </row>
        <row r="27">
          <cell r="A27" t="str">
            <v>T114</v>
          </cell>
          <cell r="B27" t="str">
            <v>TINASOA NOMENJANAHARY Tantely</v>
          </cell>
          <cell r="C27">
            <v>170000</v>
          </cell>
          <cell r="D27">
            <v>85000</v>
          </cell>
          <cell r="E27">
            <v>85000</v>
          </cell>
          <cell r="F27">
            <v>215210.89729076505</v>
          </cell>
          <cell r="G27">
            <v>194533.3892182764</v>
          </cell>
          <cell r="H27">
            <v>222176.70339814227</v>
          </cell>
          <cell r="I27">
            <v>262233.97129920375</v>
          </cell>
          <cell r="J27">
            <v>240592.46723145642</v>
          </cell>
          <cell r="K27">
            <v>243251.2067283355</v>
          </cell>
          <cell r="L27">
            <v>216630.96922291839</v>
          </cell>
          <cell r="M27">
            <v>225975.24698197449</v>
          </cell>
          <cell r="N27">
            <v>259282.53620261926</v>
          </cell>
          <cell r="O27">
            <v>283026.25714042992</v>
          </cell>
          <cell r="P27">
            <v>211076.13705951013</v>
          </cell>
          <cell r="Q27">
            <v>7035.871235317004</v>
          </cell>
          <cell r="S27">
            <v>0</v>
          </cell>
          <cell r="U27">
            <v>0</v>
          </cell>
          <cell r="W27">
            <v>0</v>
          </cell>
        </row>
        <row r="28">
          <cell r="A28" t="str">
            <v>T132</v>
          </cell>
          <cell r="B28" t="str">
            <v>RATOVOSON Holihasina Mamisoa</v>
          </cell>
          <cell r="C28">
            <v>1208762</v>
          </cell>
          <cell r="P28">
            <v>0</v>
          </cell>
          <cell r="Q28">
            <v>40292.066666666666</v>
          </cell>
          <cell r="S28">
            <v>0</v>
          </cell>
          <cell r="U28">
            <v>0</v>
          </cell>
          <cell r="W28">
            <v>0</v>
          </cell>
        </row>
        <row r="29">
          <cell r="A29" t="str">
            <v>T133</v>
          </cell>
          <cell r="B29" t="str">
            <v>RANAIVOSON RAMANANDRAISOA Voahangy</v>
          </cell>
          <cell r="C29">
            <v>1208762</v>
          </cell>
          <cell r="P29">
            <v>0</v>
          </cell>
          <cell r="Q29">
            <v>40292.066666666666</v>
          </cell>
          <cell r="S29">
            <v>0</v>
          </cell>
          <cell r="U29">
            <v>0</v>
          </cell>
          <cell r="W29">
            <v>0</v>
          </cell>
        </row>
        <row r="30">
          <cell r="A30" t="str">
            <v>T134</v>
          </cell>
          <cell r="B30" t="str">
            <v>ANDRIAMANANTENA Tovonony Barison</v>
          </cell>
          <cell r="C30">
            <v>1458762</v>
          </cell>
          <cell r="P30">
            <v>0</v>
          </cell>
          <cell r="Q30">
            <v>48625.4</v>
          </cell>
          <cell r="S30">
            <v>0</v>
          </cell>
          <cell r="U30">
            <v>0</v>
          </cell>
          <cell r="W30">
            <v>0</v>
          </cell>
        </row>
        <row r="31">
          <cell r="A31" t="str">
            <v>T144</v>
          </cell>
          <cell r="B31" t="str">
            <v>RANDRIAMANANA Sylvin</v>
          </cell>
          <cell r="C31">
            <v>150000</v>
          </cell>
          <cell r="D31">
            <v>339967.90123456786</v>
          </cell>
          <cell r="E31">
            <v>426858.16650320194</v>
          </cell>
          <cell r="F31">
            <v>351079.01234567899</v>
          </cell>
          <cell r="G31">
            <v>337241.97530864197</v>
          </cell>
          <cell r="H31">
            <v>340945.67901234567</v>
          </cell>
          <cell r="I31">
            <v>356222.22222222225</v>
          </cell>
          <cell r="J31">
            <v>342797.53086419753</v>
          </cell>
          <cell r="K31">
            <v>357437.03703703702</v>
          </cell>
          <cell r="L31">
            <v>416407.40740740742</v>
          </cell>
          <cell r="M31">
            <v>374766.66666666663</v>
          </cell>
          <cell r="N31">
            <v>361266.04938271607</v>
          </cell>
          <cell r="O31">
            <v>405079.01234567899</v>
          </cell>
          <cell r="P31">
            <v>367505.72169419681</v>
          </cell>
          <cell r="Q31">
            <v>12250.190723139893</v>
          </cell>
          <cell r="S31">
            <v>0</v>
          </cell>
          <cell r="U31">
            <v>0</v>
          </cell>
          <cell r="W31">
            <v>0</v>
          </cell>
        </row>
        <row r="32">
          <cell r="A32" t="str">
            <v>T146</v>
          </cell>
          <cell r="B32" t="str">
            <v>RANDRIAMIADANA Rijaniaina</v>
          </cell>
          <cell r="C32">
            <v>956612</v>
          </cell>
          <cell r="D32">
            <v>985431.84749701223</v>
          </cell>
          <cell r="E32">
            <v>985873.49243294366</v>
          </cell>
          <cell r="F32">
            <v>990212</v>
          </cell>
          <cell r="G32">
            <v>985396.38839576941</v>
          </cell>
          <cell r="H32">
            <v>984330.9536100952</v>
          </cell>
          <cell r="I32">
            <v>985312</v>
          </cell>
          <cell r="J32">
            <v>986822.22362913529</v>
          </cell>
          <cell r="K32">
            <v>983212</v>
          </cell>
          <cell r="L32">
            <v>989445.31589578302</v>
          </cell>
          <cell r="M32">
            <v>989726.69654615456</v>
          </cell>
          <cell r="N32">
            <v>993012</v>
          </cell>
          <cell r="O32">
            <v>991227.11921668588</v>
          </cell>
          <cell r="P32">
            <v>987500.16976863157</v>
          </cell>
          <cell r="Q32">
            <v>32916.672325621053</v>
          </cell>
          <cell r="S32">
            <v>0</v>
          </cell>
          <cell r="U32">
            <v>0</v>
          </cell>
          <cell r="W32">
            <v>0</v>
          </cell>
        </row>
        <row r="33">
          <cell r="A33" t="str">
            <v>T148</v>
          </cell>
          <cell r="B33" t="str">
            <v>RAKOTONDRATSARA Solofoniana Hyacinthe Jean Ferdinand</v>
          </cell>
          <cell r="C33">
            <v>380000</v>
          </cell>
          <cell r="D33">
            <v>421356.13170321507</v>
          </cell>
          <cell r="E33">
            <v>377506.82466611819</v>
          </cell>
          <cell r="F33">
            <v>370350.47597069177</v>
          </cell>
          <cell r="G33">
            <v>374463.04736629553</v>
          </cell>
          <cell r="H33">
            <v>460811.850666666</v>
          </cell>
          <cell r="I33">
            <v>511928.06878364942</v>
          </cell>
          <cell r="J33">
            <v>413468.40351895097</v>
          </cell>
          <cell r="K33">
            <v>519629.91053319251</v>
          </cell>
          <cell r="L33">
            <v>432829.77168239665</v>
          </cell>
          <cell r="M33">
            <v>519259.32272891467</v>
          </cell>
          <cell r="N33">
            <v>532056.40108463622</v>
          </cell>
          <cell r="O33">
            <v>624342.74505278945</v>
          </cell>
          <cell r="P33">
            <v>463166.91281312634</v>
          </cell>
          <cell r="Q33">
            <v>15438.897093770878</v>
          </cell>
          <cell r="S33">
            <v>0</v>
          </cell>
          <cell r="U33">
            <v>0</v>
          </cell>
          <cell r="W33">
            <v>0</v>
          </cell>
        </row>
        <row r="34">
          <cell r="A34" t="str">
            <v>T153</v>
          </cell>
          <cell r="B34" t="str">
            <v>RAMILAVONJY Ramiandrasoa Flavien</v>
          </cell>
          <cell r="C34">
            <v>380000</v>
          </cell>
          <cell r="D34">
            <v>365723.17091362108</v>
          </cell>
          <cell r="E34">
            <v>364955.92267176753</v>
          </cell>
          <cell r="F34">
            <v>378100.57116483012</v>
          </cell>
          <cell r="G34">
            <v>378794.38066116656</v>
          </cell>
          <cell r="H34">
            <v>458025.20048462471</v>
          </cell>
          <cell r="I34">
            <v>533210.2694282583</v>
          </cell>
          <cell r="J34">
            <v>440630.90638530429</v>
          </cell>
          <cell r="K34">
            <v>522607.25609650201</v>
          </cell>
          <cell r="L34">
            <v>467907.82987201528</v>
          </cell>
          <cell r="M34">
            <v>482122.33685515332</v>
          </cell>
          <cell r="N34">
            <v>600161.54156810709</v>
          </cell>
          <cell r="O34">
            <v>596247.98938441125</v>
          </cell>
          <cell r="P34">
            <v>465707.28129048011</v>
          </cell>
          <cell r="Q34">
            <v>15523.576043016004</v>
          </cell>
          <cell r="S34">
            <v>0</v>
          </cell>
          <cell r="U34">
            <v>0</v>
          </cell>
          <cell r="W34">
            <v>0</v>
          </cell>
        </row>
        <row r="35">
          <cell r="A35" t="str">
            <v>T154</v>
          </cell>
          <cell r="B35" t="str">
            <v>RAMAROSON Jean Christ</v>
          </cell>
          <cell r="C35">
            <v>220000</v>
          </cell>
          <cell r="D35">
            <v>248222.78338545267</v>
          </cell>
          <cell r="E35">
            <v>249675.42729499115</v>
          </cell>
          <cell r="F35">
            <v>285714.92528702476</v>
          </cell>
          <cell r="G35">
            <v>261162.9839035366</v>
          </cell>
          <cell r="H35">
            <v>292844.33162176196</v>
          </cell>
          <cell r="I35">
            <v>332617.18109963654</v>
          </cell>
          <cell r="J35">
            <v>284898.9788265159</v>
          </cell>
          <cell r="K35">
            <v>292186.57049519516</v>
          </cell>
          <cell r="L35">
            <v>290856.94441806921</v>
          </cell>
          <cell r="M35">
            <v>290654.86643973924</v>
          </cell>
          <cell r="N35">
            <v>346966.48012461781</v>
          </cell>
          <cell r="O35">
            <v>406158.93382565049</v>
          </cell>
          <cell r="P35">
            <v>298496.70056018257</v>
          </cell>
          <cell r="Q35">
            <v>9949.8900186727515</v>
          </cell>
          <cell r="S35">
            <v>0</v>
          </cell>
          <cell r="U35">
            <v>0</v>
          </cell>
          <cell r="W35">
            <v>0</v>
          </cell>
        </row>
        <row r="36">
          <cell r="A36" t="str">
            <v>T155</v>
          </cell>
          <cell r="B36" t="str">
            <v>RABARIJAONA Barthélemy Jacques</v>
          </cell>
          <cell r="C36">
            <v>555081</v>
          </cell>
          <cell r="D36">
            <v>540665.87603128387</v>
          </cell>
          <cell r="E36">
            <v>422012.52999999956</v>
          </cell>
          <cell r="F36">
            <v>645390.87290140195</v>
          </cell>
          <cell r="G36">
            <v>383176.27646685514</v>
          </cell>
          <cell r="H36">
            <v>584618.5657416489</v>
          </cell>
          <cell r="I36">
            <v>478630.03519298451</v>
          </cell>
          <cell r="J36">
            <v>687383.97276870708</v>
          </cell>
          <cell r="K36">
            <v>647253.71270385454</v>
          </cell>
          <cell r="L36">
            <v>681867.68068436906</v>
          </cell>
          <cell r="M36">
            <v>1325573.780245774</v>
          </cell>
          <cell r="N36">
            <v>993882.57589569013</v>
          </cell>
          <cell r="O36">
            <v>1021101.8851612529</v>
          </cell>
          <cell r="P36">
            <v>700963.14698281849</v>
          </cell>
          <cell r="Q36">
            <v>23365.438232760618</v>
          </cell>
          <cell r="S36">
            <v>0</v>
          </cell>
          <cell r="U36">
            <v>0</v>
          </cell>
          <cell r="W36">
            <v>0</v>
          </cell>
        </row>
        <row r="37">
          <cell r="A37" t="str">
            <v>T156</v>
          </cell>
          <cell r="B37" t="str">
            <v>RAFARAMALALA Laurence</v>
          </cell>
          <cell r="C37">
            <v>275000</v>
          </cell>
          <cell r="D37">
            <v>409509.87711302139</v>
          </cell>
          <cell r="E37">
            <v>447133.12545816298</v>
          </cell>
          <cell r="F37">
            <v>419142.72197542258</v>
          </cell>
          <cell r="G37">
            <v>396590.46327813994</v>
          </cell>
          <cell r="H37">
            <v>393417.32533317944</v>
          </cell>
          <cell r="I37">
            <v>390799.48652858706</v>
          </cell>
          <cell r="J37">
            <v>416367.4839900767</v>
          </cell>
          <cell r="K37">
            <v>388586.78820746555</v>
          </cell>
          <cell r="L37">
            <v>382515.75238206587</v>
          </cell>
          <cell r="M37">
            <v>398063.80891940231</v>
          </cell>
          <cell r="N37">
            <v>383763.49160560779</v>
          </cell>
          <cell r="O37">
            <v>370711.23290832515</v>
          </cell>
          <cell r="P37">
            <v>399716.79647495475</v>
          </cell>
          <cell r="Q37">
            <v>13323.893215831826</v>
          </cell>
          <cell r="S37">
            <v>0</v>
          </cell>
          <cell r="U37">
            <v>0</v>
          </cell>
          <cell r="W37">
            <v>0</v>
          </cell>
        </row>
        <row r="38">
          <cell r="A38" t="str">
            <v>T157</v>
          </cell>
          <cell r="B38" t="str">
            <v>RAMIANDRAVOLA Rondroelinjaka</v>
          </cell>
          <cell r="C38">
            <v>220000</v>
          </cell>
          <cell r="D38">
            <v>327078.09957883804</v>
          </cell>
          <cell r="E38">
            <v>337069.64398868073</v>
          </cell>
          <cell r="F38">
            <v>332205.0885593954</v>
          </cell>
          <cell r="G38">
            <v>315301.01540414238</v>
          </cell>
          <cell r="H38">
            <v>322408.84440085385</v>
          </cell>
          <cell r="I38">
            <v>317014.50989442103</v>
          </cell>
          <cell r="J38">
            <v>343708.97132637165</v>
          </cell>
          <cell r="K38">
            <v>301400.63462758902</v>
          </cell>
          <cell r="L38">
            <v>307116.39079057099</v>
          </cell>
          <cell r="M38">
            <v>318979.69191715226</v>
          </cell>
          <cell r="N38">
            <v>318450.79328448628</v>
          </cell>
          <cell r="O38">
            <v>313839.0815207985</v>
          </cell>
          <cell r="P38">
            <v>321214.39710777503</v>
          </cell>
          <cell r="Q38">
            <v>10707.146570259169</v>
          </cell>
          <cell r="S38">
            <v>0</v>
          </cell>
          <cell r="U38">
            <v>0</v>
          </cell>
          <cell r="W38">
            <v>0</v>
          </cell>
        </row>
        <row r="39">
          <cell r="A39" t="str">
            <v>T158</v>
          </cell>
          <cell r="B39" t="str">
            <v>RAKOTONATOANDRO Edmond</v>
          </cell>
          <cell r="C39">
            <v>165000</v>
          </cell>
          <cell r="D39">
            <v>246063.5802469136</v>
          </cell>
          <cell r="E39">
            <v>353713.58103040443</v>
          </cell>
          <cell r="F39">
            <v>284447.83950617281</v>
          </cell>
          <cell r="G39">
            <v>255165.43209876542</v>
          </cell>
          <cell r="H39">
            <v>301854.32098765433</v>
          </cell>
          <cell r="I39">
            <v>296221.29629629629</v>
          </cell>
          <cell r="J39">
            <v>284489.19753086421</v>
          </cell>
          <cell r="K39">
            <v>317436.11111111112</v>
          </cell>
          <cell r="L39">
            <v>332119.75308641978</v>
          </cell>
          <cell r="M39">
            <v>338210.49382716051</v>
          </cell>
          <cell r="N39">
            <v>334428.39506172843</v>
          </cell>
          <cell r="O39">
            <v>287677.16049382719</v>
          </cell>
          <cell r="P39">
            <v>302652.26343977655</v>
          </cell>
          <cell r="Q39">
            <v>10088.408781325885</v>
          </cell>
          <cell r="S39">
            <v>0</v>
          </cell>
          <cell r="U39">
            <v>0</v>
          </cell>
          <cell r="W39">
            <v>0</v>
          </cell>
        </row>
        <row r="40">
          <cell r="A40" t="str">
            <v>T159</v>
          </cell>
          <cell r="B40" t="str">
            <v>RANGITARINORO José</v>
          </cell>
          <cell r="C40">
            <v>220000</v>
          </cell>
          <cell r="D40">
            <v>346599.54999134596</v>
          </cell>
          <cell r="E40">
            <v>348186.11896382621</v>
          </cell>
          <cell r="F40">
            <v>352503.43275832228</v>
          </cell>
          <cell r="G40">
            <v>400571.85715109902</v>
          </cell>
          <cell r="H40">
            <v>415456.64339698839</v>
          </cell>
          <cell r="I40">
            <v>374252.16253682214</v>
          </cell>
          <cell r="J40">
            <v>431789.36133387178</v>
          </cell>
          <cell r="K40">
            <v>357560.13472140691</v>
          </cell>
          <cell r="L40">
            <v>372822.16601844336</v>
          </cell>
          <cell r="M40">
            <v>372007.63853861496</v>
          </cell>
          <cell r="N40">
            <v>406696.61916575319</v>
          </cell>
          <cell r="O40">
            <v>366003.43275832228</v>
          </cell>
          <cell r="P40">
            <v>378704.09311123466</v>
          </cell>
          <cell r="Q40">
            <v>12623.469770374488</v>
          </cell>
          <cell r="S40">
            <v>0</v>
          </cell>
          <cell r="U40">
            <v>0</v>
          </cell>
          <cell r="W40">
            <v>0</v>
          </cell>
        </row>
        <row r="41">
          <cell r="A41" t="str">
            <v>T160</v>
          </cell>
          <cell r="B41" t="str">
            <v>MAMITIANA Pascal</v>
          </cell>
          <cell r="C41">
            <v>150000</v>
          </cell>
          <cell r="D41">
            <v>150600.30289044019</v>
          </cell>
          <cell r="E41">
            <v>189843.67225344782</v>
          </cell>
          <cell r="F41">
            <v>190760.14999204196</v>
          </cell>
          <cell r="G41">
            <v>205493.09986730514</v>
          </cell>
          <cell r="H41">
            <v>229249.46666377934</v>
          </cell>
          <cell r="I41">
            <v>263536.84549716243</v>
          </cell>
          <cell r="J41">
            <v>240996.59608838632</v>
          </cell>
          <cell r="K41">
            <v>247787.84326047022</v>
          </cell>
          <cell r="L41">
            <v>224764.92349077447</v>
          </cell>
          <cell r="M41">
            <v>233607.98476893787</v>
          </cell>
          <cell r="N41">
            <v>278525.56862904265</v>
          </cell>
          <cell r="O41">
            <v>293900.52501009632</v>
          </cell>
          <cell r="P41">
            <v>229088.91486765709</v>
          </cell>
          <cell r="Q41">
            <v>7636.2971622552368</v>
          </cell>
          <cell r="S41">
            <v>0</v>
          </cell>
          <cell r="U41">
            <v>0</v>
          </cell>
          <cell r="W41">
            <v>0</v>
          </cell>
        </row>
        <row r="42">
          <cell r="A42" t="str">
            <v>T161</v>
          </cell>
          <cell r="B42" t="str">
            <v>RANDRIAMIRADOMANANA René</v>
          </cell>
          <cell r="C42">
            <v>165000</v>
          </cell>
          <cell r="D42">
            <v>200969.31732164868</v>
          </cell>
          <cell r="E42">
            <v>198010.85918687822</v>
          </cell>
          <cell r="F42">
            <v>209109.0726803772</v>
          </cell>
          <cell r="G42">
            <v>221751.12309749564</v>
          </cell>
          <cell r="H42">
            <v>234347.16436854555</v>
          </cell>
          <cell r="I42">
            <v>390866.47435527609</v>
          </cell>
          <cell r="J42">
            <v>216326.03053592378</v>
          </cell>
          <cell r="K42">
            <v>220598.98952670241</v>
          </cell>
          <cell r="L42">
            <v>243145.5237273708</v>
          </cell>
          <cell r="M42">
            <v>212730.98136502627</v>
          </cell>
          <cell r="N42">
            <v>234376.46108579013</v>
          </cell>
          <cell r="O42">
            <v>315340.92194080655</v>
          </cell>
          <cell r="P42">
            <v>241464.40993265342</v>
          </cell>
          <cell r="Q42">
            <v>8048.8136644217802</v>
          </cell>
          <cell r="S42">
            <v>0</v>
          </cell>
          <cell r="U42">
            <v>0</v>
          </cell>
          <cell r="W42">
            <v>0</v>
          </cell>
        </row>
        <row r="43">
          <cell r="A43" t="str">
            <v>T162</v>
          </cell>
          <cell r="B43" t="str">
            <v>RATOVOSON Vololomiadana Voniarisoa</v>
          </cell>
          <cell r="C43">
            <v>1833762</v>
          </cell>
          <cell r="P43">
            <v>0</v>
          </cell>
          <cell r="Q43">
            <v>61125.4</v>
          </cell>
          <cell r="S43">
            <v>0</v>
          </cell>
          <cell r="U43">
            <v>0</v>
          </cell>
          <cell r="W43">
            <v>0</v>
          </cell>
        </row>
        <row r="44">
          <cell r="A44" t="str">
            <v>T163</v>
          </cell>
          <cell r="B44" t="str">
            <v>RAZAFINIRINA Patrick</v>
          </cell>
          <cell r="C44">
            <v>701510</v>
          </cell>
          <cell r="P44">
            <v>0</v>
          </cell>
          <cell r="Q44">
            <v>23383.666666666668</v>
          </cell>
          <cell r="S44">
            <v>0</v>
          </cell>
          <cell r="U44">
            <v>0</v>
          </cell>
          <cell r="W44">
            <v>0</v>
          </cell>
        </row>
        <row r="45">
          <cell r="A45" t="str">
            <v>T168</v>
          </cell>
          <cell r="B45" t="str">
            <v>HUON DE KERMADEC Vincent</v>
          </cell>
          <cell r="C45">
            <v>1787501</v>
          </cell>
          <cell r="P45">
            <v>0</v>
          </cell>
          <cell r="Q45">
            <v>59583.366666666669</v>
          </cell>
          <cell r="S45">
            <v>0</v>
          </cell>
          <cell r="U45">
            <v>0</v>
          </cell>
          <cell r="W45">
            <v>0</v>
          </cell>
        </row>
        <row r="46">
          <cell r="A46" t="str">
            <v>T173</v>
          </cell>
          <cell r="B46" t="str">
            <v>RAKOTONDRAMAVO Michaël</v>
          </cell>
          <cell r="C46">
            <v>220000</v>
          </cell>
          <cell r="D46">
            <v>186750.09519413835</v>
          </cell>
          <cell r="E46">
            <v>177170.85540626946</v>
          </cell>
          <cell r="F46">
            <v>186953.95392647351</v>
          </cell>
          <cell r="G46">
            <v>189043.90469047482</v>
          </cell>
          <cell r="H46">
            <v>217830.98136502627</v>
          </cell>
          <cell r="I46">
            <v>248036.81993884497</v>
          </cell>
          <cell r="J46">
            <v>223303.04185983204</v>
          </cell>
          <cell r="K46">
            <v>221471.0721912474</v>
          </cell>
          <cell r="L46">
            <v>221092.95878576857</v>
          </cell>
          <cell r="M46">
            <v>187187.61899267294</v>
          </cell>
          <cell r="N46">
            <v>262278.41689263255</v>
          </cell>
          <cell r="O46">
            <v>353858.90497894189</v>
          </cell>
          <cell r="P46">
            <v>222914.88535186028</v>
          </cell>
          <cell r="Q46">
            <v>7430.4961783953431</v>
          </cell>
          <cell r="S46">
            <v>0</v>
          </cell>
          <cell r="U46">
            <v>0</v>
          </cell>
          <cell r="W46">
            <v>0</v>
          </cell>
        </row>
        <row r="47">
          <cell r="A47" t="str">
            <v>T176</v>
          </cell>
          <cell r="B47" t="str">
            <v>RAKOTOARIMANANA Jean Joseph</v>
          </cell>
          <cell r="C47">
            <v>136480</v>
          </cell>
          <cell r="D47">
            <v>142288.81865581934</v>
          </cell>
          <cell r="E47">
            <v>140479.94211527004</v>
          </cell>
          <cell r="F47">
            <v>135341.70272505243</v>
          </cell>
          <cell r="G47">
            <v>145548.05188561318</v>
          </cell>
          <cell r="H47">
            <v>143308.48862478125</v>
          </cell>
          <cell r="I47">
            <v>215290.88701705812</v>
          </cell>
          <cell r="J47">
            <v>207677.64626242814</v>
          </cell>
          <cell r="K47">
            <v>169443.4479945089</v>
          </cell>
          <cell r="L47">
            <v>164406.68840310705</v>
          </cell>
          <cell r="M47">
            <v>169428.77978422662</v>
          </cell>
          <cell r="N47">
            <v>186506.70051347141</v>
          </cell>
          <cell r="O47">
            <v>208406.9142868132</v>
          </cell>
          <cell r="P47">
            <v>169010.67235567913</v>
          </cell>
          <cell r="Q47">
            <v>5633.6890785226378</v>
          </cell>
          <cell r="S47">
            <v>0</v>
          </cell>
          <cell r="U47">
            <v>0</v>
          </cell>
          <cell r="W47">
            <v>0</v>
          </cell>
        </row>
        <row r="48">
          <cell r="A48" t="str">
            <v>T177</v>
          </cell>
          <cell r="B48" t="str">
            <v>RAKOTOMANANA Maminirina Jean Michel</v>
          </cell>
          <cell r="C48">
            <v>136480</v>
          </cell>
          <cell r="D48">
            <v>144761.80468399322</v>
          </cell>
          <cell r="E48">
            <v>140854.04459546434</v>
          </cell>
          <cell r="F48">
            <v>136418.75901459644</v>
          </cell>
          <cell r="G48">
            <v>140600</v>
          </cell>
          <cell r="H48">
            <v>143765.93396026848</v>
          </cell>
          <cell r="I48">
            <v>250689.94438354581</v>
          </cell>
          <cell r="J48">
            <v>146988.67224369699</v>
          </cell>
          <cell r="K48">
            <v>176131.31433975903</v>
          </cell>
          <cell r="L48">
            <v>161984.90767225018</v>
          </cell>
          <cell r="M48">
            <v>144456</v>
          </cell>
          <cell r="N48">
            <v>185930.32019846534</v>
          </cell>
          <cell r="O48">
            <v>207634.21450412506</v>
          </cell>
          <cell r="P48">
            <v>165017.99296634708</v>
          </cell>
          <cell r="Q48">
            <v>5500.5997655449028</v>
          </cell>
          <cell r="S48">
            <v>0</v>
          </cell>
          <cell r="U48">
            <v>0</v>
          </cell>
          <cell r="W48">
            <v>0</v>
          </cell>
        </row>
        <row r="49">
          <cell r="A49" t="str">
            <v>T178</v>
          </cell>
          <cell r="B49" t="str">
            <v xml:space="preserve">RANDRIANAVALOMANDRESY Olivier Gendratto </v>
          </cell>
          <cell r="C49">
            <v>220000</v>
          </cell>
          <cell r="D49">
            <v>159012.59831919844</v>
          </cell>
          <cell r="E49">
            <v>146711.10183080443</v>
          </cell>
          <cell r="F49">
            <v>215588.8882478509</v>
          </cell>
          <cell r="G49">
            <v>181752.69139791149</v>
          </cell>
          <cell r="H49">
            <v>191021.64995021807</v>
          </cell>
          <cell r="I49">
            <v>291920.05700109631</v>
          </cell>
          <cell r="J49">
            <v>275194.96913402178</v>
          </cell>
          <cell r="K49">
            <v>275436.9457409067</v>
          </cell>
          <cell r="L49">
            <v>253647.35471543862</v>
          </cell>
          <cell r="M49">
            <v>338811.51560606936</v>
          </cell>
          <cell r="N49">
            <v>573065.98973057175</v>
          </cell>
          <cell r="O49">
            <v>400383.82276582241</v>
          </cell>
          <cell r="P49">
            <v>275212.29870332585</v>
          </cell>
          <cell r="Q49">
            <v>9173.7432901108623</v>
          </cell>
          <cell r="S49">
            <v>0</v>
          </cell>
          <cell r="U49">
            <v>0</v>
          </cell>
          <cell r="W49">
            <v>0</v>
          </cell>
        </row>
        <row r="50">
          <cell r="A50" t="str">
            <v>T179</v>
          </cell>
          <cell r="B50" t="str">
            <v>RANDRIANJATOVO Tojosoa Fabien</v>
          </cell>
          <cell r="C50">
            <v>136480</v>
          </cell>
          <cell r="D50">
            <v>152268.46566600641</v>
          </cell>
          <cell r="E50">
            <v>144528.87214181467</v>
          </cell>
          <cell r="F50">
            <v>138668.75901459644</v>
          </cell>
          <cell r="G50">
            <v>144790.72866785899</v>
          </cell>
          <cell r="H50">
            <v>161648.21823496604</v>
          </cell>
          <cell r="I50">
            <v>235850.22904286618</v>
          </cell>
          <cell r="J50">
            <v>166407.79122675434</v>
          </cell>
          <cell r="K50">
            <v>170350.87073026877</v>
          </cell>
          <cell r="L50">
            <v>164569.69283657515</v>
          </cell>
          <cell r="M50">
            <v>159842.97328794785</v>
          </cell>
          <cell r="N50">
            <v>203212.63733491034</v>
          </cell>
          <cell r="O50">
            <v>186767.59045366256</v>
          </cell>
          <cell r="P50">
            <v>169075.56905318564</v>
          </cell>
          <cell r="Q50">
            <v>5635.8523017728548</v>
          </cell>
          <cell r="S50">
            <v>0</v>
          </cell>
          <cell r="U50">
            <v>0</v>
          </cell>
          <cell r="W50">
            <v>0</v>
          </cell>
        </row>
        <row r="51">
          <cell r="A51" t="str">
            <v>T182</v>
          </cell>
          <cell r="B51" t="str">
            <v>RANDRIANARISON Gérard</v>
          </cell>
          <cell r="C51">
            <v>136480</v>
          </cell>
          <cell r="D51">
            <v>145784.45162406971</v>
          </cell>
          <cell r="E51">
            <v>142290.69409363641</v>
          </cell>
          <cell r="F51">
            <v>149577.91901648894</v>
          </cell>
          <cell r="G51">
            <v>147176.63585631063</v>
          </cell>
          <cell r="H51">
            <v>175052.54716436853</v>
          </cell>
          <cell r="I51">
            <v>250868.54293351789</v>
          </cell>
          <cell r="J51">
            <v>167144.53585645877</v>
          </cell>
          <cell r="K51">
            <v>178209.25154430099</v>
          </cell>
          <cell r="L51">
            <v>177243.8880385891</v>
          </cell>
          <cell r="M51">
            <v>164306.48189388256</v>
          </cell>
          <cell r="N51">
            <v>185189.64133925652</v>
          </cell>
          <cell r="O51">
            <v>204945.23971614838</v>
          </cell>
          <cell r="P51">
            <v>173982.48575641905</v>
          </cell>
          <cell r="Q51">
            <v>5799.4161918806349</v>
          </cell>
          <cell r="S51">
            <v>0</v>
          </cell>
          <cell r="U51">
            <v>0</v>
          </cell>
          <cell r="W51">
            <v>0</v>
          </cell>
        </row>
        <row r="52">
          <cell r="A52" t="str">
            <v>T184</v>
          </cell>
          <cell r="B52" t="str">
            <v xml:space="preserve">RAFANOMEZANTSOA Jean Fidèle </v>
          </cell>
          <cell r="C52">
            <v>220000</v>
          </cell>
          <cell r="D52">
            <v>146801.56782324161</v>
          </cell>
          <cell r="E52">
            <v>143478.79729720228</v>
          </cell>
          <cell r="F52">
            <v>138352.84456728466</v>
          </cell>
          <cell r="G52">
            <v>190316.55801073098</v>
          </cell>
          <cell r="H52">
            <v>170103.90969057096</v>
          </cell>
          <cell r="I52">
            <v>281455.12175234139</v>
          </cell>
          <cell r="J52">
            <v>229032.58754976056</v>
          </cell>
          <cell r="K52">
            <v>201510.20391719884</v>
          </cell>
          <cell r="L52">
            <v>195748.30012759386</v>
          </cell>
          <cell r="M52">
            <v>96177.483105444349</v>
          </cell>
          <cell r="N52">
            <v>217375.92061385795</v>
          </cell>
          <cell r="O52">
            <v>364679.30537125713</v>
          </cell>
          <cell r="P52">
            <v>197919.3833188737</v>
          </cell>
          <cell r="Q52">
            <v>6597.3127772957905</v>
          </cell>
          <cell r="S52">
            <v>0</v>
          </cell>
          <cell r="U52">
            <v>0</v>
          </cell>
          <cell r="W52">
            <v>0</v>
          </cell>
        </row>
        <row r="53">
          <cell r="A53" t="str">
            <v>T185</v>
          </cell>
          <cell r="B53" t="str">
            <v>RANDRIARIJAONA Jean Lucia</v>
          </cell>
          <cell r="C53">
            <v>136480</v>
          </cell>
          <cell r="D53">
            <v>150967.4870744519</v>
          </cell>
          <cell r="E53">
            <v>146037.34576194538</v>
          </cell>
          <cell r="F53">
            <v>147026.0251571243</v>
          </cell>
          <cell r="G53">
            <v>147835.33652678973</v>
          </cell>
          <cell r="H53">
            <v>172046.27012057923</v>
          </cell>
          <cell r="I53">
            <v>243807.8681128482</v>
          </cell>
          <cell r="J53">
            <v>189972.04407777073</v>
          </cell>
          <cell r="K53">
            <v>189223.22650154517</v>
          </cell>
          <cell r="L53">
            <v>178353.74895173579</v>
          </cell>
          <cell r="M53">
            <v>167922.58185541924</v>
          </cell>
          <cell r="N53">
            <v>175667.3536029539</v>
          </cell>
          <cell r="O53">
            <v>204307.45052789478</v>
          </cell>
          <cell r="P53">
            <v>176097.22818925488</v>
          </cell>
          <cell r="Q53">
            <v>5869.9076063084958</v>
          </cell>
          <cell r="S53">
            <v>0</v>
          </cell>
          <cell r="U53">
            <v>0</v>
          </cell>
          <cell r="W53">
            <v>0</v>
          </cell>
        </row>
        <row r="54">
          <cell r="A54" t="str">
            <v>T186</v>
          </cell>
          <cell r="B54" t="str">
            <v>RANDRIAMANALINARIVO Jean Ruphin</v>
          </cell>
          <cell r="C54">
            <v>136480</v>
          </cell>
          <cell r="D54">
            <v>145769.42962845441</v>
          </cell>
          <cell r="E54">
            <v>146468.70080113719</v>
          </cell>
          <cell r="F54">
            <v>148790.72866785899</v>
          </cell>
          <cell r="G54">
            <v>145356.34916056079</v>
          </cell>
          <cell r="H54">
            <v>168021.16194542203</v>
          </cell>
          <cell r="I54">
            <v>269275.9353957717</v>
          </cell>
          <cell r="J54">
            <v>181028.75670685974</v>
          </cell>
          <cell r="K54">
            <v>183838.94574301926</v>
          </cell>
          <cell r="L54">
            <v>178333.58931809221</v>
          </cell>
          <cell r="M54">
            <v>170082.83715602948</v>
          </cell>
          <cell r="N54">
            <v>208447.85353564491</v>
          </cell>
          <cell r="O54">
            <v>219577.49033635261</v>
          </cell>
          <cell r="P54">
            <v>180415.98153293363</v>
          </cell>
          <cell r="Q54">
            <v>6013.8660510977879</v>
          </cell>
          <cell r="S54">
            <v>0</v>
          </cell>
          <cell r="U54">
            <v>0</v>
          </cell>
          <cell r="W54">
            <v>0</v>
          </cell>
        </row>
        <row r="55">
          <cell r="A55" t="str">
            <v>T187</v>
          </cell>
          <cell r="B55" t="str">
            <v>RAHARISON Herimampionona</v>
          </cell>
          <cell r="C55">
            <v>300000</v>
          </cell>
          <cell r="D55">
            <v>394295.69030173658</v>
          </cell>
          <cell r="E55">
            <v>371695.14123134851</v>
          </cell>
          <cell r="F55">
            <v>425492.4133156407</v>
          </cell>
          <cell r="G55">
            <v>338945.31766921445</v>
          </cell>
          <cell r="H55">
            <v>417900.00576934172</v>
          </cell>
          <cell r="I55">
            <v>349447.75861074252</v>
          </cell>
          <cell r="J55">
            <v>428642.35130709619</v>
          </cell>
          <cell r="K55">
            <v>508519.29892070504</v>
          </cell>
          <cell r="L55">
            <v>371557.63525745098</v>
          </cell>
          <cell r="M55">
            <v>797077.41302717361</v>
          </cell>
          <cell r="N55">
            <v>532478.13996423013</v>
          </cell>
          <cell r="O55">
            <v>479957.41793075466</v>
          </cell>
          <cell r="P55">
            <v>451334.04860878625</v>
          </cell>
          <cell r="Q55">
            <v>15044.468286959542</v>
          </cell>
          <cell r="S55">
            <v>0</v>
          </cell>
          <cell r="U55">
            <v>0</v>
          </cell>
          <cell r="W55">
            <v>0</v>
          </cell>
        </row>
        <row r="56">
          <cell r="A56" t="str">
            <v>T188</v>
          </cell>
          <cell r="B56" t="str">
            <v>NICOLAS Jean Arthur</v>
          </cell>
          <cell r="C56">
            <v>136480</v>
          </cell>
          <cell r="D56">
            <v>156262.77043789305</v>
          </cell>
          <cell r="E56">
            <v>147931.81418018721</v>
          </cell>
          <cell r="F56">
            <v>143824.06200119233</v>
          </cell>
          <cell r="G56">
            <v>147093.86718975366</v>
          </cell>
          <cell r="H56">
            <v>171572.91294063348</v>
          </cell>
          <cell r="I56">
            <v>251144.55636501432</v>
          </cell>
          <cell r="J56">
            <v>197084.62701205793</v>
          </cell>
          <cell r="K56">
            <v>213663.41491460198</v>
          </cell>
          <cell r="L56">
            <v>171177.87135914428</v>
          </cell>
          <cell r="M56">
            <v>172308.23550206397</v>
          </cell>
          <cell r="N56">
            <v>207405.07932844863</v>
          </cell>
          <cell r="O56">
            <v>211261.23840843092</v>
          </cell>
          <cell r="P56">
            <v>182560.87080328516</v>
          </cell>
          <cell r="Q56">
            <v>6085.3623601095051</v>
          </cell>
          <cell r="S56">
            <v>0</v>
          </cell>
          <cell r="U56">
            <v>0</v>
          </cell>
          <cell r="W56">
            <v>0</v>
          </cell>
        </row>
        <row r="57">
          <cell r="A57" t="str">
            <v>T191</v>
          </cell>
          <cell r="B57" t="str">
            <v>RATOJONIAINA Jeannot Paul</v>
          </cell>
          <cell r="C57">
            <v>136480</v>
          </cell>
          <cell r="D57">
            <v>155000</v>
          </cell>
          <cell r="E57">
            <v>139000</v>
          </cell>
          <cell r="F57">
            <v>155000</v>
          </cell>
          <cell r="G57">
            <v>155000</v>
          </cell>
          <cell r="H57">
            <v>156000</v>
          </cell>
          <cell r="I57">
            <v>213400</v>
          </cell>
          <cell r="J57">
            <v>167480</v>
          </cell>
          <cell r="K57">
            <v>167480</v>
          </cell>
          <cell r="L57">
            <v>167480</v>
          </cell>
          <cell r="M57">
            <v>167480</v>
          </cell>
          <cell r="N57">
            <v>167480</v>
          </cell>
          <cell r="O57">
            <v>167480</v>
          </cell>
          <cell r="P57">
            <v>164856.66666666666</v>
          </cell>
          <cell r="Q57">
            <v>5495.2222222222217</v>
          </cell>
          <cell r="S57">
            <v>0</v>
          </cell>
          <cell r="U57">
            <v>0</v>
          </cell>
          <cell r="W57">
            <v>0</v>
          </cell>
        </row>
        <row r="58">
          <cell r="A58" t="str">
            <v>T193</v>
          </cell>
          <cell r="B58" t="str">
            <v>RANDRIANASOLONIRINA Jenny Angelin</v>
          </cell>
          <cell r="C58">
            <v>136480</v>
          </cell>
          <cell r="D58">
            <v>125000</v>
          </cell>
          <cell r="E58">
            <v>125000</v>
          </cell>
          <cell r="F58">
            <v>125000</v>
          </cell>
          <cell r="G58">
            <v>125000</v>
          </cell>
          <cell r="H58">
            <v>125000</v>
          </cell>
          <cell r="I58">
            <v>182400</v>
          </cell>
          <cell r="J58">
            <v>136480</v>
          </cell>
          <cell r="K58">
            <v>136480</v>
          </cell>
          <cell r="L58">
            <v>136480</v>
          </cell>
          <cell r="M58">
            <v>136480</v>
          </cell>
          <cell r="N58">
            <v>136480</v>
          </cell>
          <cell r="O58">
            <v>136480</v>
          </cell>
          <cell r="P58">
            <v>135523.33333333334</v>
          </cell>
          <cell r="Q58">
            <v>4517.4444444444443</v>
          </cell>
          <cell r="S58">
            <v>0</v>
          </cell>
          <cell r="U58">
            <v>0</v>
          </cell>
          <cell r="W58">
            <v>0</v>
          </cell>
        </row>
        <row r="59">
          <cell r="A59" t="str">
            <v>T194</v>
          </cell>
          <cell r="B59" t="str">
            <v>RAMANANJATO Tolojanahary</v>
          </cell>
          <cell r="C59">
            <v>136480</v>
          </cell>
          <cell r="D59">
            <v>141937.51802919287</v>
          </cell>
          <cell r="E59">
            <v>141314.03101234854</v>
          </cell>
          <cell r="F59">
            <v>145221.94080655399</v>
          </cell>
          <cell r="G59">
            <v>130406.27704378931</v>
          </cell>
          <cell r="H59">
            <v>162364.95701840421</v>
          </cell>
          <cell r="I59">
            <v>199291.61953114491</v>
          </cell>
          <cell r="J59">
            <v>161903.27426404148</v>
          </cell>
          <cell r="K59">
            <v>160187.13862291514</v>
          </cell>
          <cell r="L59">
            <v>155651.32080252824</v>
          </cell>
          <cell r="M59">
            <v>153099.81207330912</v>
          </cell>
          <cell r="N59">
            <v>174151.07859766533</v>
          </cell>
          <cell r="O59">
            <v>218199.54076039925</v>
          </cell>
          <cell r="P59">
            <v>161977.37571352438</v>
          </cell>
          <cell r="Q59">
            <v>5399.2458571174793</v>
          </cell>
          <cell r="S59">
            <v>0</v>
          </cell>
          <cell r="U59">
            <v>0</v>
          </cell>
          <cell r="W59">
            <v>0</v>
          </cell>
        </row>
        <row r="60">
          <cell r="A60" t="str">
            <v>T197</v>
          </cell>
          <cell r="B60" t="str">
            <v>ANDRIANIRINTSOA Safiditiana José</v>
          </cell>
          <cell r="C60">
            <v>136480</v>
          </cell>
          <cell r="D60">
            <v>156034.63335833381</v>
          </cell>
          <cell r="E60">
            <v>148106.33564000163</v>
          </cell>
          <cell r="F60">
            <v>211093.00082693898</v>
          </cell>
          <cell r="G60">
            <v>145453.21063866612</v>
          </cell>
          <cell r="H60">
            <v>169148.362468509</v>
          </cell>
          <cell r="I60">
            <v>263383.61687724775</v>
          </cell>
          <cell r="J60">
            <v>197084.62701205793</v>
          </cell>
          <cell r="K60">
            <v>250829.60520832072</v>
          </cell>
          <cell r="L60">
            <v>183596.42356081971</v>
          </cell>
          <cell r="M60">
            <v>164117.50225965885</v>
          </cell>
          <cell r="N60">
            <v>207385.39433450642</v>
          </cell>
          <cell r="O60">
            <v>252668.7562453124</v>
          </cell>
          <cell r="P60">
            <v>195741.78903586444</v>
          </cell>
          <cell r="Q60">
            <v>6524.726301195481</v>
          </cell>
          <cell r="S60">
            <v>0</v>
          </cell>
          <cell r="U60">
            <v>0</v>
          </cell>
          <cell r="W60">
            <v>0</v>
          </cell>
        </row>
        <row r="61">
          <cell r="A61" t="str">
            <v>T200</v>
          </cell>
          <cell r="B61" t="str">
            <v>RAMANANTENASOA Nambinintsoa</v>
          </cell>
          <cell r="C61">
            <v>230000</v>
          </cell>
          <cell r="D61">
            <v>295756.4241620031</v>
          </cell>
          <cell r="E61">
            <v>298024.16360170388</v>
          </cell>
          <cell r="F61">
            <v>296366.61476468411</v>
          </cell>
          <cell r="G61">
            <v>284206.35781457333</v>
          </cell>
          <cell r="H61">
            <v>290037.61610800208</v>
          </cell>
          <cell r="I61">
            <v>316158.25881266949</v>
          </cell>
          <cell r="J61">
            <v>294031.39098828821</v>
          </cell>
          <cell r="K61">
            <v>296937.74880286161</v>
          </cell>
          <cell r="L61">
            <v>285781.31265069102</v>
          </cell>
          <cell r="M61">
            <v>301250.33173714881</v>
          </cell>
          <cell r="N61">
            <v>298887.68245543184</v>
          </cell>
          <cell r="O61">
            <v>296412.5829342872</v>
          </cell>
          <cell r="P61">
            <v>296154.20706936205</v>
          </cell>
          <cell r="Q61">
            <v>9871.8069023120679</v>
          </cell>
          <cell r="S61">
            <v>0</v>
          </cell>
          <cell r="U61">
            <v>0</v>
          </cell>
          <cell r="W61">
            <v>0</v>
          </cell>
        </row>
        <row r="62">
          <cell r="A62" t="str">
            <v>T201</v>
          </cell>
          <cell r="B62" t="str">
            <v>TISTE</v>
          </cell>
          <cell r="C62">
            <v>136480</v>
          </cell>
          <cell r="D62">
            <v>271131.27572016465</v>
          </cell>
          <cell r="E62">
            <v>337487.65432098764</v>
          </cell>
          <cell r="F62">
            <v>298651.02880658436</v>
          </cell>
          <cell r="G62">
            <v>272674.48559670785</v>
          </cell>
          <cell r="H62">
            <v>278590.12345679011</v>
          </cell>
          <cell r="I62">
            <v>409904.85596707824</v>
          </cell>
          <cell r="J62">
            <v>313753.11934156378</v>
          </cell>
          <cell r="K62">
            <v>368904.03292181075</v>
          </cell>
          <cell r="L62">
            <v>377449.25102880655</v>
          </cell>
          <cell r="M62">
            <v>324084.67489711934</v>
          </cell>
          <cell r="N62">
            <v>345654.61728395062</v>
          </cell>
          <cell r="O62">
            <v>345317.62962962961</v>
          </cell>
          <cell r="P62">
            <v>328633.56241426611</v>
          </cell>
          <cell r="Q62">
            <v>10954.452080475538</v>
          </cell>
          <cell r="S62">
            <v>0</v>
          </cell>
          <cell r="U62">
            <v>0</v>
          </cell>
          <cell r="W62">
            <v>0</v>
          </cell>
        </row>
        <row r="63">
          <cell r="A63" t="str">
            <v>T202</v>
          </cell>
          <cell r="B63" t="str">
            <v>RASOANAVALONA Sahondraniaina</v>
          </cell>
          <cell r="C63">
            <v>230000</v>
          </cell>
          <cell r="D63">
            <v>311557.7280332314</v>
          </cell>
          <cell r="E63">
            <v>281137.98040987964</v>
          </cell>
          <cell r="F63">
            <v>298706.87705532799</v>
          </cell>
          <cell r="G63">
            <v>288588.58824208158</v>
          </cell>
          <cell r="H63">
            <v>319419.40518086887</v>
          </cell>
          <cell r="I63">
            <v>333700.51924075466</v>
          </cell>
          <cell r="J63">
            <v>296739.69307102059</v>
          </cell>
          <cell r="K63">
            <v>287747.32270727429</v>
          </cell>
          <cell r="L63">
            <v>290053.37310121156</v>
          </cell>
          <cell r="M63">
            <v>206511.16175963869</v>
          </cell>
          <cell r="N63">
            <v>344864.29065943579</v>
          </cell>
          <cell r="O63">
            <v>315819.20613857958</v>
          </cell>
          <cell r="P63">
            <v>297903.84546660876</v>
          </cell>
          <cell r="Q63">
            <v>9930.1281822202927</v>
          </cell>
          <cell r="S63">
            <v>0</v>
          </cell>
          <cell r="U63">
            <v>0</v>
          </cell>
          <cell r="W63">
            <v>0</v>
          </cell>
        </row>
        <row r="64">
          <cell r="A64" t="str">
            <v>T204</v>
          </cell>
          <cell r="B64" t="str">
            <v>ANDONIAINA Nathalie Alida</v>
          </cell>
          <cell r="C64">
            <v>133100</v>
          </cell>
          <cell r="D64">
            <v>117766.66666666667</v>
          </cell>
          <cell r="E64">
            <v>134512.22222222222</v>
          </cell>
          <cell r="F64">
            <v>126154.18469585954</v>
          </cell>
          <cell r="G64">
            <v>141539.68537856499</v>
          </cell>
          <cell r="H64">
            <v>154141.35848766321</v>
          </cell>
          <cell r="I64">
            <v>215852.97497048011</v>
          </cell>
          <cell r="J64">
            <v>162091.79612300236</v>
          </cell>
          <cell r="K64">
            <v>151911.73229266526</v>
          </cell>
          <cell r="L64">
            <v>149606.57104185619</v>
          </cell>
          <cell r="M64">
            <v>154641.12612300235</v>
          </cell>
          <cell r="N64">
            <v>182908.18419584993</v>
          </cell>
          <cell r="O64">
            <v>150700</v>
          </cell>
          <cell r="P64">
            <v>153485.54184981939</v>
          </cell>
          <cell r="Q64">
            <v>5116.1847283273128</v>
          </cell>
          <cell r="S64">
            <v>0</v>
          </cell>
          <cell r="U64">
            <v>0</v>
          </cell>
          <cell r="W64">
            <v>0</v>
          </cell>
        </row>
        <row r="65">
          <cell r="A65" t="str">
            <v>T206</v>
          </cell>
          <cell r="B65" t="str">
            <v>SOATAHY</v>
          </cell>
          <cell r="C65">
            <v>701510</v>
          </cell>
          <cell r="F65">
            <v>303725.06666666665</v>
          </cell>
          <cell r="G65">
            <v>474408</v>
          </cell>
          <cell r="H65">
            <v>458127.73333333334</v>
          </cell>
          <cell r="I65">
            <v>495711.84238158428</v>
          </cell>
          <cell r="J65">
            <v>495011.84238158428</v>
          </cell>
          <cell r="K65">
            <v>582841.63286001654</v>
          </cell>
          <cell r="L65">
            <v>757339.77025236131</v>
          </cell>
          <cell r="M65">
            <v>820742.43235446839</v>
          </cell>
          <cell r="N65">
            <v>895192.78749591345</v>
          </cell>
          <cell r="O65">
            <v>955466.27415911842</v>
          </cell>
          <cell r="P65">
            <v>623856.73818850459</v>
          </cell>
          <cell r="Q65">
            <v>20795.224606283486</v>
          </cell>
          <cell r="S65">
            <v>0</v>
          </cell>
          <cell r="U65">
            <v>0</v>
          </cell>
          <cell r="W65">
            <v>0</v>
          </cell>
        </row>
        <row r="66">
          <cell r="A66" t="str">
            <v>T208</v>
          </cell>
          <cell r="B66" t="str">
            <v>RAVAONIRINA Jocelyne</v>
          </cell>
          <cell r="C66">
            <v>133100</v>
          </cell>
          <cell r="G66">
            <v>75000</v>
          </cell>
          <cell r="H66">
            <v>125000</v>
          </cell>
          <cell r="I66">
            <v>165808.03999999998</v>
          </cell>
          <cell r="J66">
            <v>157800</v>
          </cell>
          <cell r="K66">
            <v>157800</v>
          </cell>
          <cell r="L66">
            <v>150600</v>
          </cell>
          <cell r="M66">
            <v>157900</v>
          </cell>
          <cell r="N66">
            <v>157900</v>
          </cell>
          <cell r="O66">
            <v>157900</v>
          </cell>
          <cell r="P66">
            <v>145078.67111111112</v>
          </cell>
          <cell r="Q66">
            <v>4835.9557037037039</v>
          </cell>
          <cell r="S66">
            <v>0</v>
          </cell>
          <cell r="U66">
            <v>0</v>
          </cell>
          <cell r="W66">
            <v>0</v>
          </cell>
        </row>
        <row r="67">
          <cell r="A67" t="str">
            <v>T210</v>
          </cell>
          <cell r="B67" t="str">
            <v>RAZANAJATOVO Jeannot</v>
          </cell>
          <cell r="C67">
            <v>133100</v>
          </cell>
          <cell r="H67">
            <v>34499.461528106309</v>
          </cell>
          <cell r="I67">
            <v>206489.4390969057</v>
          </cell>
          <cell r="J67">
            <v>167841.52456008768</v>
          </cell>
          <cell r="K67">
            <v>179217.66602956038</v>
          </cell>
          <cell r="L67">
            <v>150208.08849145391</v>
          </cell>
          <cell r="M67">
            <v>163018.3602567357</v>
          </cell>
          <cell r="N67">
            <v>180897.9576530318</v>
          </cell>
          <cell r="O67">
            <v>206270.73789880576</v>
          </cell>
          <cell r="P67">
            <v>161055.40443933592</v>
          </cell>
          <cell r="Q67">
            <v>5368.5134813111972</v>
          </cell>
          <cell r="S67">
            <v>0</v>
          </cell>
          <cell r="U67">
            <v>0</v>
          </cell>
          <cell r="W67">
            <v>0</v>
          </cell>
        </row>
        <row r="68">
          <cell r="A68" t="str">
            <v>T211</v>
          </cell>
          <cell r="B68" t="str">
            <v>RANDRIANANTENAINA Noël</v>
          </cell>
          <cell r="C68">
            <v>133100</v>
          </cell>
          <cell r="H68">
            <v>39134.887209369408</v>
          </cell>
          <cell r="I68">
            <v>204004.28221888881</v>
          </cell>
          <cell r="J68">
            <v>157295.54763745455</v>
          </cell>
          <cell r="K68">
            <v>186878.80829631339</v>
          </cell>
          <cell r="L68">
            <v>166474.47699936538</v>
          </cell>
          <cell r="M68">
            <v>168129.29946922057</v>
          </cell>
          <cell r="N68">
            <v>197599.76922633126</v>
          </cell>
          <cell r="O68">
            <v>225615.50799053826</v>
          </cell>
          <cell r="P68">
            <v>168141.57238093519</v>
          </cell>
          <cell r="Q68">
            <v>5604.7190793645068</v>
          </cell>
          <cell r="S68">
            <v>0</v>
          </cell>
          <cell r="U68">
            <v>0</v>
          </cell>
          <cell r="W68">
            <v>0</v>
          </cell>
        </row>
        <row r="69">
          <cell r="A69" t="str">
            <v>T212</v>
          </cell>
          <cell r="B69" t="str">
            <v>RAVELOSON Holiarimanga Dera</v>
          </cell>
          <cell r="C69">
            <v>133100</v>
          </cell>
          <cell r="I69">
            <v>203861.08063924304</v>
          </cell>
          <cell r="J69">
            <v>170335.57377257253</v>
          </cell>
          <cell r="K69">
            <v>175334.6531649839</v>
          </cell>
          <cell r="L69">
            <v>181512.77531589963</v>
          </cell>
          <cell r="M69">
            <v>183846.09415652222</v>
          </cell>
          <cell r="N69">
            <v>195500.634627589</v>
          </cell>
          <cell r="O69">
            <v>190058.2293890267</v>
          </cell>
          <cell r="P69">
            <v>185778.43443797671</v>
          </cell>
          <cell r="Q69">
            <v>6192.6144812658904</v>
          </cell>
          <cell r="S69">
            <v>0</v>
          </cell>
          <cell r="U69">
            <v>0</v>
          </cell>
          <cell r="W69">
            <v>0</v>
          </cell>
        </row>
        <row r="70">
          <cell r="A70" t="str">
            <v>T213</v>
          </cell>
          <cell r="B70" t="str">
            <v>RAZANDRAINIBE Hajaniaina Patrick</v>
          </cell>
          <cell r="C70">
            <v>133100</v>
          </cell>
          <cell r="I70">
            <v>106160.09241562337</v>
          </cell>
          <cell r="J70">
            <v>163851.0458201119</v>
          </cell>
          <cell r="K70">
            <v>179699.05596899937</v>
          </cell>
          <cell r="L70">
            <v>168203.29353295767</v>
          </cell>
          <cell r="M70">
            <v>150558.3707013042</v>
          </cell>
          <cell r="N70">
            <v>177871.04944325853</v>
          </cell>
          <cell r="O70">
            <v>205105.98569203255</v>
          </cell>
          <cell r="P70">
            <v>164492.6990820411</v>
          </cell>
          <cell r="Q70">
            <v>5483.0899694013697</v>
          </cell>
          <cell r="S70">
            <v>0</v>
          </cell>
          <cell r="U70">
            <v>0</v>
          </cell>
          <cell r="W70">
            <v>0</v>
          </cell>
        </row>
        <row r="71">
          <cell r="A71" t="str">
            <v>T214</v>
          </cell>
          <cell r="B71" t="str">
            <v>HERINTSOA Andry Manoely Georges</v>
          </cell>
          <cell r="C71">
            <v>133100</v>
          </cell>
          <cell r="I71">
            <v>92818.876123002352</v>
          </cell>
          <cell r="J71">
            <v>170659.67227023595</v>
          </cell>
          <cell r="K71">
            <v>177861.86114348352</v>
          </cell>
          <cell r="L71">
            <v>148253.42793822958</v>
          </cell>
          <cell r="M71">
            <v>159548.111960846</v>
          </cell>
          <cell r="N71">
            <v>193817.55033750649</v>
          </cell>
          <cell r="O71">
            <v>266102.6421661955</v>
          </cell>
          <cell r="P71">
            <v>172723.16313421421</v>
          </cell>
          <cell r="Q71">
            <v>5757.4387711404734</v>
          </cell>
          <cell r="S71">
            <v>0</v>
          </cell>
          <cell r="U71">
            <v>0</v>
          </cell>
          <cell r="W71">
            <v>0</v>
          </cell>
        </row>
        <row r="72">
          <cell r="A72" t="str">
            <v>T215</v>
          </cell>
          <cell r="B72" t="str">
            <v>ANDRIAMPARANIAINA clermont</v>
          </cell>
          <cell r="C72">
            <v>133100</v>
          </cell>
          <cell r="I72">
            <v>105110.68749437488</v>
          </cell>
          <cell r="J72">
            <v>171087.5118825362</v>
          </cell>
          <cell r="K72">
            <v>191716.05489278637</v>
          </cell>
          <cell r="L72">
            <v>170131.69169912243</v>
          </cell>
          <cell r="M72">
            <v>165948.19583473241</v>
          </cell>
          <cell r="N72">
            <v>202207.16552241388</v>
          </cell>
          <cell r="O72">
            <v>258404.81163099292</v>
          </cell>
          <cell r="P72">
            <v>180658.01699385131</v>
          </cell>
          <cell r="Q72">
            <v>6021.9338997950435</v>
          </cell>
          <cell r="S72">
            <v>0</v>
          </cell>
          <cell r="U72">
            <v>0</v>
          </cell>
          <cell r="W72">
            <v>0</v>
          </cell>
        </row>
        <row r="73">
          <cell r="A73" t="str">
            <v>T216</v>
          </cell>
          <cell r="B73" t="str">
            <v>RAZANADRAKOTO Hariniaina Patrick</v>
          </cell>
          <cell r="C73">
            <v>133100</v>
          </cell>
          <cell r="I73">
            <v>44730.481044250846</v>
          </cell>
          <cell r="J73">
            <v>172136.07833035249</v>
          </cell>
          <cell r="K73">
            <v>183751.65428373622</v>
          </cell>
          <cell r="L73">
            <v>152702.19794411428</v>
          </cell>
          <cell r="M73">
            <v>150152.1507329556</v>
          </cell>
          <cell r="N73">
            <v>193053.11255985691</v>
          </cell>
          <cell r="O73">
            <v>220739.34691051752</v>
          </cell>
          <cell r="P73">
            <v>159609.28882939767</v>
          </cell>
          <cell r="Q73">
            <v>5320.3096276465894</v>
          </cell>
          <cell r="S73">
            <v>0</v>
          </cell>
          <cell r="U73">
            <v>0</v>
          </cell>
          <cell r="W73">
            <v>0</v>
          </cell>
        </row>
        <row r="74">
          <cell r="A74" t="str">
            <v>T218</v>
          </cell>
          <cell r="B74" t="str">
            <v>ANDRIAMANATENA Lalaina Angeline</v>
          </cell>
          <cell r="C74">
            <v>133100</v>
          </cell>
          <cell r="I74">
            <v>77687.651685609337</v>
          </cell>
          <cell r="J74">
            <v>161342.51427912075</v>
          </cell>
          <cell r="K74">
            <v>173904.82111835486</v>
          </cell>
          <cell r="L74">
            <v>157535.15745388268</v>
          </cell>
          <cell r="M74">
            <v>146950.97288031821</v>
          </cell>
          <cell r="N74">
            <v>187340.8370353276</v>
          </cell>
          <cell r="O74">
            <v>213659.7217254178</v>
          </cell>
          <cell r="P74">
            <v>159774.52516829016</v>
          </cell>
          <cell r="Q74">
            <v>5325.8175056096716</v>
          </cell>
          <cell r="S74">
            <v>0</v>
          </cell>
          <cell r="U74">
            <v>0</v>
          </cell>
          <cell r="W74">
            <v>0</v>
          </cell>
        </row>
        <row r="75">
          <cell r="A75" t="str">
            <v>T219</v>
          </cell>
          <cell r="B75" t="str">
            <v>RAKOTONDRABE Jean Martial</v>
          </cell>
          <cell r="C75">
            <v>446408</v>
          </cell>
          <cell r="I75">
            <v>179906.50904825091</v>
          </cell>
          <cell r="J75">
            <v>496411.84238158428</v>
          </cell>
          <cell r="K75">
            <v>493351.67262575566</v>
          </cell>
          <cell r="L75">
            <v>440600.80320741213</v>
          </cell>
          <cell r="M75">
            <v>518415.68476316851</v>
          </cell>
          <cell r="N75">
            <v>601578.92713321408</v>
          </cell>
          <cell r="O75">
            <v>621497.61403103906</v>
          </cell>
          <cell r="P75">
            <v>478823.29331291787</v>
          </cell>
          <cell r="Q75">
            <v>15960.776443763929</v>
          </cell>
          <cell r="S75">
            <v>0</v>
          </cell>
          <cell r="U75">
            <v>0</v>
          </cell>
          <cell r="W75">
            <v>0</v>
          </cell>
        </row>
        <row r="76">
          <cell r="A76" t="str">
            <v>T220</v>
          </cell>
          <cell r="B76" t="str">
            <v>RASOLONIAINA Honoré</v>
          </cell>
          <cell r="C76">
            <v>133100</v>
          </cell>
          <cell r="I76">
            <v>11978.189300411523</v>
          </cell>
          <cell r="J76">
            <v>239771.81069958847</v>
          </cell>
          <cell r="K76">
            <v>225775.30864197531</v>
          </cell>
          <cell r="L76">
            <v>194845.26748971193</v>
          </cell>
          <cell r="M76">
            <v>194469.79423868313</v>
          </cell>
          <cell r="N76">
            <v>194469.79423868313</v>
          </cell>
          <cell r="O76">
            <v>240798.98459585762</v>
          </cell>
          <cell r="P76">
            <v>186015.59274355872</v>
          </cell>
          <cell r="Q76">
            <v>6200.5197581186239</v>
          </cell>
          <cell r="S76">
            <v>0</v>
          </cell>
          <cell r="U76">
            <v>0</v>
          </cell>
          <cell r="W76">
            <v>0</v>
          </cell>
        </row>
        <row r="77">
          <cell r="A77" t="str">
            <v>T222</v>
          </cell>
          <cell r="B77" t="str">
            <v>RABESON Tovo Harilaza</v>
          </cell>
          <cell r="C77">
            <v>446408</v>
          </cell>
          <cell r="J77">
            <v>243275.30350583667</v>
          </cell>
          <cell r="K77">
            <v>527680.36935261579</v>
          </cell>
          <cell r="L77">
            <v>431560.68592460116</v>
          </cell>
          <cell r="M77">
            <v>484339.07436681475</v>
          </cell>
          <cell r="N77">
            <v>491935.74574648426</v>
          </cell>
          <cell r="O77">
            <v>554537.75434142957</v>
          </cell>
          <cell r="P77">
            <v>455554.82220629702</v>
          </cell>
          <cell r="Q77">
            <v>15185.1607402099</v>
          </cell>
          <cell r="S77">
            <v>0</v>
          </cell>
          <cell r="U77">
            <v>0</v>
          </cell>
          <cell r="W77">
            <v>0</v>
          </cell>
        </row>
        <row r="78">
          <cell r="A78" t="str">
            <v>T223</v>
          </cell>
          <cell r="B78" t="str">
            <v>RANDRIANARISON Nico Faniry</v>
          </cell>
          <cell r="C78">
            <v>133100</v>
          </cell>
          <cell r="J78">
            <v>150659.25925925927</v>
          </cell>
          <cell r="K78">
            <v>204277.77777777778</v>
          </cell>
          <cell r="L78">
            <v>213837.44855967077</v>
          </cell>
          <cell r="M78">
            <v>207239.58847736625</v>
          </cell>
          <cell r="N78">
            <v>185240.43209876542</v>
          </cell>
          <cell r="O78">
            <v>245397.25379334218</v>
          </cell>
          <cell r="P78">
            <v>201108.62666103026</v>
          </cell>
          <cell r="Q78">
            <v>6703.6208887010089</v>
          </cell>
          <cell r="S78">
            <v>0</v>
          </cell>
          <cell r="U78">
            <v>0</v>
          </cell>
          <cell r="W78">
            <v>0</v>
          </cell>
        </row>
        <row r="79">
          <cell r="A79" t="str">
            <v>T226</v>
          </cell>
          <cell r="B79" t="str">
            <v>RAMAROSON Lalaina Niandrisoa</v>
          </cell>
          <cell r="C79">
            <v>255306</v>
          </cell>
          <cell r="N79">
            <v>395793.11013673339</v>
          </cell>
          <cell r="O79">
            <v>404252.43743148906</v>
          </cell>
          <cell r="P79">
            <v>400022.77378411125</v>
          </cell>
          <cell r="Q79">
            <v>13334.092459470376</v>
          </cell>
          <cell r="S79">
            <v>0</v>
          </cell>
          <cell r="U79">
            <v>0</v>
          </cell>
        </row>
        <row r="80">
          <cell r="A80" t="str">
            <v>T227</v>
          </cell>
          <cell r="B80" t="str">
            <v>AVILAZA Michel</v>
          </cell>
          <cell r="C80">
            <v>701510</v>
          </cell>
          <cell r="N80">
            <v>573959</v>
          </cell>
          <cell r="O80">
            <v>573959</v>
          </cell>
          <cell r="P80">
            <v>573959</v>
          </cell>
          <cell r="Q80">
            <v>19131.966666666667</v>
          </cell>
          <cell r="S80">
            <v>0</v>
          </cell>
          <cell r="U80">
            <v>0</v>
          </cell>
        </row>
        <row r="81">
          <cell r="A81" t="str">
            <v>T228</v>
          </cell>
          <cell r="B81" t="str">
            <v>RANDRIAMAMPIONONA Fulgence Angelo</v>
          </cell>
          <cell r="C81">
            <v>133100</v>
          </cell>
          <cell r="N81">
            <v>177864.12623319679</v>
          </cell>
          <cell r="O81">
            <v>232516.00300005771</v>
          </cell>
          <cell r="P81">
            <v>205190.06461662723</v>
          </cell>
          <cell r="Q81">
            <v>6839.6688205542414</v>
          </cell>
          <cell r="S81">
            <v>0</v>
          </cell>
          <cell r="U81">
            <v>0</v>
          </cell>
        </row>
        <row r="82">
          <cell r="A82" t="str">
            <v>T229</v>
          </cell>
          <cell r="B82" t="str">
            <v>RAZAFINOARISON Jean Baptiste</v>
          </cell>
          <cell r="C82">
            <v>133100</v>
          </cell>
          <cell r="N82">
            <v>201458.46362430046</v>
          </cell>
          <cell r="O82">
            <v>247011.5640685398</v>
          </cell>
          <cell r="P82">
            <v>224235.01384642013</v>
          </cell>
          <cell r="Q82">
            <v>7474.5004615473381</v>
          </cell>
          <cell r="S82">
            <v>0</v>
          </cell>
          <cell r="U82">
            <v>0</v>
          </cell>
        </row>
        <row r="83">
          <cell r="A83" t="str">
            <v>T230</v>
          </cell>
          <cell r="B83" t="str">
            <v>RAZAFINDRAVAHATRA Tolojanahary Jean Parfait</v>
          </cell>
          <cell r="C83">
            <v>133100</v>
          </cell>
          <cell r="N83">
            <v>123749.06959749226</v>
          </cell>
          <cell r="O83">
            <v>224598.04130848672</v>
          </cell>
          <cell r="P83">
            <v>174173.55545298947</v>
          </cell>
          <cell r="Q83">
            <v>5805.7851817663159</v>
          </cell>
          <cell r="S83">
            <v>0</v>
          </cell>
          <cell r="U83">
            <v>0</v>
          </cell>
        </row>
        <row r="84">
          <cell r="A84" t="str">
            <v>T231</v>
          </cell>
          <cell r="B84" t="str">
            <v>TODISOA FANIRY Jean Louiset</v>
          </cell>
          <cell r="C84">
            <v>133100</v>
          </cell>
          <cell r="N84">
            <v>123864.25450489433</v>
          </cell>
          <cell r="O84">
            <v>196019.28114002192</v>
          </cell>
          <cell r="P84">
            <v>159941.76782245812</v>
          </cell>
          <cell r="Q84">
            <v>5331.3922607486038</v>
          </cell>
          <cell r="S84">
            <v>0</v>
          </cell>
          <cell r="U84">
            <v>0</v>
          </cell>
        </row>
        <row r="85">
          <cell r="A85" t="str">
            <v>T232</v>
          </cell>
          <cell r="B85" t="str">
            <v>RANDRIAMANANTENA Fanomezantsoa Heriniaina</v>
          </cell>
          <cell r="C85">
            <v>133100</v>
          </cell>
          <cell r="N85">
            <v>128535.38644973942</v>
          </cell>
          <cell r="O85">
            <v>241978.05919344601</v>
          </cell>
          <cell r="P85">
            <v>185256.7228215927</v>
          </cell>
          <cell r="Q85">
            <v>6175.2240940530901</v>
          </cell>
          <cell r="S85">
            <v>0</v>
          </cell>
          <cell r="U85">
            <v>0</v>
          </cell>
        </row>
        <row r="86">
          <cell r="A86" t="str">
            <v>T234</v>
          </cell>
          <cell r="B86" t="str">
            <v>RAZAFINDRAIBE Dimbiniaina Onja Fanantenana</v>
          </cell>
          <cell r="C86">
            <v>133100</v>
          </cell>
          <cell r="N86">
            <v>109777.69860958864</v>
          </cell>
          <cell r="O86">
            <v>207019.43979691918</v>
          </cell>
          <cell r="P86">
            <v>158398.56920325389</v>
          </cell>
          <cell r="Q86">
            <v>5279.9523067751297</v>
          </cell>
          <cell r="S86">
            <v>0</v>
          </cell>
          <cell r="U86">
            <v>0</v>
          </cell>
        </row>
        <row r="87">
          <cell r="A87" t="str">
            <v>T235</v>
          </cell>
          <cell r="B87" t="str">
            <v>RASOLOFOMANDIMBY Florentin</v>
          </cell>
          <cell r="C87">
            <v>133100</v>
          </cell>
          <cell r="N87">
            <v>108747.32879478452</v>
          </cell>
          <cell r="O87">
            <v>207877.03225062019</v>
          </cell>
          <cell r="P87">
            <v>158312.18052270234</v>
          </cell>
          <cell r="Q87">
            <v>5277.0726840900779</v>
          </cell>
          <cell r="S87">
            <v>0</v>
          </cell>
          <cell r="U87">
            <v>0</v>
          </cell>
        </row>
        <row r="88">
          <cell r="A88" t="str">
            <v>T236</v>
          </cell>
          <cell r="B88" t="str">
            <v>RAMANDANIAINA Alfred Lovasoa</v>
          </cell>
          <cell r="C88">
            <v>133100</v>
          </cell>
          <cell r="N88">
            <v>108989.06594357584</v>
          </cell>
          <cell r="O88">
            <v>242123.19217677263</v>
          </cell>
          <cell r="P88">
            <v>175556.12906017422</v>
          </cell>
          <cell r="Q88">
            <v>5851.8709686724742</v>
          </cell>
          <cell r="S88">
            <v>0</v>
          </cell>
          <cell r="U88">
            <v>0</v>
          </cell>
        </row>
        <row r="89">
          <cell r="A89" t="str">
            <v>T237</v>
          </cell>
          <cell r="B89" t="str">
            <v>RANDRIANANTENAINA Toky Elysé</v>
          </cell>
          <cell r="C89">
            <v>133100</v>
          </cell>
          <cell r="N89">
            <v>96286.113579107288</v>
          </cell>
          <cell r="O89">
            <v>213757.75687993999</v>
          </cell>
          <cell r="P89">
            <v>155021.93522952363</v>
          </cell>
          <cell r="Q89">
            <v>5167.3978409841211</v>
          </cell>
          <cell r="S89">
            <v>0</v>
          </cell>
          <cell r="U89">
            <v>0</v>
          </cell>
        </row>
        <row r="90">
          <cell r="A90" t="str">
            <v>T238</v>
          </cell>
          <cell r="B90" t="str">
            <v>RANDRIANANDRASANA Miora Lantoniaina Fabien</v>
          </cell>
          <cell r="C90">
            <v>133100</v>
          </cell>
          <cell r="N90">
            <v>62769.189984422774</v>
          </cell>
          <cell r="O90">
            <v>263184.98528817861</v>
          </cell>
          <cell r="P90">
            <v>162977.08763630068</v>
          </cell>
          <cell r="Q90">
            <v>5432.5695878766892</v>
          </cell>
          <cell r="S90">
            <v>0</v>
          </cell>
          <cell r="U90">
            <v>0</v>
          </cell>
        </row>
        <row r="91">
          <cell r="A91" t="str">
            <v>T240</v>
          </cell>
          <cell r="B91" t="str">
            <v>RAFANOMEZANTSOA Andrianiaina</v>
          </cell>
          <cell r="C91">
            <v>134600</v>
          </cell>
          <cell r="N91">
            <v>60719.133444873936</v>
          </cell>
          <cell r="O91">
            <v>193412.28869785956</v>
          </cell>
          <cell r="P91">
            <v>127065.71107136675</v>
          </cell>
          <cell r="Q91">
            <v>4235.5237023788914</v>
          </cell>
          <cell r="S91">
            <v>0</v>
          </cell>
          <cell r="U91">
            <v>0</v>
          </cell>
        </row>
        <row r="92">
          <cell r="A92" t="str">
            <v>T241</v>
          </cell>
          <cell r="B92" t="str">
            <v>RASOLOFOMANANA Daniel</v>
          </cell>
          <cell r="C92">
            <v>133100</v>
          </cell>
          <cell r="N92">
            <v>64126.06819361911</v>
          </cell>
          <cell r="O92">
            <v>207249.80961172329</v>
          </cell>
          <cell r="P92">
            <v>135687.93890267122</v>
          </cell>
          <cell r="Q92">
            <v>4522.9312967557071</v>
          </cell>
          <cell r="S92">
            <v>0</v>
          </cell>
          <cell r="U92">
            <v>0</v>
          </cell>
        </row>
        <row r="93">
          <cell r="A93" t="str">
            <v>T242</v>
          </cell>
          <cell r="B93" t="str">
            <v>RAMANAMAHENINA Ryselle Tokinandrasana Njarasoa</v>
          </cell>
          <cell r="C93">
            <v>133100</v>
          </cell>
          <cell r="N93">
            <v>63018.757283793922</v>
          </cell>
          <cell r="O93">
            <v>205059.76057231869</v>
          </cell>
          <cell r="P93">
            <v>134039.25892805631</v>
          </cell>
          <cell r="Q93">
            <v>4467.9752976018772</v>
          </cell>
          <cell r="S93">
            <v>0</v>
          </cell>
          <cell r="U93">
            <v>0</v>
          </cell>
        </row>
        <row r="94">
          <cell r="A94" t="str">
            <v>T243</v>
          </cell>
          <cell r="B94" t="str">
            <v>RAKOTOMAMONJY Jean Pierrot</v>
          </cell>
          <cell r="C94">
            <v>133100</v>
          </cell>
          <cell r="N94">
            <v>58865.957422258121</v>
          </cell>
          <cell r="O94">
            <v>192937.92765245485</v>
          </cell>
          <cell r="P94">
            <v>125901.94253735649</v>
          </cell>
          <cell r="Q94">
            <v>4196.731417911883</v>
          </cell>
          <cell r="S94">
            <v>0</v>
          </cell>
          <cell r="U94">
            <v>0</v>
          </cell>
        </row>
        <row r="95">
          <cell r="A95" t="str">
            <v>T245</v>
          </cell>
          <cell r="B95" t="str">
            <v>RAKOTONDRAMANANA Frédéric</v>
          </cell>
          <cell r="C95">
            <v>133100</v>
          </cell>
          <cell r="N95">
            <v>53379.723456220316</v>
          </cell>
          <cell r="O95">
            <v>190312.10177118791</v>
          </cell>
          <cell r="P95">
            <v>121845.91261370412</v>
          </cell>
          <cell r="Q95">
            <v>4061.5304204568038</v>
          </cell>
          <cell r="S95">
            <v>0</v>
          </cell>
          <cell r="U95">
            <v>0</v>
          </cell>
        </row>
        <row r="96">
          <cell r="A96" t="str">
            <v>T246</v>
          </cell>
          <cell r="B96" t="str">
            <v>RAZAFIARIJAONA Tahianarinala</v>
          </cell>
          <cell r="C96">
            <v>446408</v>
          </cell>
          <cell r="N96">
            <v>124641.73491028673</v>
          </cell>
          <cell r="O96">
            <v>599236.22361968504</v>
          </cell>
          <cell r="P96">
            <v>361938.97926498589</v>
          </cell>
          <cell r="Q96">
            <v>12064.632642166196</v>
          </cell>
          <cell r="S96">
            <v>0</v>
          </cell>
          <cell r="U96">
            <v>0</v>
          </cell>
        </row>
        <row r="97">
          <cell r="A97" t="str">
            <v>T247</v>
          </cell>
          <cell r="B97" t="str">
            <v>RAKOTOHASIMANANA N. Avotra</v>
          </cell>
          <cell r="C97">
            <v>133100</v>
          </cell>
          <cell r="O97">
            <v>13669.871728302467</v>
          </cell>
          <cell r="P97">
            <v>13669.871728302467</v>
          </cell>
          <cell r="Q97">
            <v>455.66239094341557</v>
          </cell>
          <cell r="S97">
            <v>0</v>
          </cell>
          <cell r="U97">
            <v>0</v>
          </cell>
        </row>
        <row r="98">
          <cell r="A98" t="str">
            <v>T248</v>
          </cell>
          <cell r="B98" t="str">
            <v>RATOVOARISOA Mamitiana</v>
          </cell>
          <cell r="C98">
            <v>133100</v>
          </cell>
          <cell r="O98">
            <v>12921.169830189043</v>
          </cell>
          <cell r="P98">
            <v>12921.169830189043</v>
          </cell>
          <cell r="Q98">
            <v>430.70566100630145</v>
          </cell>
          <cell r="S98">
            <v>0</v>
          </cell>
          <cell r="U98">
            <v>0</v>
          </cell>
        </row>
        <row r="99">
          <cell r="A99" t="str">
            <v>T249</v>
          </cell>
          <cell r="B99" t="str">
            <v>RAKOTONIRINA Nomenjanahary Feno</v>
          </cell>
          <cell r="C99">
            <v>133100</v>
          </cell>
          <cell r="O99">
            <v>13669.871728302467</v>
          </cell>
          <cell r="P99">
            <v>13669.871728302467</v>
          </cell>
          <cell r="Q99">
            <v>455.66239094341557</v>
          </cell>
          <cell r="S99">
            <v>0</v>
          </cell>
          <cell r="U99">
            <v>0</v>
          </cell>
        </row>
        <row r="100">
          <cell r="A100" t="str">
            <v>T250</v>
          </cell>
          <cell r="B100" t="str">
            <v>ANDRINIAINA Tojosoa Eric</v>
          </cell>
          <cell r="C100">
            <v>133100</v>
          </cell>
          <cell r="O100">
            <v>15666.410123271602</v>
          </cell>
          <cell r="P100">
            <v>15666.410123271602</v>
          </cell>
          <cell r="Q100">
            <v>522.21367077572006</v>
          </cell>
          <cell r="S100">
            <v>0</v>
          </cell>
          <cell r="U100">
            <v>0</v>
          </cell>
        </row>
        <row r="101">
          <cell r="A101" t="str">
            <v>T252</v>
          </cell>
          <cell r="B101" t="str">
            <v>RANDRIANARISON Heritiana Mamitiana</v>
          </cell>
          <cell r="C101">
            <v>133100</v>
          </cell>
          <cell r="P101">
            <v>0</v>
          </cell>
          <cell r="Q101">
            <v>4436.666666666667</v>
          </cell>
          <cell r="S101">
            <v>0</v>
          </cell>
          <cell r="U101">
            <v>0</v>
          </cell>
        </row>
        <row r="102">
          <cell r="A102" t="str">
            <v>T253</v>
          </cell>
          <cell r="B102" t="str">
            <v>RANARISON Rojo Nambinintsoa</v>
          </cell>
          <cell r="C102">
            <v>133100</v>
          </cell>
          <cell r="P102">
            <v>0</v>
          </cell>
          <cell r="Q102">
            <v>4436.666666666667</v>
          </cell>
          <cell r="S102">
            <v>0</v>
          </cell>
          <cell r="U102">
            <v>0</v>
          </cell>
        </row>
        <row r="103">
          <cell r="A103" t="str">
            <v>T254</v>
          </cell>
          <cell r="B103" t="str">
            <v>RAKOTOMALALA Tolotra</v>
          </cell>
          <cell r="C103">
            <v>133100</v>
          </cell>
          <cell r="P103">
            <v>0</v>
          </cell>
          <cell r="Q103">
            <v>4436.666666666667</v>
          </cell>
          <cell r="S103">
            <v>0</v>
          </cell>
          <cell r="U103">
            <v>0</v>
          </cell>
        </row>
        <row r="104">
          <cell r="A104" t="str">
            <v>T255</v>
          </cell>
          <cell r="B104" t="str">
            <v>RASAMOELINA TAFITASOA Hanitriniala</v>
          </cell>
          <cell r="C104">
            <v>133100</v>
          </cell>
          <cell r="P104">
            <v>0</v>
          </cell>
          <cell r="Q104">
            <v>4436.666666666667</v>
          </cell>
          <cell r="S104">
            <v>0</v>
          </cell>
          <cell r="U104">
            <v>0</v>
          </cell>
        </row>
        <row r="108"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W108">
            <v>0</v>
          </cell>
        </row>
        <row r="109"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W109">
            <v>0</v>
          </cell>
        </row>
        <row r="111">
          <cell r="P111">
            <v>0</v>
          </cell>
          <cell r="S111">
            <v>0</v>
          </cell>
          <cell r="U111">
            <v>0</v>
          </cell>
          <cell r="W111">
            <v>0</v>
          </cell>
        </row>
        <row r="112">
          <cell r="A112">
            <v>103</v>
          </cell>
          <cell r="B112" t="str">
            <v>TOTAL</v>
          </cell>
          <cell r="P112">
            <v>0</v>
          </cell>
          <cell r="S112">
            <v>0</v>
          </cell>
          <cell r="U112">
            <v>0</v>
          </cell>
          <cell r="W112">
            <v>0</v>
          </cell>
        </row>
        <row r="113">
          <cell r="A113">
            <v>1</v>
          </cell>
          <cell r="B113">
            <v>2</v>
          </cell>
          <cell r="C113">
            <v>3</v>
          </cell>
          <cell r="D113">
            <v>4</v>
          </cell>
          <cell r="E113">
            <v>5</v>
          </cell>
          <cell r="F113">
            <v>6</v>
          </cell>
          <cell r="G113">
            <v>7</v>
          </cell>
          <cell r="H113">
            <v>8</v>
          </cell>
          <cell r="I113">
            <v>9</v>
          </cell>
          <cell r="J113">
            <v>10</v>
          </cell>
          <cell r="K113">
            <v>11</v>
          </cell>
          <cell r="L113">
            <v>12</v>
          </cell>
          <cell r="M113">
            <v>13</v>
          </cell>
          <cell r="N113">
            <v>14</v>
          </cell>
          <cell r="O113">
            <v>15</v>
          </cell>
          <cell r="P113">
            <v>16</v>
          </cell>
          <cell r="Q113">
            <v>17</v>
          </cell>
          <cell r="R113">
            <v>18</v>
          </cell>
          <cell r="S113">
            <v>19</v>
          </cell>
          <cell r="T113">
            <v>20</v>
          </cell>
          <cell r="U113">
            <v>21</v>
          </cell>
          <cell r="V113">
            <v>22</v>
          </cell>
          <cell r="W113">
            <v>23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str">
            <v>T032</v>
          </cell>
          <cell r="C3" t="str">
            <v>DEHAAS Pierre Herman Joseph</v>
          </cell>
          <cell r="D3">
            <v>3200000</v>
          </cell>
          <cell r="E3" t="str">
            <v>M</v>
          </cell>
          <cell r="F3" t="str">
            <v>524730000432</v>
          </cell>
          <cell r="G3">
            <v>19205</v>
          </cell>
          <cell r="I3" t="str">
            <v>Passeport : N°07AA21144</v>
          </cell>
          <cell r="J3">
            <v>39188</v>
          </cell>
          <cell r="K3" t="str">
            <v>Pyrénées Orientales</v>
          </cell>
          <cell r="L3" t="str">
            <v>Antananarivo</v>
          </cell>
          <cell r="M3">
            <v>40452</v>
          </cell>
          <cell r="N3">
            <v>40452</v>
          </cell>
          <cell r="O3" t="str">
            <v>Responsable atelier mécanique</v>
          </cell>
          <cell r="P3" t="str">
            <v>HC</v>
          </cell>
          <cell r="R3" t="str">
            <v>CDI</v>
          </cell>
        </row>
        <row r="4">
          <cell r="B4" t="str">
            <v>T168</v>
          </cell>
          <cell r="C4" t="str">
            <v>HUON DE KERMADEC Vincent</v>
          </cell>
          <cell r="D4">
            <v>1787501</v>
          </cell>
          <cell r="E4" t="str">
            <v>M</v>
          </cell>
          <cell r="F4" t="str">
            <v>774413000174</v>
          </cell>
          <cell r="G4">
            <v>28228</v>
          </cell>
          <cell r="H4" t="str">
            <v>Brest</v>
          </cell>
          <cell r="I4">
            <v>50810300515</v>
          </cell>
          <cell r="J4">
            <v>39461</v>
          </cell>
          <cell r="K4" t="str">
            <v>Antananarivo</v>
          </cell>
          <cell r="L4" t="str">
            <v>Lot FSII36 Soamananety Ambohidratrimo</v>
          </cell>
          <cell r="M4">
            <v>41640</v>
          </cell>
          <cell r="N4">
            <v>39692</v>
          </cell>
          <cell r="O4" t="str">
            <v>Directeur de production</v>
          </cell>
          <cell r="P4" t="str">
            <v>HC</v>
          </cell>
          <cell r="R4" t="str">
            <v>CDI</v>
          </cell>
        </row>
        <row r="7">
          <cell r="B7" t="str">
            <v>T008</v>
          </cell>
          <cell r="C7" t="str">
            <v>RAMANANA Louis de Gonzague</v>
          </cell>
          <cell r="D7">
            <v>693857</v>
          </cell>
          <cell r="E7" t="str">
            <v>M</v>
          </cell>
          <cell r="F7" t="str">
            <v>800311002185</v>
          </cell>
          <cell r="G7">
            <v>29291</v>
          </cell>
          <cell r="H7" t="str">
            <v>Ambohidratrimo</v>
          </cell>
          <cell r="I7">
            <v>103011002572</v>
          </cell>
          <cell r="J7">
            <v>36130</v>
          </cell>
          <cell r="K7" t="str">
            <v>Ambohidratrimo</v>
          </cell>
          <cell r="L7" t="str">
            <v>bemasoandro Andriantany</v>
          </cell>
          <cell r="M7">
            <v>39449</v>
          </cell>
          <cell r="N7">
            <v>40148</v>
          </cell>
          <cell r="O7" t="str">
            <v>Cadre junior-stratifieur</v>
          </cell>
          <cell r="P7" t="str">
            <v>OS</v>
          </cell>
          <cell r="Q7">
            <v>3</v>
          </cell>
          <cell r="R7" t="str">
            <v>CDI</v>
          </cell>
        </row>
        <row r="8">
          <cell r="B8" t="str">
            <v>T113</v>
          </cell>
          <cell r="C8" t="str">
            <v>ANDRIAMANDIMBINIAINA Veuvé Bayard</v>
          </cell>
          <cell r="D8">
            <v>1208762</v>
          </cell>
          <cell r="E8" t="str">
            <v>M</v>
          </cell>
          <cell r="F8" t="str">
            <v>99999999999</v>
          </cell>
          <cell r="G8">
            <v>28608</v>
          </cell>
          <cell r="H8" t="str">
            <v>Morafeno Arivonimamo</v>
          </cell>
          <cell r="I8">
            <v>101211144662</v>
          </cell>
          <cell r="J8">
            <v>35599</v>
          </cell>
          <cell r="K8" t="str">
            <v>Itaosy</v>
          </cell>
          <cell r="L8" t="str">
            <v>Lot IT39 Itaosy</v>
          </cell>
          <cell r="M8">
            <v>40974</v>
          </cell>
          <cell r="N8">
            <v>40974</v>
          </cell>
          <cell r="O8" t="str">
            <v>Responsable atelier Chaudronnerie</v>
          </cell>
          <cell r="P8" t="str">
            <v>HC</v>
          </cell>
          <cell r="R8" t="str">
            <v>CDI</v>
          </cell>
        </row>
        <row r="9">
          <cell r="B9" t="str">
            <v>T134</v>
          </cell>
          <cell r="C9" t="str">
            <v>ANDRIAMANANTENA Tovonony Barison</v>
          </cell>
          <cell r="D9">
            <v>1458762</v>
          </cell>
          <cell r="E9" t="str">
            <v>M</v>
          </cell>
          <cell r="F9" t="str">
            <v>800525004595</v>
          </cell>
          <cell r="G9">
            <v>29366</v>
          </cell>
          <cell r="H9" t="str">
            <v>Andoharanofotsy</v>
          </cell>
          <cell r="I9">
            <v>101211153195</v>
          </cell>
          <cell r="J9">
            <v>36159</v>
          </cell>
          <cell r="K9" t="str">
            <v>Antananarivo I</v>
          </cell>
          <cell r="L9" t="str">
            <v>Lot IG127 Ambalavao Isotry</v>
          </cell>
          <cell r="M9">
            <v>39793</v>
          </cell>
          <cell r="N9">
            <v>39793</v>
          </cell>
          <cell r="O9" t="str">
            <v>Responsable Composite</v>
          </cell>
          <cell r="P9" t="str">
            <v>HC</v>
          </cell>
          <cell r="R9" t="str">
            <v>CDI</v>
          </cell>
        </row>
        <row r="10">
          <cell r="B10" t="str">
            <v>T146</v>
          </cell>
          <cell r="C10" t="str">
            <v>RANDRIAMIADANA Rijaniaina</v>
          </cell>
          <cell r="D10">
            <v>956612</v>
          </cell>
          <cell r="E10" t="str">
            <v>M</v>
          </cell>
          <cell r="F10" t="str">
            <v>790228003547</v>
          </cell>
          <cell r="G10">
            <v>28906</v>
          </cell>
          <cell r="H10" t="str">
            <v>Antananarivo</v>
          </cell>
          <cell r="I10">
            <v>102071002917</v>
          </cell>
          <cell r="J10">
            <v>35500</v>
          </cell>
          <cell r="K10" t="str">
            <v>Sabotsy namehana</v>
          </cell>
          <cell r="L10" t="str">
            <v>Lot II F 31 K bis Andraisoro Fenomanana</v>
          </cell>
          <cell r="M10">
            <v>39966</v>
          </cell>
          <cell r="N10">
            <v>39966</v>
          </cell>
          <cell r="O10" t="str">
            <v>Responsable montage</v>
          </cell>
          <cell r="P10" t="str">
            <v>HC</v>
          </cell>
          <cell r="R10" t="str">
            <v>CDI</v>
          </cell>
        </row>
        <row r="11">
          <cell r="B11" t="str">
            <v>T163</v>
          </cell>
          <cell r="C11" t="str">
            <v>RAZAFINIRINA Patrick</v>
          </cell>
          <cell r="D11">
            <v>701510</v>
          </cell>
          <cell r="E11" t="str">
            <v>M</v>
          </cell>
          <cell r="F11" t="str">
            <v>871121000569</v>
          </cell>
          <cell r="G11">
            <v>32102</v>
          </cell>
          <cell r="H11" t="str">
            <v>Antanananarivo</v>
          </cell>
          <cell r="I11">
            <v>101211182676</v>
          </cell>
          <cell r="J11">
            <v>38687</v>
          </cell>
          <cell r="K11" t="str">
            <v>Antananarivo I</v>
          </cell>
          <cell r="L11" t="str">
            <v>Lot FMAI 91 bis, 67 Ha Sud</v>
          </cell>
          <cell r="M11">
            <v>39419</v>
          </cell>
          <cell r="N11">
            <v>39419</v>
          </cell>
          <cell r="O11" t="str">
            <v>Cadre junior- Responsable Production</v>
          </cell>
          <cell r="P11" t="str">
            <v>HC</v>
          </cell>
          <cell r="R11" t="str">
            <v>CDI</v>
          </cell>
        </row>
        <row r="12">
          <cell r="B12" t="str">
            <v>T227</v>
          </cell>
          <cell r="C12" t="str">
            <v>AVILAZA Michel</v>
          </cell>
          <cell r="D12">
            <v>701510</v>
          </cell>
          <cell r="E12" t="str">
            <v>M</v>
          </cell>
          <cell r="F12" t="str">
            <v>751211002221</v>
          </cell>
          <cell r="G12">
            <v>27739</v>
          </cell>
          <cell r="H12" t="str">
            <v>Hell ville Nosy Be</v>
          </cell>
          <cell r="I12">
            <v>718991031871</v>
          </cell>
          <cell r="J12">
            <v>26934</v>
          </cell>
          <cell r="K12" t="str">
            <v>Nosy Be</v>
          </cell>
          <cell r="L12" t="str">
            <v>Dar es Salam Nosy Be</v>
          </cell>
          <cell r="M12">
            <v>42268</v>
          </cell>
          <cell r="N12">
            <v>42268</v>
          </cell>
          <cell r="O12" t="str">
            <v>Skipper</v>
          </cell>
          <cell r="P12" t="str">
            <v>HC</v>
          </cell>
          <cell r="R12" t="str">
            <v>CDD</v>
          </cell>
        </row>
        <row r="13">
          <cell r="D13">
            <v>701510</v>
          </cell>
        </row>
        <row r="14">
          <cell r="B14" t="str">
            <v>T006</v>
          </cell>
          <cell r="C14" t="str">
            <v>TSIRINONY Dieu Donné</v>
          </cell>
          <cell r="D14">
            <v>400000</v>
          </cell>
          <cell r="E14" t="str">
            <v>M</v>
          </cell>
          <cell r="F14" t="str">
            <v>848983</v>
          </cell>
          <cell r="G14">
            <v>25622</v>
          </cell>
          <cell r="H14" t="str">
            <v>Morondava</v>
          </cell>
          <cell r="I14">
            <v>508051001651</v>
          </cell>
          <cell r="J14">
            <v>33891</v>
          </cell>
          <cell r="K14" t="str">
            <v>Morondava</v>
          </cell>
          <cell r="L14" t="str">
            <v>LoT 73 Amboropotsy</v>
          </cell>
          <cell r="M14">
            <v>39342</v>
          </cell>
          <cell r="N14">
            <v>40148</v>
          </cell>
          <cell r="O14" t="str">
            <v>Technicien</v>
          </cell>
          <cell r="P14" t="str">
            <v>OP</v>
          </cell>
          <cell r="Q14">
            <v>2</v>
          </cell>
          <cell r="R14" t="str">
            <v>CDI</v>
          </cell>
        </row>
        <row r="15">
          <cell r="B15" t="str">
            <v>T007</v>
          </cell>
          <cell r="C15" t="str">
            <v>EUGENE</v>
          </cell>
          <cell r="D15">
            <v>472000</v>
          </cell>
          <cell r="E15" t="str">
            <v>M</v>
          </cell>
          <cell r="F15" t="str">
            <v>888242</v>
          </cell>
          <cell r="G15">
            <v>26189</v>
          </cell>
          <cell r="H15" t="str">
            <v>Morondava</v>
          </cell>
          <cell r="I15">
            <v>508991004091</v>
          </cell>
          <cell r="J15">
            <v>33375</v>
          </cell>
          <cell r="K15" t="str">
            <v>Morondava</v>
          </cell>
          <cell r="L15" t="str">
            <v>LoT 73 Amboropotsy</v>
          </cell>
          <cell r="M15">
            <v>39342</v>
          </cell>
          <cell r="N15">
            <v>40148</v>
          </cell>
          <cell r="O15" t="str">
            <v>Technicien</v>
          </cell>
          <cell r="P15" t="str">
            <v>OP</v>
          </cell>
          <cell r="Q15">
            <v>2</v>
          </cell>
          <cell r="R15" t="str">
            <v>CDI</v>
          </cell>
        </row>
        <row r="16">
          <cell r="B16" t="str">
            <v>T206</v>
          </cell>
          <cell r="C16" t="str">
            <v>SOATAHY</v>
          </cell>
          <cell r="D16">
            <v>701510</v>
          </cell>
          <cell r="E16" t="str">
            <v>M</v>
          </cell>
          <cell r="F16" t="str">
            <v>791105003078</v>
          </cell>
          <cell r="G16">
            <v>29164</v>
          </cell>
          <cell r="H16" t="str">
            <v>Antsiranana</v>
          </cell>
          <cell r="I16">
            <v>401031015923</v>
          </cell>
          <cell r="J16">
            <v>35982</v>
          </cell>
          <cell r="K16" t="str">
            <v>Mahajanga I</v>
          </cell>
          <cell r="L16" t="str">
            <v>Lot 67A-ter FM Morondava Antehiroka</v>
          </cell>
          <cell r="M16">
            <v>42037</v>
          </cell>
          <cell r="N16">
            <v>42037</v>
          </cell>
          <cell r="O16" t="str">
            <v>Mécanicien</v>
          </cell>
          <cell r="P16" t="str">
            <v>OP</v>
          </cell>
          <cell r="R16" t="str">
            <v>CDD</v>
          </cell>
        </row>
        <row r="17">
          <cell r="B17" t="str">
            <v>T219</v>
          </cell>
          <cell r="C17" t="str">
            <v>RAKOTONDRABE Jean Martial</v>
          </cell>
          <cell r="D17">
            <v>446408</v>
          </cell>
          <cell r="E17" t="str">
            <v>M</v>
          </cell>
          <cell r="F17" t="str">
            <v>832962</v>
          </cell>
          <cell r="G17">
            <v>24106</v>
          </cell>
          <cell r="H17" t="str">
            <v>Befelatanana</v>
          </cell>
          <cell r="I17">
            <v>101251056258</v>
          </cell>
          <cell r="J17">
            <v>30879</v>
          </cell>
          <cell r="K17" t="str">
            <v>Antananarivo V</v>
          </cell>
          <cell r="L17" t="str">
            <v>Lot 45 Antanetibe Ivato</v>
          </cell>
          <cell r="M17">
            <v>42135</v>
          </cell>
          <cell r="N17">
            <v>42135</v>
          </cell>
          <cell r="O17" t="str">
            <v>Mécanicien</v>
          </cell>
          <cell r="P17" t="str">
            <v>OP</v>
          </cell>
          <cell r="R17" t="str">
            <v>CDD</v>
          </cell>
        </row>
        <row r="18">
          <cell r="B18" t="str">
            <v>T246</v>
          </cell>
          <cell r="C18" t="str">
            <v>RAZAFIARIJAONA Tahianarinala</v>
          </cell>
          <cell r="D18">
            <v>446408</v>
          </cell>
          <cell r="E18" t="str">
            <v>M</v>
          </cell>
          <cell r="F18" t="str">
            <v>999999999</v>
          </cell>
          <cell r="G18">
            <v>31244</v>
          </cell>
          <cell r="H18" t="str">
            <v>Behenjy</v>
          </cell>
          <cell r="I18">
            <v>102011008786</v>
          </cell>
          <cell r="L18" t="str">
            <v>Lot II I 68 ZFX Alarobia Amboniloha</v>
          </cell>
          <cell r="M18">
            <v>42292</v>
          </cell>
          <cell r="N18">
            <v>42292</v>
          </cell>
          <cell r="O18" t="str">
            <v>Soudeur - Tolier - Peintre</v>
          </cell>
          <cell r="P18" t="str">
            <v>OP</v>
          </cell>
          <cell r="R18" t="str">
            <v>CDD</v>
          </cell>
        </row>
        <row r="20">
          <cell r="B20" t="str">
            <v>T002</v>
          </cell>
          <cell r="C20" t="str">
            <v>RATSIMANDRESY Dominique Aimé</v>
          </cell>
          <cell r="D20">
            <v>380000</v>
          </cell>
          <cell r="E20" t="str">
            <v>M</v>
          </cell>
          <cell r="F20" t="str">
            <v>900516000104</v>
          </cell>
          <cell r="G20">
            <v>33009</v>
          </cell>
          <cell r="H20" t="str">
            <v>Antsirabe</v>
          </cell>
          <cell r="I20">
            <v>713031002289</v>
          </cell>
          <cell r="J20">
            <v>39713</v>
          </cell>
          <cell r="K20" t="str">
            <v>Antsiranana</v>
          </cell>
          <cell r="L20" t="str">
            <v>IVL34 Ampahibato Alasora</v>
          </cell>
          <cell r="M20">
            <v>40046</v>
          </cell>
          <cell r="N20">
            <v>40046</v>
          </cell>
          <cell r="O20" t="str">
            <v>Chef d'équipe Composite</v>
          </cell>
          <cell r="P20" t="str">
            <v>OS2</v>
          </cell>
          <cell r="R20" t="str">
            <v>CDI</v>
          </cell>
        </row>
        <row r="21">
          <cell r="B21" t="str">
            <v>T022</v>
          </cell>
          <cell r="C21" t="str">
            <v>RAZAFIMAHEFASOLO Jean Eddy</v>
          </cell>
          <cell r="D21">
            <v>380000</v>
          </cell>
          <cell r="E21" t="str">
            <v>M</v>
          </cell>
          <cell r="F21" t="str">
            <v>820402001893</v>
          </cell>
          <cell r="I21">
            <v>101310020437</v>
          </cell>
          <cell r="M21">
            <v>40289</v>
          </cell>
          <cell r="N21">
            <v>40289</v>
          </cell>
          <cell r="O21" t="str">
            <v>Chef d'équipe Composite</v>
          </cell>
          <cell r="P21" t="str">
            <v>OS1</v>
          </cell>
          <cell r="R21" t="str">
            <v>CDI</v>
          </cell>
        </row>
        <row r="22">
          <cell r="B22" t="str">
            <v>T050</v>
          </cell>
          <cell r="C22" t="str">
            <v>RAMANALINIRIANA Jean Victor</v>
          </cell>
          <cell r="D22">
            <v>380000</v>
          </cell>
          <cell r="E22" t="str">
            <v>M</v>
          </cell>
          <cell r="F22" t="str">
            <v>72121020001L</v>
          </cell>
          <cell r="G22">
            <v>26645</v>
          </cell>
          <cell r="H22" t="str">
            <v>Anjava Gare</v>
          </cell>
          <cell r="I22">
            <v>104051000421</v>
          </cell>
          <cell r="J22">
            <v>33074</v>
          </cell>
          <cell r="K22" t="str">
            <v>Ankazobe</v>
          </cell>
          <cell r="L22" t="str">
            <v>Mamory Miray Antoby</v>
          </cell>
          <cell r="M22">
            <v>40556</v>
          </cell>
          <cell r="N22">
            <v>40556</v>
          </cell>
          <cell r="O22" t="str">
            <v>Chef d'équipe Menuisier</v>
          </cell>
          <cell r="P22" t="str">
            <v>OS2</v>
          </cell>
          <cell r="R22" t="str">
            <v>CDI</v>
          </cell>
        </row>
        <row r="23">
          <cell r="B23" t="str">
            <v>T102</v>
          </cell>
          <cell r="C23" t="str">
            <v>RABEARINORO John Eddy</v>
          </cell>
          <cell r="D23">
            <v>380000</v>
          </cell>
          <cell r="E23" t="str">
            <v>M</v>
          </cell>
          <cell r="F23" t="str">
            <v>810320000335</v>
          </cell>
          <cell r="G23">
            <v>29665</v>
          </cell>
          <cell r="H23" t="str">
            <v>Farafangana</v>
          </cell>
          <cell r="I23">
            <v>103111006144</v>
          </cell>
          <cell r="J23">
            <v>36452</v>
          </cell>
          <cell r="K23" t="str">
            <v>Ambohidratrimo</v>
          </cell>
          <cell r="L23" t="str">
            <v>Lot 323 MD Mandrosoa Ivato</v>
          </cell>
          <cell r="M23">
            <v>40949</v>
          </cell>
          <cell r="N23">
            <v>40949</v>
          </cell>
          <cell r="O23" t="str">
            <v>Chef d'équipe Composite</v>
          </cell>
          <cell r="P23" t="str">
            <v>OS2</v>
          </cell>
          <cell r="R23" t="str">
            <v>CDI</v>
          </cell>
        </row>
        <row r="24">
          <cell r="B24" t="str">
            <v>T148</v>
          </cell>
          <cell r="C24" t="str">
            <v>RAKOTONDRATSARA Solofoniana Hyacinthe Jean Ferdinand</v>
          </cell>
          <cell r="D24">
            <v>380000</v>
          </cell>
          <cell r="E24" t="str">
            <v>M</v>
          </cell>
          <cell r="F24" t="str">
            <v>800302000787</v>
          </cell>
          <cell r="G24">
            <v>29282</v>
          </cell>
          <cell r="H24" t="str">
            <v>Seranina Ambohipanja</v>
          </cell>
          <cell r="I24">
            <v>102031009020</v>
          </cell>
          <cell r="J24">
            <v>36446</v>
          </cell>
          <cell r="K24" t="str">
            <v>Ankadikely</v>
          </cell>
          <cell r="L24" t="str">
            <v>Lot 104 Ambohipanja Seranina</v>
          </cell>
          <cell r="M24">
            <v>39713</v>
          </cell>
          <cell r="N24">
            <v>39713</v>
          </cell>
          <cell r="O24" t="str">
            <v>Chef d'équipe Menuisier</v>
          </cell>
          <cell r="P24" t="str">
            <v>OS2</v>
          </cell>
          <cell r="Q24">
            <v>2</v>
          </cell>
          <cell r="R24" t="str">
            <v>CDI</v>
          </cell>
        </row>
        <row r="25">
          <cell r="B25" t="str">
            <v>T153</v>
          </cell>
          <cell r="C25" t="str">
            <v>RAMILAVONJY Ramiandrasoa Flavien</v>
          </cell>
          <cell r="D25">
            <v>380000</v>
          </cell>
          <cell r="E25" t="str">
            <v>M</v>
          </cell>
          <cell r="F25" t="str">
            <v>720214003432</v>
          </cell>
          <cell r="G25">
            <v>26343</v>
          </cell>
          <cell r="H25" t="str">
            <v>Ihosy</v>
          </cell>
          <cell r="I25">
            <v>216011004046</v>
          </cell>
          <cell r="J25">
            <v>32952</v>
          </cell>
          <cell r="K25" t="str">
            <v>Ihosy</v>
          </cell>
          <cell r="L25" t="str">
            <v>Bloc 14-Porte 6 Cité 67 ha Antananarivo</v>
          </cell>
          <cell r="M25">
            <v>39951</v>
          </cell>
          <cell r="N25">
            <v>39951</v>
          </cell>
          <cell r="O25" t="str">
            <v>Chef d'équipe Menuisier</v>
          </cell>
          <cell r="P25" t="str">
            <v>OS2</v>
          </cell>
          <cell r="R25" t="str">
            <v>CDI</v>
          </cell>
        </row>
        <row r="27">
          <cell r="B27" t="str">
            <v>T009</v>
          </cell>
          <cell r="C27" t="str">
            <v>RAKOTOARISOA Jean Michel</v>
          </cell>
          <cell r="D27">
            <v>275000</v>
          </cell>
          <cell r="E27" t="str">
            <v>M</v>
          </cell>
          <cell r="F27" t="str">
            <v>780820001233</v>
          </cell>
          <cell r="G27">
            <v>28722</v>
          </cell>
          <cell r="H27" t="str">
            <v>Faratsiho</v>
          </cell>
          <cell r="I27">
            <v>116031002673</v>
          </cell>
          <cell r="J27">
            <v>35640</v>
          </cell>
          <cell r="K27" t="str">
            <v>Faratsiho</v>
          </cell>
          <cell r="L27" t="str">
            <v>Antalammohitra Lot AI22 Antehiroka</v>
          </cell>
          <cell r="M27">
            <v>39561</v>
          </cell>
          <cell r="N27">
            <v>40148</v>
          </cell>
          <cell r="O27" t="str">
            <v>Ouvrier qualifié composite</v>
          </cell>
          <cell r="P27" t="str">
            <v>OS1</v>
          </cell>
          <cell r="R27" t="str">
            <v>CDI</v>
          </cell>
        </row>
        <row r="28">
          <cell r="B28" t="str">
            <v>T014</v>
          </cell>
          <cell r="C28" t="str">
            <v>NOAVISON Tsimahaboa</v>
          </cell>
          <cell r="D28">
            <v>300000</v>
          </cell>
          <cell r="E28" t="str">
            <v>M</v>
          </cell>
          <cell r="F28" t="str">
            <v>670130000492</v>
          </cell>
          <cell r="G28">
            <v>24502</v>
          </cell>
          <cell r="H28" t="str">
            <v>Morondava</v>
          </cell>
          <cell r="I28">
            <v>508991013509</v>
          </cell>
          <cell r="J28">
            <v>31230</v>
          </cell>
          <cell r="K28" t="str">
            <v>Morondava</v>
          </cell>
          <cell r="L28" t="str">
            <v>LoT 73 Amboropotsy</v>
          </cell>
          <cell r="M28">
            <v>39722</v>
          </cell>
          <cell r="N28">
            <v>40148</v>
          </cell>
          <cell r="O28" t="str">
            <v>Ouvrier qualifié composite</v>
          </cell>
          <cell r="P28" t="str">
            <v>OS1</v>
          </cell>
          <cell r="Q28">
            <v>3</v>
          </cell>
          <cell r="R28" t="str">
            <v>CDI</v>
          </cell>
        </row>
        <row r="29">
          <cell r="B29" t="str">
            <v>T025</v>
          </cell>
          <cell r="C29" t="str">
            <v>RAKOTOZAFY Pierre</v>
          </cell>
          <cell r="D29">
            <v>220000</v>
          </cell>
          <cell r="E29" t="str">
            <v>M</v>
          </cell>
          <cell r="F29" t="str">
            <v>901015000234</v>
          </cell>
          <cell r="G29">
            <v>33161</v>
          </cell>
          <cell r="H29" t="str">
            <v>Antanifotsy</v>
          </cell>
          <cell r="I29">
            <v>114011027213</v>
          </cell>
          <cell r="M29">
            <v>40297</v>
          </cell>
          <cell r="N29">
            <v>40297</v>
          </cell>
          <cell r="O29" t="str">
            <v>Ouvrier qualifié Composite</v>
          </cell>
          <cell r="P29" t="str">
            <v>OS1</v>
          </cell>
          <cell r="R29" t="str">
            <v>CDI</v>
          </cell>
        </row>
        <row r="30">
          <cell r="B30" t="str">
            <v>T028</v>
          </cell>
          <cell r="C30" t="str">
            <v>RAZAFINIAINA Tolotra Franca</v>
          </cell>
          <cell r="D30">
            <v>220000</v>
          </cell>
          <cell r="E30" t="str">
            <v>M</v>
          </cell>
          <cell r="F30" t="str">
            <v>891209000957</v>
          </cell>
          <cell r="G30">
            <v>32851</v>
          </cell>
          <cell r="H30" t="str">
            <v>Ambohipo</v>
          </cell>
          <cell r="I30">
            <v>103071012894</v>
          </cell>
          <cell r="J30">
            <v>39847</v>
          </cell>
          <cell r="K30" t="str">
            <v>Ambohidratrimo</v>
          </cell>
          <cell r="L30" t="str">
            <v>Lot 138A Andranoro Antehiroka</v>
          </cell>
          <cell r="M30">
            <v>40452</v>
          </cell>
          <cell r="N30">
            <v>40452</v>
          </cell>
          <cell r="O30" t="str">
            <v>Ouvrier qualifié Composite</v>
          </cell>
          <cell r="P30" t="str">
            <v>OS1</v>
          </cell>
          <cell r="R30" t="str">
            <v>CDI</v>
          </cell>
        </row>
        <row r="31">
          <cell r="B31" t="str">
            <v>T036</v>
          </cell>
          <cell r="C31" t="str">
            <v>RAKOTONIRINA Fanomezantsoa</v>
          </cell>
          <cell r="D31">
            <v>220000</v>
          </cell>
          <cell r="E31" t="str">
            <v>M</v>
          </cell>
          <cell r="F31" t="str">
            <v>860127001270</v>
          </cell>
          <cell r="G31">
            <v>31439</v>
          </cell>
          <cell r="H31" t="str">
            <v>Befelatanana</v>
          </cell>
          <cell r="I31">
            <v>101211176850</v>
          </cell>
          <cell r="J31">
            <v>38174</v>
          </cell>
          <cell r="K31" t="str">
            <v>Antananarivo</v>
          </cell>
          <cell r="L31" t="str">
            <v>Lot III K 31 Bis Andavamamba Anjezika</v>
          </cell>
          <cell r="M31">
            <v>40548</v>
          </cell>
          <cell r="N31">
            <v>40548</v>
          </cell>
          <cell r="O31" t="str">
            <v>Ouvrier qualifié composite</v>
          </cell>
          <cell r="P31" t="str">
            <v>OS1</v>
          </cell>
          <cell r="Q31">
            <v>1</v>
          </cell>
          <cell r="R31" t="str">
            <v>CDI</v>
          </cell>
        </row>
        <row r="32">
          <cell r="B32" t="str">
            <v>T057</v>
          </cell>
          <cell r="C32" t="str">
            <v>RAKOTOMALALA Jean Jacques</v>
          </cell>
          <cell r="D32">
            <v>220000</v>
          </cell>
          <cell r="E32" t="str">
            <v>M</v>
          </cell>
          <cell r="F32" t="str">
            <v>770512003314</v>
          </cell>
          <cell r="G32">
            <v>28257</v>
          </cell>
          <cell r="H32" t="str">
            <v>Befelatanana</v>
          </cell>
          <cell r="I32">
            <v>103071006210</v>
          </cell>
          <cell r="J32">
            <v>36339</v>
          </cell>
          <cell r="K32" t="str">
            <v>Ambohidratrimo</v>
          </cell>
          <cell r="L32" t="str">
            <v>Lot 035B Ambohibao Antehiroka</v>
          </cell>
          <cell r="M32">
            <v>40557</v>
          </cell>
          <cell r="N32">
            <v>40557</v>
          </cell>
          <cell r="O32" t="str">
            <v>Ouvrier qualifié composite</v>
          </cell>
          <cell r="P32" t="str">
            <v>OS1</v>
          </cell>
          <cell r="R32" t="str">
            <v>CDI</v>
          </cell>
        </row>
        <row r="33">
          <cell r="B33" t="str">
            <v>T071</v>
          </cell>
          <cell r="C33" t="str">
            <v>RANDRIAMIANDRISOA Rémi</v>
          </cell>
          <cell r="D33">
            <v>220000</v>
          </cell>
          <cell r="E33" t="str">
            <v>M</v>
          </cell>
          <cell r="F33" t="str">
            <v>757558</v>
          </cell>
          <cell r="G33">
            <v>24676</v>
          </cell>
          <cell r="H33" t="str">
            <v>Ambodivoanjo</v>
          </cell>
          <cell r="I33">
            <v>117291000016</v>
          </cell>
          <cell r="J33">
            <v>31530</v>
          </cell>
          <cell r="K33" t="str">
            <v>Ankadimanga Atsimondrano</v>
          </cell>
          <cell r="L33" t="str">
            <v>TAS 21B Ambohidrapeto Antanetibe</v>
          </cell>
          <cell r="M33">
            <v>40787</v>
          </cell>
          <cell r="N33">
            <v>40787</v>
          </cell>
          <cell r="O33" t="str">
            <v>Ouvrier qualifié composite</v>
          </cell>
          <cell r="P33" t="str">
            <v>OS1</v>
          </cell>
          <cell r="R33" t="str">
            <v>CDI</v>
          </cell>
        </row>
        <row r="34">
          <cell r="B34" t="str">
            <v>T093</v>
          </cell>
          <cell r="C34" t="str">
            <v xml:space="preserve">RAFIDIMANANTSOA Jean Bruno </v>
          </cell>
          <cell r="D34">
            <v>220000</v>
          </cell>
          <cell r="E34" t="str">
            <v>M</v>
          </cell>
          <cell r="F34" t="str">
            <v>99999999999</v>
          </cell>
          <cell r="G34">
            <v>27782</v>
          </cell>
          <cell r="H34" t="str">
            <v xml:space="preserve">Befelatanana </v>
          </cell>
          <cell r="I34">
            <v>101211138692</v>
          </cell>
          <cell r="J34">
            <v>35095</v>
          </cell>
          <cell r="K34" t="str">
            <v xml:space="preserve">Antananarivo I </v>
          </cell>
          <cell r="L34" t="str">
            <v xml:space="preserve">Lot IVP TH 12 Antsalovana </v>
          </cell>
          <cell r="M34">
            <v>40934</v>
          </cell>
          <cell r="N34">
            <v>40934</v>
          </cell>
          <cell r="O34" t="str">
            <v>Ouvrier qualifié Composite</v>
          </cell>
          <cell r="P34" t="str">
            <v>OS1</v>
          </cell>
          <cell r="R34" t="str">
            <v>CDI</v>
          </cell>
        </row>
        <row r="35">
          <cell r="B35" t="str">
            <v>T154</v>
          </cell>
          <cell r="C35" t="str">
            <v>RAMAROSON Jean Christ</v>
          </cell>
          <cell r="D35">
            <v>220000</v>
          </cell>
          <cell r="E35" t="str">
            <v>m</v>
          </cell>
          <cell r="F35" t="str">
            <v>850710003925</v>
          </cell>
          <cell r="G35">
            <v>31238</v>
          </cell>
          <cell r="H35" t="str">
            <v>Mahalavolona</v>
          </cell>
          <cell r="I35">
            <v>508991014846</v>
          </cell>
          <cell r="J35">
            <v>38566</v>
          </cell>
          <cell r="K35" t="str">
            <v>Morondava</v>
          </cell>
          <cell r="L35" t="str">
            <v>XX</v>
          </cell>
          <cell r="M35">
            <v>39850</v>
          </cell>
          <cell r="N35">
            <v>39850</v>
          </cell>
          <cell r="O35" t="str">
            <v>Ouvrier qualifié Composite</v>
          </cell>
          <cell r="P35" t="str">
            <v>OS1</v>
          </cell>
          <cell r="R35" t="str">
            <v>CDI</v>
          </cell>
        </row>
        <row r="36">
          <cell r="B36" t="str">
            <v>T173</v>
          </cell>
          <cell r="C36" t="str">
            <v>RAKOTONDRAMAVO Michaël</v>
          </cell>
          <cell r="D36">
            <v>220000</v>
          </cell>
          <cell r="E36" t="str">
            <v>M</v>
          </cell>
          <cell r="F36" t="str">
            <v>999999999</v>
          </cell>
          <cell r="G36">
            <v>32781</v>
          </cell>
          <cell r="H36" t="str">
            <v>Tsilazaina Ivato</v>
          </cell>
          <cell r="I36">
            <v>103111012008</v>
          </cell>
          <cell r="J36">
            <v>32324</v>
          </cell>
          <cell r="K36" t="str">
            <v>Ambohidratrimo</v>
          </cell>
          <cell r="L36" t="str">
            <v>Lot AD15 Ankadindravola</v>
          </cell>
          <cell r="M36">
            <v>41683</v>
          </cell>
          <cell r="N36">
            <v>41683</v>
          </cell>
          <cell r="O36" t="str">
            <v>Ouvrier qualifié Composite</v>
          </cell>
          <cell r="P36" t="str">
            <v>OS1</v>
          </cell>
          <cell r="R36" t="str">
            <v>CDD</v>
          </cell>
        </row>
        <row r="37">
          <cell r="B37" t="str">
            <v>T178</v>
          </cell>
          <cell r="C37" t="str">
            <v xml:space="preserve">RANDRIANAVALOMANDRESY Olivier Gendratto </v>
          </cell>
          <cell r="D37">
            <v>220000</v>
          </cell>
          <cell r="E37" t="str">
            <v>M</v>
          </cell>
          <cell r="F37" t="str">
            <v>99999999999</v>
          </cell>
          <cell r="G37">
            <v>30055</v>
          </cell>
          <cell r="H37" t="str">
            <v xml:space="preserve">Marovoay </v>
          </cell>
          <cell r="I37">
            <v>406011018914</v>
          </cell>
          <cell r="J37">
            <v>36992</v>
          </cell>
          <cell r="K37" t="str">
            <v xml:space="preserve">Marovoay </v>
          </cell>
          <cell r="L37" t="str">
            <v xml:space="preserve">Lot 13A Amboropotsy </v>
          </cell>
          <cell r="M37">
            <v>41694</v>
          </cell>
          <cell r="N37">
            <v>41694</v>
          </cell>
          <cell r="O37" t="str">
            <v>Ouvrier qualifié Composite</v>
          </cell>
          <cell r="P37" t="str">
            <v>OS1</v>
          </cell>
          <cell r="R37" t="str">
            <v>CDD</v>
          </cell>
        </row>
        <row r="38">
          <cell r="B38" t="str">
            <v>T184</v>
          </cell>
          <cell r="C38" t="str">
            <v xml:space="preserve">RAFANOMEZANTSOA Jean Fidèle </v>
          </cell>
          <cell r="D38">
            <v>220000</v>
          </cell>
          <cell r="E38" t="str">
            <v>M</v>
          </cell>
          <cell r="F38" t="str">
            <v>99999999999</v>
          </cell>
          <cell r="G38">
            <v>29380</v>
          </cell>
          <cell r="H38" t="str">
            <v>Ambohidratrimo</v>
          </cell>
          <cell r="I38">
            <v>103051005816</v>
          </cell>
          <cell r="J38">
            <v>36117</v>
          </cell>
          <cell r="K38" t="str">
            <v>Ambohidratrimo</v>
          </cell>
          <cell r="L38" t="str">
            <v xml:space="preserve">Lot 13A Amboropotsy </v>
          </cell>
          <cell r="M38">
            <v>41716</v>
          </cell>
          <cell r="N38">
            <v>41716</v>
          </cell>
          <cell r="O38" t="str">
            <v>Ouvrier qualifié Composite</v>
          </cell>
          <cell r="P38" t="str">
            <v>OS1</v>
          </cell>
          <cell r="R38" t="str">
            <v>CDD</v>
          </cell>
        </row>
        <row r="41">
          <cell r="B41" t="str">
            <v>T011</v>
          </cell>
          <cell r="C41" t="str">
            <v>RAZAFINDRAZANANY Romaine</v>
          </cell>
          <cell r="D41">
            <v>170000</v>
          </cell>
          <cell r="E41" t="str">
            <v>F</v>
          </cell>
          <cell r="F41" t="str">
            <v>642423001439</v>
          </cell>
          <cell r="G41">
            <v>23490</v>
          </cell>
          <cell r="H41" t="str">
            <v>Ambatofotsy</v>
          </cell>
          <cell r="I41">
            <v>110382017574</v>
          </cell>
          <cell r="J41">
            <v>31477</v>
          </cell>
          <cell r="K41" t="str">
            <v>Ambatolampy</v>
          </cell>
          <cell r="L41" t="str">
            <v>Lot III G Ter ambatolampy Atehiroka</v>
          </cell>
          <cell r="M41">
            <v>39699</v>
          </cell>
          <cell r="N41">
            <v>40148</v>
          </cell>
          <cell r="O41" t="str">
            <v>Préparatrice de surface</v>
          </cell>
          <cell r="P41" t="str">
            <v>M1</v>
          </cell>
          <cell r="R41" t="str">
            <v>CDI</v>
          </cell>
        </row>
        <row r="42">
          <cell r="B42" t="str">
            <v>T018</v>
          </cell>
          <cell r="C42" t="str">
            <v>RABASOAMALALA Fidelia</v>
          </cell>
          <cell r="D42">
            <v>170000</v>
          </cell>
          <cell r="E42" t="str">
            <v>F</v>
          </cell>
          <cell r="F42" t="str">
            <v>882207001540</v>
          </cell>
          <cell r="I42">
            <v>102032016538</v>
          </cell>
          <cell r="M42">
            <v>40262</v>
          </cell>
          <cell r="N42">
            <v>40262</v>
          </cell>
          <cell r="O42" t="str">
            <v>Préparatrice de surface</v>
          </cell>
          <cell r="P42" t="str">
            <v>M1</v>
          </cell>
          <cell r="R42" t="str">
            <v>CDI</v>
          </cell>
        </row>
        <row r="43">
          <cell r="B43" t="str">
            <v>T019</v>
          </cell>
          <cell r="C43" t="str">
            <v>FOMBEA Joeline</v>
          </cell>
          <cell r="D43">
            <v>170000</v>
          </cell>
          <cell r="E43" t="str">
            <v>F</v>
          </cell>
          <cell r="F43" t="str">
            <v>782119003409</v>
          </cell>
          <cell r="I43">
            <v>508992011485</v>
          </cell>
          <cell r="M43">
            <v>40263</v>
          </cell>
          <cell r="N43">
            <v>40263</v>
          </cell>
          <cell r="O43" t="str">
            <v>Préparatrice de surface</v>
          </cell>
          <cell r="P43" t="str">
            <v>M1</v>
          </cell>
          <cell r="R43" t="str">
            <v>CDI</v>
          </cell>
        </row>
        <row r="45">
          <cell r="B45" t="str">
            <v>T053</v>
          </cell>
          <cell r="C45" t="str">
            <v>RAMANATSOA Eddy Christ</v>
          </cell>
          <cell r="D45">
            <v>150000</v>
          </cell>
          <cell r="E45" t="str">
            <v>M</v>
          </cell>
          <cell r="F45" t="str">
            <v>800613000470</v>
          </cell>
          <cell r="G45">
            <v>29385</v>
          </cell>
          <cell r="H45" t="str">
            <v>Toamasina</v>
          </cell>
          <cell r="I45">
            <v>310071001905</v>
          </cell>
          <cell r="J45">
            <v>36728</v>
          </cell>
          <cell r="K45" t="str">
            <v>Toamasina II</v>
          </cell>
          <cell r="L45" t="str">
            <v>Lot 33 Antanifotsy Imerinafovoany</v>
          </cell>
          <cell r="M45">
            <v>40557</v>
          </cell>
          <cell r="N45">
            <v>40557</v>
          </cell>
          <cell r="O45" t="str">
            <v>Ouvrier composite</v>
          </cell>
          <cell r="P45" t="str">
            <v>M1</v>
          </cell>
          <cell r="R45" t="str">
            <v>CDI</v>
          </cell>
        </row>
        <row r="46">
          <cell r="B46" t="str">
            <v>T062</v>
          </cell>
          <cell r="C46" t="str">
            <v>RANDRIANARISON Philippe Joseph</v>
          </cell>
          <cell r="D46">
            <v>150000</v>
          </cell>
          <cell r="E46" t="str">
            <v>M</v>
          </cell>
          <cell r="F46" t="str">
            <v>610211004393</v>
          </cell>
          <cell r="G46">
            <v>22323</v>
          </cell>
          <cell r="H46" t="str">
            <v>Ambalavao</v>
          </cell>
          <cell r="I46">
            <v>201991043440</v>
          </cell>
          <cell r="J46">
            <v>29636</v>
          </cell>
          <cell r="K46" t="str">
            <v>Fianarantsoa</v>
          </cell>
          <cell r="L46" t="str">
            <v>Lot 68B Ambatolampy Antehiroka</v>
          </cell>
          <cell r="M46">
            <v>40567</v>
          </cell>
          <cell r="N46">
            <v>40567</v>
          </cell>
          <cell r="O46" t="str">
            <v>Ouvrier Composite</v>
          </cell>
          <cell r="P46" t="str">
            <v>M1</v>
          </cell>
          <cell r="Q46">
            <v>2</v>
          </cell>
          <cell r="R46" t="str">
            <v>CDI</v>
          </cell>
        </row>
        <row r="47">
          <cell r="B47" t="str">
            <v>T099</v>
          </cell>
          <cell r="C47" t="str">
            <v xml:space="preserve">RAVELONARIVO Henri Bernard </v>
          </cell>
          <cell r="D47">
            <v>165000</v>
          </cell>
          <cell r="E47" t="str">
            <v>M</v>
          </cell>
          <cell r="F47" t="str">
            <v>99999999999</v>
          </cell>
          <cell r="G47">
            <v>29572</v>
          </cell>
          <cell r="H47" t="str">
            <v xml:space="preserve">Anosy Avaratra </v>
          </cell>
          <cell r="I47">
            <v>103111003560</v>
          </cell>
          <cell r="J47">
            <v>37229</v>
          </cell>
          <cell r="K47" t="str">
            <v>Ambohidratrimo</v>
          </cell>
          <cell r="L47" t="str">
            <v xml:space="preserve">Lot A28 Tanjondava </v>
          </cell>
          <cell r="M47">
            <v>40938</v>
          </cell>
          <cell r="N47">
            <v>40938</v>
          </cell>
          <cell r="O47" t="str">
            <v>Ouvrier composite</v>
          </cell>
          <cell r="P47" t="str">
            <v>M1</v>
          </cell>
          <cell r="R47" t="str">
            <v>CDI</v>
          </cell>
        </row>
        <row r="48">
          <cell r="B48" t="str">
            <v>T101</v>
          </cell>
          <cell r="C48" t="str">
            <v>RANDRIANARIMALALA Jean Jacques</v>
          </cell>
          <cell r="D48">
            <v>150000</v>
          </cell>
          <cell r="E48" t="str">
            <v>M</v>
          </cell>
          <cell r="F48" t="str">
            <v>99999999999</v>
          </cell>
          <cell r="G48">
            <v>30264</v>
          </cell>
          <cell r="H48" t="str">
            <v>Ambatomainty</v>
          </cell>
          <cell r="I48">
            <v>103171004619</v>
          </cell>
          <cell r="J48">
            <v>36754</v>
          </cell>
          <cell r="K48" t="str">
            <v>Ambohidratrimo</v>
          </cell>
          <cell r="L48" t="str">
            <v>Lot 50A82 Soavinarivo</v>
          </cell>
          <cell r="M48">
            <v>41290</v>
          </cell>
          <cell r="N48">
            <v>41290</v>
          </cell>
          <cell r="O48" t="str">
            <v>Ouvrier composite</v>
          </cell>
          <cell r="P48" t="str">
            <v>M1</v>
          </cell>
          <cell r="R48" t="str">
            <v>CDI</v>
          </cell>
        </row>
        <row r="49">
          <cell r="B49" t="str">
            <v>T114</v>
          </cell>
          <cell r="C49" t="str">
            <v>TINASOA NOMENJANAHARY Tantely</v>
          </cell>
          <cell r="D49">
            <v>170000</v>
          </cell>
          <cell r="E49" t="str">
            <v>F</v>
          </cell>
          <cell r="F49" t="str">
            <v>99999999999</v>
          </cell>
          <cell r="G49">
            <v>34136</v>
          </cell>
          <cell r="H49" t="str">
            <v>Anosisoa</v>
          </cell>
          <cell r="I49">
            <v>103012007099</v>
          </cell>
          <cell r="J49">
            <v>40738</v>
          </cell>
          <cell r="K49" t="str">
            <v>Ambohidtratrimo</v>
          </cell>
          <cell r="L49" t="str">
            <v>605/05 Ankazo Antsimomparihy</v>
          </cell>
          <cell r="M49">
            <v>40975</v>
          </cell>
          <cell r="N49">
            <v>40975</v>
          </cell>
          <cell r="O49" t="str">
            <v>Ouvrier composite</v>
          </cell>
          <cell r="P49" t="str">
            <v>M1</v>
          </cell>
          <cell r="R49" t="str">
            <v>CDI</v>
          </cell>
        </row>
        <row r="50">
          <cell r="B50" t="str">
            <v>T161</v>
          </cell>
          <cell r="C50" t="str">
            <v>RANDRIAMIRADOMANANA René</v>
          </cell>
          <cell r="D50">
            <v>165000</v>
          </cell>
          <cell r="E50" t="str">
            <v>M</v>
          </cell>
          <cell r="F50" t="str">
            <v>870606001196</v>
          </cell>
          <cell r="M50">
            <v>39712</v>
          </cell>
          <cell r="N50">
            <v>39712</v>
          </cell>
          <cell r="O50" t="str">
            <v>Ouvrier Composite</v>
          </cell>
          <cell r="P50" t="str">
            <v>OS1</v>
          </cell>
          <cell r="R50" t="str">
            <v>CDI</v>
          </cell>
        </row>
        <row r="51">
          <cell r="B51" t="str">
            <v>T176</v>
          </cell>
          <cell r="C51" t="str">
            <v>RAKOTOARIMANANA Jean Joseph</v>
          </cell>
          <cell r="D51">
            <v>136480</v>
          </cell>
          <cell r="E51" t="str">
            <v>M</v>
          </cell>
          <cell r="F51" t="str">
            <v>999999999</v>
          </cell>
          <cell r="G51">
            <v>32869</v>
          </cell>
          <cell r="H51" t="str">
            <v>Anosibe</v>
          </cell>
          <cell r="I51">
            <v>101241139426</v>
          </cell>
          <cell r="J51">
            <v>39463</v>
          </cell>
          <cell r="K51" t="str">
            <v>Antananarivo IV</v>
          </cell>
          <cell r="L51" t="str">
            <v>Lot III T 50 ter Anosibe Mandrangobato</v>
          </cell>
          <cell r="M51">
            <v>41688</v>
          </cell>
          <cell r="N51">
            <v>41688</v>
          </cell>
          <cell r="O51" t="str">
            <v>Ouvrier Composite</v>
          </cell>
          <cell r="P51" t="str">
            <v>M1</v>
          </cell>
          <cell r="R51" t="str">
            <v>CDD</v>
          </cell>
        </row>
        <row r="52">
          <cell r="B52" t="str">
            <v>T177</v>
          </cell>
          <cell r="C52" t="str">
            <v>RAKOTOMANANA Maminirina Jean Michel</v>
          </cell>
          <cell r="D52">
            <v>136480</v>
          </cell>
          <cell r="E52" t="str">
            <v>M</v>
          </cell>
          <cell r="F52" t="str">
            <v>999999999</v>
          </cell>
          <cell r="I52">
            <v>101211212514</v>
          </cell>
          <cell r="M52">
            <v>41688</v>
          </cell>
          <cell r="N52">
            <v>41688</v>
          </cell>
          <cell r="O52" t="str">
            <v>Ouvrier Composite</v>
          </cell>
          <cell r="P52" t="str">
            <v>M1</v>
          </cell>
          <cell r="R52" t="str">
            <v>CDD</v>
          </cell>
        </row>
        <row r="53">
          <cell r="B53" t="str">
            <v>T179</v>
          </cell>
          <cell r="C53" t="str">
            <v>RANDRIANJATOVO Tojosoa Fabien</v>
          </cell>
          <cell r="D53">
            <v>136480</v>
          </cell>
          <cell r="E53" t="str">
            <v>M</v>
          </cell>
          <cell r="F53" t="str">
            <v>99999999999</v>
          </cell>
          <cell r="G53">
            <v>34212</v>
          </cell>
          <cell r="H53" t="str">
            <v>Itaosy</v>
          </cell>
          <cell r="I53">
            <v>101211211933</v>
          </cell>
          <cell r="J53">
            <v>40884</v>
          </cell>
          <cell r="K53" t="str">
            <v>Antananarivo I</v>
          </cell>
          <cell r="L53" t="str">
            <v>Lot A62 Manarintsoa Centre</v>
          </cell>
          <cell r="M53">
            <v>41694</v>
          </cell>
          <cell r="N53">
            <v>41694</v>
          </cell>
          <cell r="O53" t="str">
            <v>Ouvrier composite</v>
          </cell>
          <cell r="P53" t="str">
            <v>M1</v>
          </cell>
          <cell r="R53" t="str">
            <v>CDD</v>
          </cell>
        </row>
        <row r="54">
          <cell r="B54" t="str">
            <v>T182</v>
          </cell>
          <cell r="C54" t="str">
            <v>RANDRIANARISON Gérard</v>
          </cell>
          <cell r="D54">
            <v>136480</v>
          </cell>
          <cell r="E54" t="str">
            <v>M</v>
          </cell>
          <cell r="F54" t="str">
            <v>940826000316</v>
          </cell>
          <cell r="I54">
            <v>106291001210</v>
          </cell>
          <cell r="M54">
            <v>41710</v>
          </cell>
          <cell r="N54">
            <v>41710</v>
          </cell>
          <cell r="O54" t="str">
            <v>Ouvrier composite</v>
          </cell>
          <cell r="P54" t="str">
            <v>M1</v>
          </cell>
          <cell r="R54" t="str">
            <v>CDD</v>
          </cell>
        </row>
        <row r="55">
          <cell r="B55" t="str">
            <v>T185</v>
          </cell>
          <cell r="C55" t="str">
            <v>RANDRIARIJAONA Jean Lucia</v>
          </cell>
          <cell r="D55">
            <v>136480</v>
          </cell>
          <cell r="E55" t="str">
            <v>M</v>
          </cell>
          <cell r="F55" t="str">
            <v>99999999</v>
          </cell>
          <cell r="I55">
            <v>103091002419</v>
          </cell>
          <cell r="J55">
            <v>37802</v>
          </cell>
          <cell r="K55" t="str">
            <v>Ambohidratrimo</v>
          </cell>
          <cell r="L55" t="str">
            <v>Bemasoandro</v>
          </cell>
          <cell r="M55">
            <v>41719</v>
          </cell>
          <cell r="N55">
            <v>41719</v>
          </cell>
          <cell r="O55" t="str">
            <v>Ouvrier composite</v>
          </cell>
          <cell r="P55" t="str">
            <v>M1</v>
          </cell>
          <cell r="R55" t="str">
            <v>CDD</v>
          </cell>
        </row>
        <row r="56">
          <cell r="B56" t="str">
            <v>T186</v>
          </cell>
          <cell r="C56" t="str">
            <v>RANDRIAMANALINARIVO Jean Ruphin</v>
          </cell>
          <cell r="D56">
            <v>136480</v>
          </cell>
          <cell r="E56" t="str">
            <v>M</v>
          </cell>
          <cell r="F56" t="str">
            <v>99999999</v>
          </cell>
          <cell r="I56">
            <v>103091002819</v>
          </cell>
          <cell r="J56">
            <v>38880</v>
          </cell>
          <cell r="K56" t="str">
            <v>Ambohidratrimo</v>
          </cell>
          <cell r="L56" t="str">
            <v>Ambovo</v>
          </cell>
          <cell r="M56">
            <v>41719</v>
          </cell>
          <cell r="N56">
            <v>41719</v>
          </cell>
          <cell r="O56" t="str">
            <v>Ouvrier composite</v>
          </cell>
          <cell r="P56" t="str">
            <v>M1</v>
          </cell>
          <cell r="R56" t="str">
            <v>CDD</v>
          </cell>
        </row>
        <row r="57">
          <cell r="B57" t="str">
            <v>T188</v>
          </cell>
          <cell r="C57" t="str">
            <v>NICOLAS Jean Arthur</v>
          </cell>
          <cell r="D57">
            <v>136480</v>
          </cell>
          <cell r="E57" t="str">
            <v>M</v>
          </cell>
          <cell r="F57" t="str">
            <v>901229002543</v>
          </cell>
          <cell r="G57">
            <v>33226</v>
          </cell>
          <cell r="H57" t="str">
            <v>Ambatofotsy</v>
          </cell>
          <cell r="I57">
            <v>101981084298</v>
          </cell>
          <cell r="J57">
            <v>40260</v>
          </cell>
          <cell r="K57" t="str">
            <v>Antananarivo VI</v>
          </cell>
          <cell r="L57" t="str">
            <v>Lot IIIG1Ter Ambatolampy - Tana VI</v>
          </cell>
          <cell r="M57">
            <v>41729</v>
          </cell>
          <cell r="N57">
            <v>41729</v>
          </cell>
          <cell r="O57" t="str">
            <v>Ouvrier composite</v>
          </cell>
          <cell r="P57" t="str">
            <v>M1</v>
          </cell>
          <cell r="R57" t="str">
            <v>CDD</v>
          </cell>
        </row>
        <row r="58">
          <cell r="B58" t="str">
            <v>T194</v>
          </cell>
          <cell r="C58" t="str">
            <v>RAMANANJATO Tolojanahary</v>
          </cell>
          <cell r="D58">
            <v>136480</v>
          </cell>
          <cell r="E58" t="str">
            <v>M</v>
          </cell>
          <cell r="F58" t="str">
            <v>99999999</v>
          </cell>
          <cell r="G58">
            <v>31870</v>
          </cell>
          <cell r="H58" t="str">
            <v>Ambohijanahary Antehiroka</v>
          </cell>
          <cell r="I58">
            <v>103071016116</v>
          </cell>
          <cell r="J58">
            <v>38510</v>
          </cell>
          <cell r="K58" t="str">
            <v>Ambohidratrimo</v>
          </cell>
          <cell r="L58" t="str">
            <v>Lot 121Ater Andranoro</v>
          </cell>
          <cell r="M58">
            <v>41835</v>
          </cell>
          <cell r="N58">
            <v>41835</v>
          </cell>
          <cell r="O58" t="str">
            <v>Stratifieur</v>
          </cell>
          <cell r="P58" t="str">
            <v>M1</v>
          </cell>
          <cell r="R58" t="str">
            <v>CDD</v>
          </cell>
        </row>
        <row r="59">
          <cell r="B59" t="str">
            <v>T197</v>
          </cell>
          <cell r="C59" t="str">
            <v>ANDRIANIRINTSOA Safiditiana José</v>
          </cell>
          <cell r="D59">
            <v>136480</v>
          </cell>
          <cell r="E59" t="str">
            <v>M</v>
          </cell>
          <cell r="F59" t="str">
            <v>9999999</v>
          </cell>
          <cell r="G59">
            <v>35037</v>
          </cell>
          <cell r="H59" t="str">
            <v>Ambohibary antsirabe II</v>
          </cell>
          <cell r="I59">
            <v>103071017387</v>
          </cell>
          <cell r="J59">
            <v>41675</v>
          </cell>
          <cell r="K59" t="str">
            <v>Ambohidratrimo</v>
          </cell>
          <cell r="L59" t="str">
            <v>lot 011A Ambohibao 105</v>
          </cell>
          <cell r="M59">
            <v>41813</v>
          </cell>
          <cell r="N59">
            <v>41813</v>
          </cell>
          <cell r="O59" t="str">
            <v>Ouvrier Composite</v>
          </cell>
          <cell r="P59" t="str">
            <v>M1</v>
          </cell>
          <cell r="R59" t="str">
            <v>CDD</v>
          </cell>
        </row>
        <row r="60">
          <cell r="B60" t="str">
            <v>T204</v>
          </cell>
          <cell r="C60" t="str">
            <v>ANDONIAINA Nathalie Alida</v>
          </cell>
          <cell r="D60">
            <v>133100</v>
          </cell>
          <cell r="E60" t="str">
            <v>M</v>
          </cell>
          <cell r="F60" t="str">
            <v>9999999</v>
          </cell>
          <cell r="G60">
            <v>34742</v>
          </cell>
          <cell r="H60" t="str">
            <v>Befelatanana</v>
          </cell>
          <cell r="I60">
            <v>101212218517</v>
          </cell>
          <cell r="J60">
            <v>41358</v>
          </cell>
          <cell r="K60" t="str">
            <v>Antananarivo I</v>
          </cell>
          <cell r="L60" t="str">
            <v>Lot IVN14 bis Andohatapenaka - Antananarivo I</v>
          </cell>
          <cell r="M60">
            <v>41969</v>
          </cell>
          <cell r="N60">
            <v>41969</v>
          </cell>
          <cell r="O60" t="str">
            <v>Ouvrier Sellerie</v>
          </cell>
          <cell r="P60" t="str">
            <v>M1</v>
          </cell>
          <cell r="R60" t="str">
            <v>CDD</v>
          </cell>
        </row>
        <row r="61">
          <cell r="B61" t="str">
            <v>T210</v>
          </cell>
          <cell r="C61" t="str">
            <v>RAZANAJATOVO Jeannot</v>
          </cell>
          <cell r="D61">
            <v>133100</v>
          </cell>
          <cell r="E61" t="str">
            <v>M</v>
          </cell>
          <cell r="F61" t="str">
            <v>9999999</v>
          </cell>
          <cell r="G61">
            <v>32975</v>
          </cell>
          <cell r="H61" t="str">
            <v>Ambohimangakely</v>
          </cell>
          <cell r="I61">
            <v>103012005669</v>
          </cell>
          <cell r="J61">
            <v>39631</v>
          </cell>
          <cell r="K61" t="str">
            <v>Ambohidratrimo</v>
          </cell>
          <cell r="L61" t="str">
            <v>Lot 10 Bis ambodisaha Ambohidratrimo</v>
          </cell>
          <cell r="M61">
            <v>42110</v>
          </cell>
          <cell r="N61">
            <v>42110</v>
          </cell>
          <cell r="O61" t="str">
            <v>Ouvrier composite</v>
          </cell>
          <cell r="P61" t="str">
            <v>M1</v>
          </cell>
          <cell r="R61" t="str">
            <v>CDD</v>
          </cell>
        </row>
        <row r="62">
          <cell r="B62" t="str">
            <v>T211</v>
          </cell>
          <cell r="C62" t="str">
            <v>RANDRIANANTENAINA Noël</v>
          </cell>
          <cell r="D62">
            <v>133100</v>
          </cell>
          <cell r="E62" t="str">
            <v>M</v>
          </cell>
          <cell r="F62" t="str">
            <v>9999999</v>
          </cell>
          <cell r="G62">
            <v>33961</v>
          </cell>
          <cell r="H62" t="str">
            <v>Talatamaty</v>
          </cell>
          <cell r="I62">
            <v>103051014005</v>
          </cell>
          <cell r="J62">
            <v>40731</v>
          </cell>
          <cell r="K62" t="str">
            <v>Ambohidratrimo</v>
          </cell>
          <cell r="L62" t="str">
            <v>Lot 65 E Amboropotsy Talatamaty</v>
          </cell>
          <cell r="M62">
            <v>42109</v>
          </cell>
          <cell r="N62">
            <v>42109</v>
          </cell>
          <cell r="O62" t="str">
            <v>Ouvrier composite</v>
          </cell>
          <cell r="P62" t="str">
            <v>M1</v>
          </cell>
          <cell r="R62" t="str">
            <v>CDD</v>
          </cell>
        </row>
        <row r="63">
          <cell r="B63" t="str">
            <v>T212</v>
          </cell>
          <cell r="C63" t="str">
            <v>RAVELOSON Holiarimanga Dera</v>
          </cell>
          <cell r="D63">
            <v>133100</v>
          </cell>
          <cell r="E63" t="str">
            <v>M</v>
          </cell>
          <cell r="F63" t="str">
            <v>9999999</v>
          </cell>
          <cell r="G63">
            <v>33218</v>
          </cell>
          <cell r="H63" t="str">
            <v>Ambatolaona Anosiala Ambohidratrimo</v>
          </cell>
          <cell r="I63">
            <v>103031008889</v>
          </cell>
          <cell r="J63">
            <v>40212</v>
          </cell>
          <cell r="K63" t="str">
            <v>Ambohidratrimo</v>
          </cell>
          <cell r="L63" t="str">
            <v>Lot SAT-20 Ambatolaona Anosiala</v>
          </cell>
          <cell r="M63">
            <v>42117</v>
          </cell>
          <cell r="N63">
            <v>42117</v>
          </cell>
          <cell r="O63" t="str">
            <v>Ouvrier composite</v>
          </cell>
          <cell r="P63" t="str">
            <v>M1</v>
          </cell>
          <cell r="R63" t="str">
            <v>CDD</v>
          </cell>
        </row>
        <row r="64">
          <cell r="B64" t="str">
            <v>T213</v>
          </cell>
          <cell r="C64" t="str">
            <v>RAZANDRAINIBE Hajaniaina Patrick</v>
          </cell>
          <cell r="D64">
            <v>133100</v>
          </cell>
          <cell r="E64" t="str">
            <v>M</v>
          </cell>
          <cell r="F64" t="str">
            <v>802119001979</v>
          </cell>
          <cell r="G64">
            <v>29544</v>
          </cell>
          <cell r="H64" t="str">
            <v>Morondava</v>
          </cell>
          <cell r="I64">
            <v>204011007795</v>
          </cell>
          <cell r="J64">
            <v>36546</v>
          </cell>
          <cell r="K64" t="str">
            <v>Fandriana</v>
          </cell>
          <cell r="L64" t="str">
            <v xml:space="preserve">Lot 13A Amboropotsy </v>
          </cell>
          <cell r="M64">
            <v>42129</v>
          </cell>
          <cell r="N64">
            <v>42129</v>
          </cell>
          <cell r="O64" t="str">
            <v>Ouvrier composite</v>
          </cell>
          <cell r="P64" t="str">
            <v>M1</v>
          </cell>
          <cell r="R64" t="str">
            <v>CDD</v>
          </cell>
        </row>
        <row r="65">
          <cell r="B65" t="str">
            <v>T214</v>
          </cell>
          <cell r="C65" t="str">
            <v>HERINTSOA Andry Manoely Georges</v>
          </cell>
          <cell r="D65">
            <v>133100</v>
          </cell>
          <cell r="E65" t="str">
            <v>M</v>
          </cell>
          <cell r="F65" t="str">
            <v>851020004811</v>
          </cell>
          <cell r="G65">
            <v>31340</v>
          </cell>
          <cell r="H65" t="str">
            <v>Antohomadinika</v>
          </cell>
          <cell r="I65">
            <v>103111009727</v>
          </cell>
          <cell r="J65">
            <v>38390</v>
          </cell>
          <cell r="K65" t="str">
            <v>Ambohidratrimo</v>
          </cell>
          <cell r="L65" t="str">
            <v>Lot K7 224 Ivato Aéroport</v>
          </cell>
          <cell r="M65">
            <v>42129</v>
          </cell>
          <cell r="N65">
            <v>42129</v>
          </cell>
          <cell r="O65" t="str">
            <v>Ouvrier composite</v>
          </cell>
          <cell r="P65" t="str">
            <v>M1</v>
          </cell>
          <cell r="R65" t="str">
            <v>CDD</v>
          </cell>
        </row>
        <row r="66">
          <cell r="B66" t="str">
            <v>T215</v>
          </cell>
          <cell r="C66" t="str">
            <v>ANDRIAMPARANIAINA clermont</v>
          </cell>
          <cell r="D66">
            <v>133100</v>
          </cell>
          <cell r="E66" t="str">
            <v>M</v>
          </cell>
          <cell r="F66" t="str">
            <v>9999999</v>
          </cell>
          <cell r="G66">
            <v>34211</v>
          </cell>
          <cell r="H66" t="str">
            <v>Ambohidratrimo</v>
          </cell>
          <cell r="I66">
            <v>103011007761</v>
          </cell>
          <cell r="J66">
            <v>42302</v>
          </cell>
          <cell r="K66" t="str">
            <v>Ambohidratrimo</v>
          </cell>
          <cell r="L66" t="str">
            <v>Lot F3II 42 bis Soamanantena Ambohidratrimo</v>
          </cell>
          <cell r="M66">
            <v>42129</v>
          </cell>
          <cell r="N66">
            <v>42129</v>
          </cell>
          <cell r="O66" t="str">
            <v>Ouvrier composite</v>
          </cell>
          <cell r="P66" t="str">
            <v>M1</v>
          </cell>
          <cell r="R66" t="str">
            <v>CDD</v>
          </cell>
        </row>
        <row r="67">
          <cell r="B67" t="str">
            <v>T216</v>
          </cell>
          <cell r="C67" t="str">
            <v>RAZANADRAKOTO Hariniaina Patrick</v>
          </cell>
          <cell r="D67">
            <v>133100</v>
          </cell>
          <cell r="E67" t="str">
            <v>M</v>
          </cell>
          <cell r="F67" t="str">
            <v>9999999</v>
          </cell>
          <cell r="G67">
            <v>34701</v>
          </cell>
          <cell r="H67" t="str">
            <v>Andavamamba</v>
          </cell>
          <cell r="I67">
            <v>101211218909</v>
          </cell>
          <cell r="J67">
            <v>41332</v>
          </cell>
          <cell r="K67" t="str">
            <v>Antananarivo I</v>
          </cell>
          <cell r="L67" t="str">
            <v>Lot III C 107 AmbaninAmpamarinana</v>
          </cell>
          <cell r="M67">
            <v>42139</v>
          </cell>
          <cell r="N67">
            <v>42139</v>
          </cell>
          <cell r="O67" t="str">
            <v>Ouvrier composite</v>
          </cell>
          <cell r="P67" t="str">
            <v>M1</v>
          </cell>
          <cell r="R67" t="str">
            <v>CDD</v>
          </cell>
        </row>
        <row r="68">
          <cell r="B68" t="str">
            <v>T228</v>
          </cell>
          <cell r="C68" t="str">
            <v>RANDRIAMAMPIONONA Fulgence Angelo</v>
          </cell>
          <cell r="D68">
            <v>133100</v>
          </cell>
          <cell r="E68" t="str">
            <v>M</v>
          </cell>
          <cell r="F68" t="str">
            <v>9999999999</v>
          </cell>
          <cell r="G68">
            <v>35131</v>
          </cell>
          <cell r="H68" t="str">
            <v>Ambohidratrimo</v>
          </cell>
          <cell r="I68">
            <v>103051016560</v>
          </cell>
          <cell r="J68">
            <v>41809</v>
          </cell>
          <cell r="K68" t="str">
            <v>Ambohidratrimo</v>
          </cell>
          <cell r="L68" t="str">
            <v>Lot 155F Amboropotsy Talatamaty</v>
          </cell>
          <cell r="M68">
            <v>42268</v>
          </cell>
          <cell r="N68">
            <v>42268</v>
          </cell>
          <cell r="O68" t="str">
            <v>Stratifieur</v>
          </cell>
          <cell r="P68" t="str">
            <v>M1</v>
          </cell>
          <cell r="R68" t="str">
            <v>CDD</v>
          </cell>
        </row>
        <row r="69">
          <cell r="B69" t="str">
            <v>T229</v>
          </cell>
          <cell r="C69" t="str">
            <v>RAZAFINOARISON Jean Baptiste</v>
          </cell>
          <cell r="D69">
            <v>133100</v>
          </cell>
          <cell r="E69" t="str">
            <v>M</v>
          </cell>
          <cell r="F69" t="str">
            <v>9999999999</v>
          </cell>
          <cell r="G69">
            <v>33109</v>
          </cell>
          <cell r="H69" t="str">
            <v>Toliara</v>
          </cell>
          <cell r="I69">
            <v>501091010794</v>
          </cell>
          <cell r="J69">
            <v>39538</v>
          </cell>
          <cell r="K69" t="str">
            <v>Betania-ToliaraI</v>
          </cell>
          <cell r="L69" t="str">
            <v>Lot071 MMAI Mamory Miray antoby Talatamaty</v>
          </cell>
          <cell r="M69">
            <v>42268</v>
          </cell>
          <cell r="N69">
            <v>42268</v>
          </cell>
          <cell r="O69" t="str">
            <v>Stratifieur</v>
          </cell>
          <cell r="P69" t="str">
            <v>M1</v>
          </cell>
          <cell r="R69" t="str">
            <v>CDD</v>
          </cell>
        </row>
        <row r="70">
          <cell r="B70" t="str">
            <v>T230</v>
          </cell>
          <cell r="C70" t="str">
            <v>RAZAFINDRAVAHATRA Tolojanahary Jean Parfait</v>
          </cell>
          <cell r="D70">
            <v>133100</v>
          </cell>
          <cell r="E70" t="str">
            <v>M</v>
          </cell>
          <cell r="F70" t="str">
            <v>999999999</v>
          </cell>
          <cell r="G70">
            <v>34787</v>
          </cell>
          <cell r="H70" t="str">
            <v>Ambohidratrimo</v>
          </cell>
          <cell r="I70">
            <v>103011008596</v>
          </cell>
          <cell r="J70">
            <v>41773</v>
          </cell>
          <cell r="K70" t="str">
            <v>Ambohidratrimo</v>
          </cell>
          <cell r="L70" t="str">
            <v>Lot92 bis Anosiala</v>
          </cell>
          <cell r="M70">
            <v>42279</v>
          </cell>
          <cell r="N70">
            <v>42279</v>
          </cell>
          <cell r="O70" t="str">
            <v>Stratifieur</v>
          </cell>
          <cell r="P70" t="str">
            <v>M1</v>
          </cell>
          <cell r="R70" t="str">
            <v>CDD</v>
          </cell>
        </row>
        <row r="71">
          <cell r="B71" t="str">
            <v>T231</v>
          </cell>
          <cell r="C71" t="str">
            <v>TODISOA FANIRY Jean Louiset</v>
          </cell>
          <cell r="D71">
            <v>133100</v>
          </cell>
          <cell r="E71" t="str">
            <v>M</v>
          </cell>
          <cell r="F71" t="str">
            <v>99999999</v>
          </cell>
          <cell r="G71">
            <v>34495</v>
          </cell>
          <cell r="H71" t="str">
            <v>Anjoman'Ankona</v>
          </cell>
          <cell r="I71">
            <v>101211217959</v>
          </cell>
          <cell r="J71">
            <v>41325</v>
          </cell>
          <cell r="K71" t="str">
            <v>Antananarivo I</v>
          </cell>
          <cell r="L71" t="str">
            <v>Lot IVP 75D Anosizato Est</v>
          </cell>
          <cell r="M71">
            <v>42279</v>
          </cell>
          <cell r="N71">
            <v>42279</v>
          </cell>
          <cell r="O71" t="str">
            <v>Stratifieur</v>
          </cell>
          <cell r="P71" t="str">
            <v>M1</v>
          </cell>
          <cell r="R71" t="str">
            <v>CDD</v>
          </cell>
        </row>
        <row r="72">
          <cell r="B72" t="str">
            <v>T232</v>
          </cell>
          <cell r="C72" t="str">
            <v>RANDRIAMANANTENA Fanomezantsoa Heriniaina</v>
          </cell>
          <cell r="D72">
            <v>133100</v>
          </cell>
          <cell r="E72" t="str">
            <v>M</v>
          </cell>
          <cell r="F72" t="str">
            <v>99999999</v>
          </cell>
          <cell r="G72">
            <v>35141</v>
          </cell>
          <cell r="H72" t="str">
            <v>Ambohijanaka</v>
          </cell>
          <cell r="I72">
            <v>103051016486</v>
          </cell>
          <cell r="J72">
            <v>41778</v>
          </cell>
          <cell r="K72" t="str">
            <v>Ambohidratrimo</v>
          </cell>
          <cell r="L72" t="str">
            <v>Lot 182G Talatamaty</v>
          </cell>
          <cell r="M72">
            <v>42279</v>
          </cell>
          <cell r="N72">
            <v>42279</v>
          </cell>
          <cell r="O72" t="str">
            <v>Stratifieur</v>
          </cell>
          <cell r="P72" t="str">
            <v>M1</v>
          </cell>
          <cell r="R72" t="str">
            <v>CDD</v>
          </cell>
        </row>
        <row r="73">
          <cell r="B73" t="str">
            <v>T233</v>
          </cell>
          <cell r="C73" t="str">
            <v>ANDRIAMIRIJA Joe Dassin</v>
          </cell>
          <cell r="D73">
            <v>133100</v>
          </cell>
          <cell r="E73" t="str">
            <v>M</v>
          </cell>
          <cell r="F73" t="str">
            <v>99999999</v>
          </cell>
          <cell r="G73">
            <v>27806</v>
          </cell>
          <cell r="H73" t="str">
            <v>Befelatanana</v>
          </cell>
          <cell r="I73">
            <v>103051003702</v>
          </cell>
          <cell r="J73">
            <v>34794</v>
          </cell>
          <cell r="K73" t="str">
            <v>Ambohidratrimo</v>
          </cell>
          <cell r="L73" t="str">
            <v>Lot 100 Ankadivory</v>
          </cell>
          <cell r="M73">
            <v>42283</v>
          </cell>
          <cell r="N73">
            <v>42283</v>
          </cell>
          <cell r="O73" t="str">
            <v>Stratifieur</v>
          </cell>
          <cell r="P73" t="str">
            <v>M1</v>
          </cell>
          <cell r="R73" t="str">
            <v>CDD</v>
          </cell>
        </row>
        <row r="74">
          <cell r="B74" t="str">
            <v>T234</v>
          </cell>
          <cell r="C74" t="str">
            <v>RAZAFINDRAIBE Dimbiniaina Onja Fanantenana</v>
          </cell>
          <cell r="D74">
            <v>133100</v>
          </cell>
          <cell r="E74" t="str">
            <v>M</v>
          </cell>
          <cell r="F74" t="str">
            <v>99999999</v>
          </cell>
          <cell r="G74">
            <v>34424</v>
          </cell>
          <cell r="H74" t="str">
            <v>Ambohitrarahaba</v>
          </cell>
          <cell r="I74">
            <v>102031024616</v>
          </cell>
          <cell r="J74">
            <v>41001</v>
          </cell>
          <cell r="K74" t="str">
            <v>Ankadikely Avaradrano</v>
          </cell>
          <cell r="L74" t="str">
            <v>Lot III AB 1b Bis Andrononobe</v>
          </cell>
          <cell r="M74">
            <v>42283</v>
          </cell>
          <cell r="N74">
            <v>42283</v>
          </cell>
          <cell r="O74" t="str">
            <v>Stratifieur</v>
          </cell>
          <cell r="P74" t="str">
            <v>M1</v>
          </cell>
          <cell r="R74" t="str">
            <v>CDD</v>
          </cell>
        </row>
        <row r="75">
          <cell r="B75" t="str">
            <v>T235</v>
          </cell>
          <cell r="C75" t="str">
            <v>RASOLOFOMANDIMBY Florentin</v>
          </cell>
          <cell r="D75">
            <v>133100</v>
          </cell>
          <cell r="E75" t="str">
            <v>M</v>
          </cell>
          <cell r="F75" t="str">
            <v>99999999</v>
          </cell>
          <cell r="G75">
            <v>30016</v>
          </cell>
          <cell r="H75" t="str">
            <v>Fianarantsoa</v>
          </cell>
          <cell r="I75">
            <v>201031022348</v>
          </cell>
          <cell r="J75">
            <v>37232</v>
          </cell>
          <cell r="K75" t="str">
            <v>Fianarantsoa</v>
          </cell>
          <cell r="L75" t="str">
            <v>Lot IVP 75D Namontana</v>
          </cell>
          <cell r="M75">
            <v>42283</v>
          </cell>
          <cell r="N75">
            <v>42283</v>
          </cell>
          <cell r="O75" t="str">
            <v>Stratifieur</v>
          </cell>
          <cell r="P75" t="str">
            <v>M1</v>
          </cell>
          <cell r="R75" t="str">
            <v>CDD</v>
          </cell>
        </row>
        <row r="76">
          <cell r="B76" t="str">
            <v>T236</v>
          </cell>
          <cell r="C76" t="str">
            <v>RAMANDANIAINA Alfred Lovasoa</v>
          </cell>
          <cell r="D76">
            <v>133100</v>
          </cell>
          <cell r="E76" t="str">
            <v>M</v>
          </cell>
          <cell r="F76" t="str">
            <v>99999999</v>
          </cell>
          <cell r="G76">
            <v>33890</v>
          </cell>
          <cell r="H76" t="str">
            <v>Fihaonana Ankazobe</v>
          </cell>
          <cell r="I76">
            <v>104231004973</v>
          </cell>
          <cell r="J76">
            <v>40571</v>
          </cell>
          <cell r="K76" t="str">
            <v>Ankazobe</v>
          </cell>
          <cell r="L76" t="str">
            <v>Amboropotsy Talatamaty</v>
          </cell>
          <cell r="M76">
            <v>42283</v>
          </cell>
          <cell r="N76">
            <v>42283</v>
          </cell>
          <cell r="O76" t="str">
            <v>Stratifieur</v>
          </cell>
          <cell r="P76" t="str">
            <v>M1</v>
          </cell>
          <cell r="R76" t="str">
            <v>CDD</v>
          </cell>
        </row>
        <row r="77">
          <cell r="B77" t="str">
            <v>T237</v>
          </cell>
          <cell r="C77" t="str">
            <v>RANDRIANANTENAINA Toky Elysé</v>
          </cell>
          <cell r="D77">
            <v>133100</v>
          </cell>
          <cell r="E77" t="str">
            <v>M</v>
          </cell>
          <cell r="F77" t="str">
            <v>99999999</v>
          </cell>
          <cell r="G77">
            <v>34936</v>
          </cell>
          <cell r="H77" t="str">
            <v>Antanety Bemasoandro</v>
          </cell>
          <cell r="I77">
            <v>117071020440</v>
          </cell>
          <cell r="J77">
            <v>41879</v>
          </cell>
          <cell r="K77" t="str">
            <v>Bemasoandro</v>
          </cell>
          <cell r="L77" t="str">
            <v>Lot IPT 123 Antanety Bemasoandro</v>
          </cell>
          <cell r="M77">
            <v>42284</v>
          </cell>
          <cell r="N77">
            <v>42284</v>
          </cell>
          <cell r="O77" t="str">
            <v>Stratifieur</v>
          </cell>
          <cell r="P77" t="str">
            <v>M1</v>
          </cell>
          <cell r="R77" t="str">
            <v>CDD</v>
          </cell>
        </row>
        <row r="78">
          <cell r="B78" t="str">
            <v>T238</v>
          </cell>
          <cell r="C78" t="str">
            <v>RANDRIANANDRASANA Miora Lantoniaina Fabien</v>
          </cell>
          <cell r="D78">
            <v>133100</v>
          </cell>
          <cell r="E78" t="str">
            <v>M</v>
          </cell>
          <cell r="F78" t="str">
            <v>99999999</v>
          </cell>
          <cell r="G78">
            <v>33926</v>
          </cell>
          <cell r="H78" t="str">
            <v>Toamasina I</v>
          </cell>
          <cell r="I78">
            <v>103051014219</v>
          </cell>
          <cell r="J78">
            <v>40812</v>
          </cell>
          <cell r="K78" t="str">
            <v>Ambohidratrimo</v>
          </cell>
          <cell r="L78" t="str">
            <v>Lot Près 137C Amboropotsy Talatamaty</v>
          </cell>
          <cell r="M78">
            <v>42289</v>
          </cell>
          <cell r="N78">
            <v>42289</v>
          </cell>
          <cell r="O78" t="str">
            <v>Stratifieur</v>
          </cell>
          <cell r="P78" t="str">
            <v>M1</v>
          </cell>
          <cell r="R78" t="str">
            <v>CDD</v>
          </cell>
        </row>
        <row r="79">
          <cell r="B79" t="str">
            <v>T239</v>
          </cell>
          <cell r="C79" t="str">
            <v>PIRET Alcide Jean Ianna Mahefa</v>
          </cell>
          <cell r="D79">
            <v>133100</v>
          </cell>
          <cell r="E79" t="str">
            <v>M</v>
          </cell>
          <cell r="F79" t="str">
            <v>99999999</v>
          </cell>
          <cell r="G79">
            <v>28146</v>
          </cell>
          <cell r="H79" t="str">
            <v>Ankazomanga</v>
          </cell>
          <cell r="I79">
            <v>101211229123</v>
          </cell>
          <cell r="J79">
            <v>42072</v>
          </cell>
          <cell r="K79" t="str">
            <v>Antananarivo I</v>
          </cell>
          <cell r="L79" t="str">
            <v>Lot IVL 137 Andohatapenaka II</v>
          </cell>
          <cell r="M79">
            <v>42289</v>
          </cell>
          <cell r="N79">
            <v>42289</v>
          </cell>
          <cell r="O79" t="str">
            <v>Stratifieur</v>
          </cell>
          <cell r="P79" t="str">
            <v>M1</v>
          </cell>
          <cell r="R79" t="str">
            <v>CDD</v>
          </cell>
        </row>
        <row r="80">
          <cell r="B80" t="str">
            <v>T240</v>
          </cell>
          <cell r="C80" t="str">
            <v>RAFANOMEZANTSOA Andrianiaina</v>
          </cell>
          <cell r="D80">
            <v>134600</v>
          </cell>
          <cell r="E80" t="str">
            <v>M</v>
          </cell>
          <cell r="F80" t="str">
            <v>99999999</v>
          </cell>
          <cell r="G80">
            <v>33934</v>
          </cell>
          <cell r="H80" t="str">
            <v>Befelatanana</v>
          </cell>
          <cell r="I80">
            <v>117051011537</v>
          </cell>
          <cell r="L80" t="str">
            <v>Lot IAE 64 A Ambodiapanga</v>
          </cell>
          <cell r="M80">
            <v>42289</v>
          </cell>
          <cell r="N80">
            <v>42289</v>
          </cell>
          <cell r="O80" t="str">
            <v>Stratifieur</v>
          </cell>
          <cell r="P80" t="str">
            <v>M1</v>
          </cell>
          <cell r="R80" t="str">
            <v>CDD</v>
          </cell>
        </row>
        <row r="81">
          <cell r="B81" t="str">
            <v>T241</v>
          </cell>
          <cell r="C81" t="str">
            <v>RASOLOFOMANANA Daniel</v>
          </cell>
          <cell r="D81">
            <v>133100</v>
          </cell>
          <cell r="E81" t="str">
            <v>M</v>
          </cell>
          <cell r="F81" t="str">
            <v>99999999</v>
          </cell>
          <cell r="G81">
            <v>33616</v>
          </cell>
          <cell r="H81" t="str">
            <v>Andranomena</v>
          </cell>
          <cell r="I81">
            <v>101981083899</v>
          </cell>
          <cell r="J81">
            <v>40225</v>
          </cell>
          <cell r="K81" t="str">
            <v>Antananarivo V</v>
          </cell>
          <cell r="L81" t="str">
            <v>Lot III G bis Ambatolampy</v>
          </cell>
          <cell r="M81">
            <v>42289</v>
          </cell>
          <cell r="N81">
            <v>42289</v>
          </cell>
          <cell r="O81" t="str">
            <v>Stratifieur</v>
          </cell>
          <cell r="P81" t="str">
            <v>M1</v>
          </cell>
          <cell r="R81" t="str">
            <v>CDD</v>
          </cell>
        </row>
        <row r="82">
          <cell r="B82" t="str">
            <v>T242</v>
          </cell>
          <cell r="C82" t="str">
            <v>RAMANAMAHENINA Ryselle Tokinandrasana Njarasoa</v>
          </cell>
          <cell r="D82">
            <v>133100</v>
          </cell>
          <cell r="E82" t="str">
            <v>M</v>
          </cell>
          <cell r="F82" t="str">
            <v>99999999</v>
          </cell>
          <cell r="G82">
            <v>32798</v>
          </cell>
          <cell r="H82" t="str">
            <v>Ambatomandondona Ambohitrimanjaka</v>
          </cell>
          <cell r="I82">
            <v>103131011151</v>
          </cell>
          <cell r="J82">
            <v>39463</v>
          </cell>
          <cell r="K82" t="str">
            <v>Ambohidratrimo</v>
          </cell>
          <cell r="L82" t="str">
            <v>Lot ATS 36/I Antsahavolo</v>
          </cell>
          <cell r="M82">
            <v>42289</v>
          </cell>
          <cell r="N82">
            <v>42289</v>
          </cell>
          <cell r="O82" t="str">
            <v>Stratifieur</v>
          </cell>
          <cell r="P82" t="str">
            <v>M1</v>
          </cell>
          <cell r="R82" t="str">
            <v>CDD</v>
          </cell>
        </row>
        <row r="83">
          <cell r="B83" t="str">
            <v>T243</v>
          </cell>
          <cell r="C83" t="str">
            <v>RAKOTOMAMONJY Jean Pierrot</v>
          </cell>
          <cell r="D83">
            <v>133100</v>
          </cell>
          <cell r="E83" t="str">
            <v>M</v>
          </cell>
          <cell r="F83" t="str">
            <v>99999999</v>
          </cell>
          <cell r="G83">
            <v>32329</v>
          </cell>
          <cell r="H83" t="str">
            <v>Andohatapenaka</v>
          </cell>
          <cell r="I83">
            <v>101211185379</v>
          </cell>
          <cell r="L83" t="str">
            <v>Lot IVL 209 bis Andohatapenaka</v>
          </cell>
          <cell r="M83">
            <v>42289</v>
          </cell>
          <cell r="N83">
            <v>42289</v>
          </cell>
          <cell r="O83" t="str">
            <v>Stratifieur</v>
          </cell>
          <cell r="P83" t="str">
            <v>M1</v>
          </cell>
          <cell r="R83" t="str">
            <v>CDD</v>
          </cell>
        </row>
        <row r="84">
          <cell r="B84" t="str">
            <v>T244</v>
          </cell>
          <cell r="C84" t="str">
            <v>RANAIVOHARISOA Tsilavina Nadé</v>
          </cell>
          <cell r="D84">
            <v>133100</v>
          </cell>
          <cell r="E84" t="str">
            <v>M</v>
          </cell>
          <cell r="F84" t="str">
            <v>99999999</v>
          </cell>
          <cell r="G84">
            <v>35500</v>
          </cell>
          <cell r="H84" t="str">
            <v>Itaosy</v>
          </cell>
          <cell r="I84">
            <v>117071021045</v>
          </cell>
          <cell r="L84" t="str">
            <v>Lot IPA 530 Ampasika anosimasina</v>
          </cell>
          <cell r="M84">
            <v>42289</v>
          </cell>
          <cell r="N84">
            <v>42289</v>
          </cell>
          <cell r="O84" t="str">
            <v>Stratifieur</v>
          </cell>
          <cell r="P84" t="str">
            <v>M1</v>
          </cell>
          <cell r="R84" t="str">
            <v>CDD</v>
          </cell>
        </row>
        <row r="85">
          <cell r="B85" t="str">
            <v>T245</v>
          </cell>
          <cell r="C85" t="str">
            <v>RAKOTONDRAMANANA Frédéric</v>
          </cell>
          <cell r="D85">
            <v>133100</v>
          </cell>
          <cell r="E85" t="str">
            <v>M</v>
          </cell>
          <cell r="F85" t="str">
            <v>99999999</v>
          </cell>
          <cell r="G85">
            <v>34256</v>
          </cell>
          <cell r="H85" t="str">
            <v>Ankazomasina</v>
          </cell>
          <cell r="I85">
            <v>103171010676</v>
          </cell>
          <cell r="J85">
            <v>40834</v>
          </cell>
          <cell r="K85" t="str">
            <v>Ambohidratrimo</v>
          </cell>
          <cell r="L85" t="str">
            <v>Lot 101 SOA K2 Soavinarivo Ivato</v>
          </cell>
          <cell r="M85">
            <v>42290</v>
          </cell>
          <cell r="N85">
            <v>42290</v>
          </cell>
          <cell r="O85" t="str">
            <v>Stratifieur</v>
          </cell>
          <cell r="P85" t="str">
            <v>M1</v>
          </cell>
          <cell r="R85" t="str">
            <v>CDD</v>
          </cell>
        </row>
        <row r="86">
          <cell r="B86" t="str">
            <v>T247</v>
          </cell>
          <cell r="C86" t="str">
            <v>RAKOTOHASIMANANA N. Avotra</v>
          </cell>
          <cell r="D86">
            <v>133100</v>
          </cell>
          <cell r="E86" t="str">
            <v>M</v>
          </cell>
          <cell r="F86" t="str">
            <v>99999999</v>
          </cell>
          <cell r="G86">
            <v>35633</v>
          </cell>
          <cell r="H86" t="str">
            <v>Andavamamba</v>
          </cell>
          <cell r="I86">
            <v>101211231519</v>
          </cell>
          <cell r="J86">
            <v>42226</v>
          </cell>
          <cell r="K86" t="str">
            <v>Antananarivo I</v>
          </cell>
          <cell r="L86" t="str">
            <v>Lot A275D Andavamamba Anjezika</v>
          </cell>
          <cell r="M86">
            <v>42327</v>
          </cell>
          <cell r="N86">
            <v>42327</v>
          </cell>
          <cell r="O86" t="str">
            <v>Stratifieur</v>
          </cell>
          <cell r="P86" t="str">
            <v>M1</v>
          </cell>
          <cell r="R86" t="str">
            <v>CDD</v>
          </cell>
        </row>
        <row r="87">
          <cell r="B87" t="str">
            <v>T248</v>
          </cell>
          <cell r="C87" t="str">
            <v>RATOVOARISOA Mamitiana</v>
          </cell>
          <cell r="D87">
            <v>133100</v>
          </cell>
          <cell r="E87" t="str">
            <v>M</v>
          </cell>
          <cell r="F87" t="str">
            <v>99999999</v>
          </cell>
          <cell r="G87">
            <v>35490</v>
          </cell>
          <cell r="H87" t="str">
            <v>Befelatanana</v>
          </cell>
          <cell r="I87">
            <v>101211229125</v>
          </cell>
          <cell r="J87">
            <v>42072</v>
          </cell>
          <cell r="K87" t="str">
            <v>Antananarivo I</v>
          </cell>
          <cell r="L87" t="str">
            <v>Lot IIIX182 Andavamamba Anatihazo</v>
          </cell>
          <cell r="M87">
            <v>42327</v>
          </cell>
          <cell r="N87">
            <v>42327</v>
          </cell>
          <cell r="O87" t="str">
            <v>Stratifieur</v>
          </cell>
          <cell r="P87" t="str">
            <v>M1</v>
          </cell>
          <cell r="R87" t="str">
            <v>CDD</v>
          </cell>
        </row>
        <row r="88">
          <cell r="B88" t="str">
            <v>T249</v>
          </cell>
          <cell r="C88" t="str">
            <v>RAKOTONIRINA Nomenjanahary Feno</v>
          </cell>
          <cell r="D88">
            <v>133100</v>
          </cell>
          <cell r="E88" t="str">
            <v>M</v>
          </cell>
          <cell r="F88" t="str">
            <v>99999999</v>
          </cell>
          <cell r="G88">
            <v>34333</v>
          </cell>
          <cell r="H88" t="str">
            <v>Madera Tana</v>
          </cell>
          <cell r="I88">
            <v>101241160879</v>
          </cell>
          <cell r="J88">
            <v>41204</v>
          </cell>
          <cell r="K88" t="str">
            <v>Antananarivo IV</v>
          </cell>
          <cell r="L88" t="str">
            <v>Lot 305bis Madera Namontana</v>
          </cell>
          <cell r="M88">
            <v>42327</v>
          </cell>
          <cell r="N88">
            <v>42327</v>
          </cell>
          <cell r="O88" t="str">
            <v>Stratifieur</v>
          </cell>
          <cell r="P88" t="str">
            <v>M1</v>
          </cell>
          <cell r="R88" t="str">
            <v>CDD</v>
          </cell>
        </row>
        <row r="89">
          <cell r="B89" t="str">
            <v>T250</v>
          </cell>
          <cell r="C89" t="str">
            <v>ANDRINIAINA Tojosoa Eric</v>
          </cell>
          <cell r="D89">
            <v>133100</v>
          </cell>
          <cell r="E89" t="str">
            <v>M</v>
          </cell>
          <cell r="F89" t="str">
            <v>99999999</v>
          </cell>
          <cell r="G89">
            <v>34283</v>
          </cell>
          <cell r="H89" t="str">
            <v>Andravoahangy</v>
          </cell>
          <cell r="I89">
            <v>101214158734</v>
          </cell>
          <cell r="J89">
            <v>41059</v>
          </cell>
          <cell r="K89" t="str">
            <v>Antananarivo IV</v>
          </cell>
          <cell r="L89" t="str">
            <v>Lot III S 308 Madera Namontana</v>
          </cell>
          <cell r="M89">
            <v>42327</v>
          </cell>
          <cell r="N89">
            <v>42327</v>
          </cell>
          <cell r="O89" t="str">
            <v>Stratifieur</v>
          </cell>
          <cell r="P89" t="str">
            <v>M1</v>
          </cell>
          <cell r="R89" t="str">
            <v>CDD</v>
          </cell>
        </row>
        <row r="90">
          <cell r="B90" t="str">
            <v>T252</v>
          </cell>
          <cell r="C90" t="str">
            <v>RANDRIANARISON Heritiana Mamitiana</v>
          </cell>
          <cell r="D90">
            <v>133100</v>
          </cell>
          <cell r="E90" t="str">
            <v>M</v>
          </cell>
          <cell r="F90" t="str">
            <v>99999999</v>
          </cell>
          <cell r="G90">
            <v>34249</v>
          </cell>
          <cell r="H90" t="str">
            <v>Soavimasoandro</v>
          </cell>
          <cell r="I90">
            <v>101215173357</v>
          </cell>
          <cell r="J90">
            <v>40870</v>
          </cell>
          <cell r="K90" t="str">
            <v>Antananarivo V</v>
          </cell>
          <cell r="L90" t="str">
            <v>Lot II K 3P JA</v>
          </cell>
          <cell r="M90">
            <v>42333</v>
          </cell>
          <cell r="N90">
            <v>42333</v>
          </cell>
          <cell r="O90" t="str">
            <v>Stratifieur</v>
          </cell>
          <cell r="P90" t="str">
            <v>M1</v>
          </cell>
          <cell r="R90" t="str">
            <v>CDD</v>
          </cell>
        </row>
        <row r="91">
          <cell r="B91" t="str">
            <v>T253</v>
          </cell>
          <cell r="C91" t="str">
            <v>RANARISON Rojo Nambinintsoa</v>
          </cell>
          <cell r="D91">
            <v>133100</v>
          </cell>
          <cell r="E91" t="str">
            <v>M</v>
          </cell>
          <cell r="F91" t="str">
            <v>99999999</v>
          </cell>
          <cell r="G91">
            <v>35441</v>
          </cell>
          <cell r="H91" t="str">
            <v>Ankatso</v>
          </cell>
          <cell r="I91">
            <v>101221117416</v>
          </cell>
          <cell r="J91">
            <v>42060</v>
          </cell>
          <cell r="K91" t="str">
            <v>Antananarivo II</v>
          </cell>
          <cell r="L91" t="str">
            <v>Lot VS21 TRH Ankatso</v>
          </cell>
          <cell r="M91">
            <v>42333</v>
          </cell>
          <cell r="N91">
            <v>42333</v>
          </cell>
          <cell r="O91" t="str">
            <v>Stratifieur</v>
          </cell>
          <cell r="P91" t="str">
            <v>M1</v>
          </cell>
          <cell r="R91" t="str">
            <v>CDD</v>
          </cell>
        </row>
        <row r="92">
          <cell r="B92" t="str">
            <v>T254</v>
          </cell>
          <cell r="C92" t="str">
            <v>RAKOTOMALALA Tolotra</v>
          </cell>
          <cell r="D92">
            <v>133100</v>
          </cell>
          <cell r="E92" t="str">
            <v>M</v>
          </cell>
          <cell r="F92" t="str">
            <v>99999999</v>
          </cell>
          <cell r="G92">
            <v>35577</v>
          </cell>
          <cell r="H92" t="str">
            <v>Befelatanana</v>
          </cell>
          <cell r="I92">
            <v>101241174366</v>
          </cell>
          <cell r="J92">
            <v>42219</v>
          </cell>
          <cell r="K92" t="str">
            <v>Antananarivo IV</v>
          </cell>
          <cell r="L92" t="str">
            <v>Lot 202 bis Manarintsoa Centre</v>
          </cell>
          <cell r="M92">
            <v>42333</v>
          </cell>
          <cell r="N92">
            <v>42333</v>
          </cell>
          <cell r="O92" t="str">
            <v>Stratifieur</v>
          </cell>
          <cell r="P92" t="str">
            <v>M1</v>
          </cell>
          <cell r="R92" t="str">
            <v>CDD</v>
          </cell>
        </row>
        <row r="93">
          <cell r="B93" t="str">
            <v>T255</v>
          </cell>
          <cell r="C93" t="str">
            <v>RASAMOELINA TAFITASOA Hanitriniala</v>
          </cell>
          <cell r="D93">
            <v>133100</v>
          </cell>
          <cell r="E93" t="str">
            <v>M</v>
          </cell>
          <cell r="F93" t="str">
            <v>99999999</v>
          </cell>
          <cell r="G93">
            <v>35205</v>
          </cell>
          <cell r="H93" t="str">
            <v>Antohomadinika</v>
          </cell>
          <cell r="I93">
            <v>101211225298</v>
          </cell>
          <cell r="J93">
            <v>41787</v>
          </cell>
          <cell r="K93" t="str">
            <v>Antananrivo I</v>
          </cell>
          <cell r="L93" t="str">
            <v>Lot IIIF 186D Antohomadinika</v>
          </cell>
          <cell r="M93">
            <v>42339</v>
          </cell>
          <cell r="N93">
            <v>42339</v>
          </cell>
          <cell r="O93" t="str">
            <v>Stratifieur</v>
          </cell>
          <cell r="P93" t="str">
            <v>M1</v>
          </cell>
          <cell r="R93" t="str">
            <v>CDD</v>
          </cell>
        </row>
        <row r="95">
          <cell r="B95" t="str">
            <v>T132</v>
          </cell>
          <cell r="C95" t="str">
            <v>RATOVOSON Holihasina Mamisoa</v>
          </cell>
          <cell r="D95">
            <v>1208762</v>
          </cell>
          <cell r="E95" t="str">
            <v>F</v>
          </cell>
          <cell r="F95" t="str">
            <v>712127000233</v>
          </cell>
          <cell r="G95">
            <v>25960</v>
          </cell>
          <cell r="H95" t="str">
            <v>Antanananarivo</v>
          </cell>
          <cell r="I95">
            <v>103052000990</v>
          </cell>
          <cell r="J95">
            <v>32555</v>
          </cell>
          <cell r="K95" t="str">
            <v>Ambohidratrimo</v>
          </cell>
          <cell r="L95" t="str">
            <v>Lot147B bis amboropotsy Talatamaty</v>
          </cell>
          <cell r="M95">
            <v>39370</v>
          </cell>
          <cell r="N95">
            <v>39370</v>
          </cell>
          <cell r="O95" t="str">
            <v>Responsable Comptable</v>
          </cell>
          <cell r="P95" t="str">
            <v>HC</v>
          </cell>
          <cell r="R95" t="str">
            <v>CDI</v>
          </cell>
        </row>
        <row r="96">
          <cell r="B96" t="str">
            <v>T133</v>
          </cell>
          <cell r="C96" t="str">
            <v>RANAIVOSON RAMANANDRAISOA Voahangy</v>
          </cell>
          <cell r="D96">
            <v>1208762</v>
          </cell>
          <cell r="E96" t="str">
            <v>F</v>
          </cell>
          <cell r="F96" t="str">
            <v>713121000211</v>
          </cell>
          <cell r="G96">
            <v>26258</v>
          </cell>
          <cell r="H96" t="str">
            <v>Toamasina</v>
          </cell>
          <cell r="I96">
            <v>103112001179</v>
          </cell>
          <cell r="J96">
            <v>36185</v>
          </cell>
          <cell r="K96" t="str">
            <v>Ambohidratrimo</v>
          </cell>
          <cell r="L96" t="str">
            <v>Lot 298MC Ivato</v>
          </cell>
          <cell r="M96">
            <v>39489</v>
          </cell>
          <cell r="N96">
            <v>39489</v>
          </cell>
          <cell r="O96" t="str">
            <v>Responsable administratif</v>
          </cell>
          <cell r="P96" t="str">
            <v>HC</v>
          </cell>
          <cell r="R96" t="str">
            <v>CDI</v>
          </cell>
        </row>
        <row r="97">
          <cell r="B97" t="str">
            <v>T162</v>
          </cell>
          <cell r="C97" t="str">
            <v>RATOVOSON Vololomiadana Voniarisoa</v>
          </cell>
          <cell r="D97">
            <v>1833762</v>
          </cell>
          <cell r="E97" t="str">
            <v>F</v>
          </cell>
          <cell r="F97" t="str">
            <v>99999999999</v>
          </cell>
          <cell r="G97">
            <v>25425</v>
          </cell>
          <cell r="H97" t="str">
            <v>Antanananarivo</v>
          </cell>
          <cell r="I97">
            <v>103052000989</v>
          </cell>
          <cell r="J97">
            <v>32555</v>
          </cell>
          <cell r="K97" t="str">
            <v>Ambohidratrimo</v>
          </cell>
          <cell r="L97" t="str">
            <v>Lot147B bis amboropotsy Talatamaty</v>
          </cell>
          <cell r="M97">
            <v>40898</v>
          </cell>
          <cell r="N97">
            <v>40898</v>
          </cell>
          <cell r="O97" t="str">
            <v>Directeur administratif et financier</v>
          </cell>
          <cell r="P97" t="str">
            <v>HC</v>
          </cell>
          <cell r="R97" t="str">
            <v>CDI</v>
          </cell>
        </row>
        <row r="100">
          <cell r="B100" t="str">
            <v>T016</v>
          </cell>
          <cell r="C100" t="str">
            <v>RAZAFINDRASATA José Gabriel</v>
          </cell>
          <cell r="D100">
            <v>300000</v>
          </cell>
          <cell r="E100" t="str">
            <v>M</v>
          </cell>
          <cell r="F100" t="str">
            <v>590628003486</v>
          </cell>
          <cell r="G100">
            <v>21729</v>
          </cell>
          <cell r="H100" t="str">
            <v>Itaosy</v>
          </cell>
          <cell r="I100">
            <v>101211065530</v>
          </cell>
          <cell r="J100">
            <v>28268</v>
          </cell>
          <cell r="K100" t="str">
            <v>Antananarivo I</v>
          </cell>
          <cell r="L100" t="str">
            <v>Lot 102 E bis Amboropotsy 102</v>
          </cell>
          <cell r="M100">
            <v>40140</v>
          </cell>
          <cell r="N100">
            <v>40140</v>
          </cell>
          <cell r="O100" t="str">
            <v>Chauffeur</v>
          </cell>
          <cell r="P100" t="str">
            <v>OS2</v>
          </cell>
          <cell r="Q100">
            <v>2</v>
          </cell>
          <cell r="R100" t="str">
            <v>CDI</v>
          </cell>
        </row>
        <row r="101">
          <cell r="B101" t="str">
            <v>T144</v>
          </cell>
          <cell r="C101" t="str">
            <v>RANDRIAMANANA Sylvin</v>
          </cell>
          <cell r="D101">
            <v>150000</v>
          </cell>
          <cell r="E101" t="str">
            <v>M</v>
          </cell>
          <cell r="F101" t="str">
            <v>890101003707</v>
          </cell>
          <cell r="G101">
            <v>32509</v>
          </cell>
          <cell r="H101" t="str">
            <v>Marohala</v>
          </cell>
          <cell r="I101">
            <v>101981076397</v>
          </cell>
          <cell r="J101">
            <v>39118</v>
          </cell>
          <cell r="K101" t="str">
            <v>Antananarivo VI</v>
          </cell>
          <cell r="L101" t="str">
            <v>Lot 210AT Amboaroy</v>
          </cell>
          <cell r="M101">
            <v>41299</v>
          </cell>
          <cell r="N101">
            <v>41299</v>
          </cell>
          <cell r="O101" t="str">
            <v>Gardien de nuit</v>
          </cell>
          <cell r="P101" t="str">
            <v>M1</v>
          </cell>
          <cell r="R101" t="str">
            <v>CDI</v>
          </cell>
        </row>
        <row r="102">
          <cell r="B102" t="str">
            <v>T155</v>
          </cell>
          <cell r="C102" t="str">
            <v>RABARIJAONA Barthélemy Jacques</v>
          </cell>
          <cell r="D102">
            <v>555081</v>
          </cell>
          <cell r="E102" t="str">
            <v>M</v>
          </cell>
          <cell r="F102" t="str">
            <v>7181030002Y</v>
          </cell>
          <cell r="G102">
            <v>26169</v>
          </cell>
          <cell r="H102" t="str">
            <v>Ambohidratrimo</v>
          </cell>
          <cell r="I102">
            <v>103051001237</v>
          </cell>
          <cell r="J102">
            <v>32667</v>
          </cell>
          <cell r="K102" t="str">
            <v>Ambohidratrimo</v>
          </cell>
          <cell r="L102" t="str">
            <v>Lot 70D bis Imerinafovoany</v>
          </cell>
          <cell r="M102">
            <v>39695</v>
          </cell>
          <cell r="N102">
            <v>39695</v>
          </cell>
          <cell r="O102" t="str">
            <v>Chauffeur</v>
          </cell>
          <cell r="P102" t="str">
            <v>OS2</v>
          </cell>
          <cell r="R102" t="str">
            <v>CDI</v>
          </cell>
        </row>
        <row r="103">
          <cell r="B103" t="str">
            <v>T156</v>
          </cell>
          <cell r="C103" t="str">
            <v>RAFARAMALALA Laurence</v>
          </cell>
          <cell r="D103">
            <v>275000</v>
          </cell>
          <cell r="E103" t="str">
            <v>F</v>
          </cell>
          <cell r="F103" t="str">
            <v>763107000718</v>
          </cell>
          <cell r="M103">
            <v>39712</v>
          </cell>
          <cell r="N103">
            <v>39712</v>
          </cell>
          <cell r="O103" t="str">
            <v>Cuisinière</v>
          </cell>
          <cell r="P103" t="str">
            <v>OS2</v>
          </cell>
          <cell r="Q103">
            <v>3</v>
          </cell>
          <cell r="R103" t="str">
            <v>CDI</v>
          </cell>
        </row>
        <row r="104">
          <cell r="B104" t="str">
            <v>T157</v>
          </cell>
          <cell r="C104" t="str">
            <v>RAMIANDRAVOLA Rondroelinjaka</v>
          </cell>
          <cell r="D104">
            <v>220000</v>
          </cell>
          <cell r="E104" t="str">
            <v>F</v>
          </cell>
          <cell r="F104" t="str">
            <v>712613000422</v>
          </cell>
          <cell r="M104">
            <v>39712</v>
          </cell>
          <cell r="N104">
            <v>39712</v>
          </cell>
          <cell r="O104" t="str">
            <v>Femme de menage</v>
          </cell>
          <cell r="P104" t="str">
            <v>M1</v>
          </cell>
          <cell r="R104" t="str">
            <v>CDI</v>
          </cell>
        </row>
        <row r="105">
          <cell r="B105" t="str">
            <v>T158</v>
          </cell>
          <cell r="C105" t="str">
            <v>RAKOTONATOANDRO Edmond</v>
          </cell>
          <cell r="D105">
            <v>165000</v>
          </cell>
          <cell r="E105" t="str">
            <v>M</v>
          </cell>
          <cell r="F105" t="str">
            <v>550504000228</v>
          </cell>
          <cell r="M105">
            <v>39712</v>
          </cell>
          <cell r="N105">
            <v>39712</v>
          </cell>
          <cell r="O105" t="str">
            <v>Gardien</v>
          </cell>
          <cell r="P105" t="str">
            <v>M1</v>
          </cell>
          <cell r="Q105">
            <v>1</v>
          </cell>
          <cell r="R105" t="str">
            <v>CDI</v>
          </cell>
        </row>
        <row r="106">
          <cell r="B106" t="str">
            <v>T159</v>
          </cell>
          <cell r="C106" t="str">
            <v>RANGITARINORO José</v>
          </cell>
          <cell r="D106">
            <v>220000</v>
          </cell>
          <cell r="E106" t="str">
            <v>M</v>
          </cell>
          <cell r="F106" t="str">
            <v>760225002962</v>
          </cell>
          <cell r="M106">
            <v>39742</v>
          </cell>
          <cell r="N106">
            <v>39742</v>
          </cell>
          <cell r="O106" t="str">
            <v>Jardinier</v>
          </cell>
          <cell r="P106" t="str">
            <v>M1</v>
          </cell>
          <cell r="Q106">
            <v>2</v>
          </cell>
          <cell r="R106" t="str">
            <v>CDI</v>
          </cell>
        </row>
        <row r="107">
          <cell r="B107" t="str">
            <v>T160</v>
          </cell>
          <cell r="C107" t="str">
            <v>MAMITIANA Pascal</v>
          </cell>
          <cell r="D107">
            <v>150000</v>
          </cell>
          <cell r="E107" t="str">
            <v>M</v>
          </cell>
          <cell r="F107" t="str">
            <v>750427003054</v>
          </cell>
          <cell r="G107">
            <v>27511</v>
          </cell>
          <cell r="H107" t="str">
            <v>Antanetibe Antehiroka</v>
          </cell>
          <cell r="I107">
            <v>103071004178</v>
          </cell>
          <cell r="J107">
            <v>35087</v>
          </cell>
          <cell r="K107" t="str">
            <v>Ambohidratrimo 105</v>
          </cell>
          <cell r="L107" t="str">
            <v>II A 56 Antalamohitra Près Antehiroka</v>
          </cell>
          <cell r="M107">
            <v>40506</v>
          </cell>
          <cell r="N107">
            <v>40506</v>
          </cell>
          <cell r="O107" t="str">
            <v>Agent de sécurité</v>
          </cell>
          <cell r="P107" t="str">
            <v>M1</v>
          </cell>
          <cell r="R107" t="str">
            <v>CDI</v>
          </cell>
        </row>
        <row r="108">
          <cell r="B108" t="str">
            <v>T187</v>
          </cell>
          <cell r="C108" t="str">
            <v>RAHARISON Herimampionona</v>
          </cell>
          <cell r="D108">
            <v>300000</v>
          </cell>
          <cell r="E108" t="str">
            <v>M</v>
          </cell>
          <cell r="F108" t="str">
            <v>99999999</v>
          </cell>
          <cell r="G108">
            <v>25673</v>
          </cell>
          <cell r="H108" t="str">
            <v>Antanety Alasora</v>
          </cell>
          <cell r="I108">
            <v>103171000507</v>
          </cell>
          <cell r="J108">
            <v>32430</v>
          </cell>
          <cell r="K108" t="str">
            <v>Ambohidratrimo</v>
          </cell>
          <cell r="L108" t="str">
            <v>Lot 79 Tanjondava</v>
          </cell>
          <cell r="M108">
            <v>41719</v>
          </cell>
          <cell r="N108">
            <v>41719</v>
          </cell>
          <cell r="O108" t="str">
            <v>Chauffeur</v>
          </cell>
          <cell r="P108" t="str">
            <v>OP2A</v>
          </cell>
          <cell r="R108" t="str">
            <v>CDD</v>
          </cell>
        </row>
        <row r="109">
          <cell r="B109" t="str">
            <v>T191</v>
          </cell>
          <cell r="C109" t="str">
            <v>RATOJONIAINA Jeannot Paul</v>
          </cell>
          <cell r="D109">
            <v>136480</v>
          </cell>
          <cell r="E109" t="str">
            <v>M</v>
          </cell>
          <cell r="F109" t="str">
            <v>99999999</v>
          </cell>
          <cell r="G109">
            <v>33963</v>
          </cell>
          <cell r="H109" t="str">
            <v>Antsampa,dranpo Ambatolampy</v>
          </cell>
          <cell r="I109">
            <v>110171009733</v>
          </cell>
          <cell r="J109">
            <v>40774</v>
          </cell>
          <cell r="K109" t="str">
            <v>Ambatolampy</v>
          </cell>
          <cell r="L109" t="str">
            <v>Lot 133ter Faralaza 105</v>
          </cell>
          <cell r="M109">
            <v>41780</v>
          </cell>
          <cell r="N109">
            <v>41780</v>
          </cell>
          <cell r="O109" t="str">
            <v>Gardien de nuit</v>
          </cell>
          <cell r="P109" t="str">
            <v>M1</v>
          </cell>
          <cell r="R109" t="str">
            <v>CDD</v>
          </cell>
        </row>
        <row r="110">
          <cell r="B110" t="str">
            <v>T193</v>
          </cell>
          <cell r="C110" t="str">
            <v>RANDRIANASOLONIRINA Jenny Angelin</v>
          </cell>
          <cell r="D110">
            <v>136480</v>
          </cell>
          <cell r="E110" t="str">
            <v>M</v>
          </cell>
          <cell r="F110" t="str">
            <v>99999999</v>
          </cell>
          <cell r="G110">
            <v>27814</v>
          </cell>
          <cell r="H110" t="str">
            <v>Befelatanana</v>
          </cell>
          <cell r="I110">
            <v>101221057601</v>
          </cell>
          <cell r="J110">
            <v>34465</v>
          </cell>
          <cell r="K110" t="str">
            <v>AntananarivoIII</v>
          </cell>
          <cell r="L110" t="str">
            <v>Lot</v>
          </cell>
          <cell r="M110">
            <v>41780</v>
          </cell>
          <cell r="N110">
            <v>41780</v>
          </cell>
          <cell r="O110" t="str">
            <v>Gardien</v>
          </cell>
          <cell r="P110" t="str">
            <v>M1</v>
          </cell>
          <cell r="R110" t="str">
            <v>CDD</v>
          </cell>
        </row>
        <row r="111">
          <cell r="B111" t="str">
            <v>T200</v>
          </cell>
          <cell r="C111" t="str">
            <v>RAMANANTENASOA Nambinintsoa</v>
          </cell>
          <cell r="D111">
            <v>230000</v>
          </cell>
          <cell r="E111" t="str">
            <v>F</v>
          </cell>
          <cell r="F111" t="str">
            <v>99999999</v>
          </cell>
          <cell r="M111">
            <v>41780</v>
          </cell>
          <cell r="N111">
            <v>41780</v>
          </cell>
          <cell r="O111" t="str">
            <v>Femme de menage</v>
          </cell>
          <cell r="P111" t="str">
            <v>M1</v>
          </cell>
          <cell r="R111" t="str">
            <v>CDI</v>
          </cell>
        </row>
        <row r="112">
          <cell r="B112" t="str">
            <v>T201</v>
          </cell>
          <cell r="C112" t="str">
            <v>TISTE</v>
          </cell>
          <cell r="D112">
            <v>136480</v>
          </cell>
          <cell r="E112" t="str">
            <v>M</v>
          </cell>
          <cell r="F112" t="str">
            <v>99999999</v>
          </cell>
          <cell r="G112">
            <v>34335</v>
          </cell>
          <cell r="H112" t="str">
            <v>Seranatsara</v>
          </cell>
          <cell r="I112">
            <v>103071017082</v>
          </cell>
          <cell r="J112">
            <v>41528</v>
          </cell>
          <cell r="K112" t="str">
            <v>Ambohidratrimo</v>
          </cell>
          <cell r="L112" t="str">
            <v>Lot 149AF Amboaroy</v>
          </cell>
          <cell r="M112">
            <v>41879</v>
          </cell>
          <cell r="N112">
            <v>41879</v>
          </cell>
          <cell r="O112" t="str">
            <v>Gardien</v>
          </cell>
          <cell r="P112" t="str">
            <v>M1</v>
          </cell>
          <cell r="R112" t="str">
            <v>CDD</v>
          </cell>
        </row>
        <row r="113">
          <cell r="B113" t="str">
            <v>T202</v>
          </cell>
          <cell r="C113" t="str">
            <v>RASOANAVALONA Sahondraniaina</v>
          </cell>
          <cell r="D113">
            <v>230000</v>
          </cell>
          <cell r="E113" t="str">
            <v>F</v>
          </cell>
          <cell r="F113" t="str">
            <v>99999999</v>
          </cell>
          <cell r="G113">
            <v>41136</v>
          </cell>
          <cell r="H113" t="str">
            <v>Befelatanana</v>
          </cell>
          <cell r="I113">
            <v>715052004395</v>
          </cell>
          <cell r="J113">
            <v>33820</v>
          </cell>
          <cell r="K113" t="str">
            <v>Antsiranana I</v>
          </cell>
          <cell r="L113" t="str">
            <v>Lot IVD7 Morafeno Sud</v>
          </cell>
          <cell r="M113">
            <v>41890</v>
          </cell>
          <cell r="N113">
            <v>41890</v>
          </cell>
          <cell r="O113" t="str">
            <v>Garde d'enfant</v>
          </cell>
          <cell r="P113" t="str">
            <v>M1</v>
          </cell>
          <cell r="R113" t="str">
            <v>CDD</v>
          </cell>
        </row>
        <row r="114">
          <cell r="B114" t="str">
            <v>T208</v>
          </cell>
          <cell r="C114" t="str">
            <v>RAVAONIRINA Jocelyne</v>
          </cell>
          <cell r="D114">
            <v>133100</v>
          </cell>
          <cell r="E114" t="str">
            <v>F</v>
          </cell>
          <cell r="F114" t="str">
            <v>99999999</v>
          </cell>
          <cell r="G114">
            <v>26232</v>
          </cell>
          <cell r="H114" t="str">
            <v>Ambohidratrimo</v>
          </cell>
          <cell r="I114">
            <v>103052002643</v>
          </cell>
          <cell r="J114">
            <v>33870</v>
          </cell>
          <cell r="K114" t="str">
            <v>Ambohidratrimo</v>
          </cell>
          <cell r="L114" t="str">
            <v>Lot MAI17 Maibahoaka Talatamaty</v>
          </cell>
          <cell r="M114">
            <v>42066</v>
          </cell>
          <cell r="N114">
            <v>42066</v>
          </cell>
          <cell r="O114" t="str">
            <v>Femme de menage</v>
          </cell>
          <cell r="P114" t="str">
            <v>M1</v>
          </cell>
          <cell r="R114" t="str">
            <v>CDI</v>
          </cell>
        </row>
        <row r="115">
          <cell r="B115" t="str">
            <v>T218</v>
          </cell>
          <cell r="C115" t="str">
            <v>ANDRIAMANATENA Lalaina Angeline</v>
          </cell>
          <cell r="D115">
            <v>133100</v>
          </cell>
          <cell r="E115" t="str">
            <v>M</v>
          </cell>
          <cell r="F115" t="str">
            <v>9999999</v>
          </cell>
          <cell r="G115">
            <v>30467</v>
          </cell>
          <cell r="H115" t="str">
            <v>Ambatofotsy</v>
          </cell>
          <cell r="I115">
            <v>101982069239</v>
          </cell>
          <cell r="J115">
            <v>37874</v>
          </cell>
          <cell r="K115" t="str">
            <v>Antananarivo VI</v>
          </cell>
          <cell r="L115" t="str">
            <v>Lot 321 AT Amboaroy</v>
          </cell>
          <cell r="M115">
            <v>42135</v>
          </cell>
          <cell r="N115">
            <v>42135</v>
          </cell>
          <cell r="O115" t="str">
            <v>Femme de menage</v>
          </cell>
          <cell r="P115" t="str">
            <v>M1</v>
          </cell>
          <cell r="R115" t="str">
            <v>CDD</v>
          </cell>
        </row>
        <row r="116">
          <cell r="B116" t="str">
            <v>T220</v>
          </cell>
          <cell r="C116" t="str">
            <v>RASOLONIAINA Honoré</v>
          </cell>
          <cell r="D116">
            <v>133100</v>
          </cell>
          <cell r="E116" t="str">
            <v>M</v>
          </cell>
          <cell r="F116" t="str">
            <v>670913003805</v>
          </cell>
          <cell r="G116">
            <v>24728</v>
          </cell>
          <cell r="H116" t="str">
            <v>Tsiroanomandidy</v>
          </cell>
          <cell r="I116">
            <v>111441006163</v>
          </cell>
          <cell r="J116">
            <v>31226</v>
          </cell>
          <cell r="K116" t="str">
            <v>Tsiroanomandidy</v>
          </cell>
          <cell r="L116" t="str">
            <v>Lot 42D Tanjondava Talatamaty</v>
          </cell>
          <cell r="M116">
            <v>42143</v>
          </cell>
          <cell r="N116">
            <v>42143</v>
          </cell>
          <cell r="O116" t="str">
            <v>Agent de sécurité</v>
          </cell>
          <cell r="P116" t="str">
            <v>M1</v>
          </cell>
          <cell r="R116" t="str">
            <v>CDD</v>
          </cell>
        </row>
        <row r="117">
          <cell r="B117" t="str">
            <v>T222</v>
          </cell>
          <cell r="C117" t="str">
            <v>RABESON Tovo Harilaza</v>
          </cell>
          <cell r="D117">
            <v>446408</v>
          </cell>
          <cell r="E117" t="str">
            <v>M</v>
          </cell>
          <cell r="F117" t="str">
            <v>840924005341</v>
          </cell>
          <cell r="G117">
            <v>30949</v>
          </cell>
          <cell r="H117" t="str">
            <v>Morafeno</v>
          </cell>
          <cell r="I117">
            <v>203011017970</v>
          </cell>
          <cell r="J117">
            <v>38114</v>
          </cell>
          <cell r="K117" t="str">
            <v>Ambositra</v>
          </cell>
          <cell r="L117" t="str">
            <v>Lot 242-I Ambohinambo Talatamaty</v>
          </cell>
          <cell r="M117">
            <v>42156</v>
          </cell>
          <cell r="N117">
            <v>42156</v>
          </cell>
          <cell r="O117" t="str">
            <v>Chauffeur</v>
          </cell>
          <cell r="P117" t="str">
            <v>OS2</v>
          </cell>
          <cell r="R117" t="str">
            <v>CDI</v>
          </cell>
        </row>
        <row r="118">
          <cell r="B118" t="str">
            <v>T223</v>
          </cell>
          <cell r="C118" t="str">
            <v>RANDRIANARISON Nico Faniry</v>
          </cell>
          <cell r="D118">
            <v>133100</v>
          </cell>
          <cell r="E118" t="str">
            <v>M</v>
          </cell>
          <cell r="F118" t="str">
            <v>850622000572</v>
          </cell>
          <cell r="G118">
            <v>31220</v>
          </cell>
          <cell r="H118" t="str">
            <v>Manjakandriana</v>
          </cell>
          <cell r="I118">
            <v>106051001931</v>
          </cell>
          <cell r="J118">
            <v>42178</v>
          </cell>
          <cell r="K118" t="str">
            <v>Manjakandriana</v>
          </cell>
          <cell r="L118" t="str">
            <v>Lot 14OB Antenetibe Antehiroka</v>
          </cell>
          <cell r="M118">
            <v>42156</v>
          </cell>
          <cell r="N118">
            <v>42156</v>
          </cell>
          <cell r="O118" t="str">
            <v>Agent de sécurité</v>
          </cell>
          <cell r="P118" t="str">
            <v>M1</v>
          </cell>
          <cell r="R118" t="str">
            <v>CDD</v>
          </cell>
        </row>
        <row r="119">
          <cell r="B119" t="str">
            <v>T226</v>
          </cell>
          <cell r="C119" t="str">
            <v>RAMAROSON Lalaina Niandrisoa</v>
          </cell>
          <cell r="D119">
            <v>255306</v>
          </cell>
          <cell r="E119" t="str">
            <v>M</v>
          </cell>
          <cell r="F119" t="str">
            <v>102031009138</v>
          </cell>
          <cell r="G119">
            <v>29343</v>
          </cell>
          <cell r="H119" t="str">
            <v>Besarety</v>
          </cell>
          <cell r="I119">
            <v>102031009138</v>
          </cell>
          <cell r="J119">
            <v>36488</v>
          </cell>
          <cell r="K119" t="str">
            <v>Ankadikely</v>
          </cell>
          <cell r="L119" t="str">
            <v>Lot 266AN Ambohipanja</v>
          </cell>
          <cell r="M119">
            <v>42258</v>
          </cell>
          <cell r="N119">
            <v>42258</v>
          </cell>
          <cell r="O119" t="str">
            <v>Chauffeur</v>
          </cell>
          <cell r="P119" t="str">
            <v>OS2</v>
          </cell>
          <cell r="R119" t="str">
            <v>CDD</v>
          </cell>
        </row>
        <row r="120">
          <cell r="R120" t="str">
            <v>CDD</v>
          </cell>
        </row>
        <row r="121">
          <cell r="C121" t="str">
            <v>TEMPORAIRES</v>
          </cell>
        </row>
        <row r="126">
          <cell r="B126">
            <v>106</v>
          </cell>
        </row>
        <row r="127">
          <cell r="B127">
            <v>1</v>
          </cell>
          <cell r="C127">
            <v>2</v>
          </cell>
          <cell r="D127">
            <v>3</v>
          </cell>
          <cell r="E127">
            <v>4</v>
          </cell>
          <cell r="F127">
            <v>5</v>
          </cell>
          <cell r="G127">
            <v>6</v>
          </cell>
          <cell r="H127">
            <v>7</v>
          </cell>
          <cell r="I127">
            <v>8</v>
          </cell>
          <cell r="J127">
            <v>9</v>
          </cell>
          <cell r="K127">
            <v>10</v>
          </cell>
          <cell r="L127">
            <v>11</v>
          </cell>
          <cell r="M127">
            <v>12</v>
          </cell>
          <cell r="N127">
            <v>13</v>
          </cell>
          <cell r="O127">
            <v>14</v>
          </cell>
          <cell r="P127">
            <v>15</v>
          </cell>
          <cell r="Q127">
            <v>16</v>
          </cell>
          <cell r="R127">
            <v>17</v>
          </cell>
        </row>
        <row r="128">
          <cell r="B128" t="str">
            <v>C: Confirmé</v>
          </cell>
        </row>
        <row r="129">
          <cell r="B129" t="str">
            <v>E: En essai</v>
          </cell>
        </row>
      </sheetData>
      <sheetData sheetId="20"/>
      <sheetData sheetId="21">
        <row r="5">
          <cell r="A5" t="str">
            <v>T001</v>
          </cell>
          <cell r="B5" t="e">
            <v>#N/A</v>
          </cell>
          <cell r="C5" t="e">
            <v>#N/A</v>
          </cell>
          <cell r="D5">
            <v>6200000</v>
          </cell>
          <cell r="E5" t="e">
            <v>#N/A</v>
          </cell>
          <cell r="G5" t="e">
            <v>#N/A</v>
          </cell>
          <cell r="I5" t="e">
            <v>#N/A</v>
          </cell>
          <cell r="K5">
            <v>0</v>
          </cell>
          <cell r="M5">
            <v>1500000</v>
          </cell>
          <cell r="N5" t="e">
            <v>#N/A</v>
          </cell>
          <cell r="O5">
            <v>790666.66666666674</v>
          </cell>
          <cell r="P5" t="e">
            <v>#N/A</v>
          </cell>
          <cell r="Q5">
            <v>2290666.666666667</v>
          </cell>
          <cell r="R5" t="e">
            <v>#N/A</v>
          </cell>
          <cell r="S5">
            <v>8490666.6666666679</v>
          </cell>
          <cell r="T5" t="e">
            <v>#N/A</v>
          </cell>
        </row>
        <row r="6">
          <cell r="A6" t="str">
            <v>T002</v>
          </cell>
          <cell r="B6" t="str">
            <v>RATSIMANDRESY Dominique Aimé</v>
          </cell>
          <cell r="C6">
            <v>380000</v>
          </cell>
          <cell r="E6">
            <v>0</v>
          </cell>
          <cell r="G6">
            <v>0</v>
          </cell>
          <cell r="I6">
            <v>0</v>
          </cell>
          <cell r="J6" t="str">
            <v>C</v>
          </cell>
          <cell r="K6">
            <v>0</v>
          </cell>
          <cell r="L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A7" t="str">
            <v>T006</v>
          </cell>
          <cell r="B7" t="str">
            <v>TSIRINONY Dieu Donné</v>
          </cell>
          <cell r="C7">
            <v>400000</v>
          </cell>
          <cell r="E7">
            <v>0</v>
          </cell>
          <cell r="G7">
            <v>0</v>
          </cell>
          <cell r="I7">
            <v>0</v>
          </cell>
          <cell r="J7" t="str">
            <v>C</v>
          </cell>
          <cell r="K7">
            <v>0</v>
          </cell>
          <cell r="L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T007</v>
          </cell>
          <cell r="B8" t="str">
            <v>EUGENE</v>
          </cell>
          <cell r="C8">
            <v>472000</v>
          </cell>
          <cell r="E8">
            <v>0</v>
          </cell>
          <cell r="G8">
            <v>0</v>
          </cell>
          <cell r="I8">
            <v>0</v>
          </cell>
          <cell r="J8" t="str">
            <v>C</v>
          </cell>
          <cell r="K8">
            <v>0</v>
          </cell>
          <cell r="L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A9" t="str">
            <v>T008</v>
          </cell>
          <cell r="B9" t="str">
            <v>RAMANANA Louis de Gonzague</v>
          </cell>
          <cell r="C9">
            <v>693857</v>
          </cell>
          <cell r="E9">
            <v>0</v>
          </cell>
          <cell r="G9">
            <v>0</v>
          </cell>
          <cell r="I9">
            <v>0</v>
          </cell>
          <cell r="J9" t="str">
            <v>cadre</v>
          </cell>
          <cell r="L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A10" t="str">
            <v>T009</v>
          </cell>
          <cell r="B10" t="str">
            <v>RAKOTOARISOA Jean Michel</v>
          </cell>
          <cell r="C10">
            <v>275000</v>
          </cell>
          <cell r="E10">
            <v>0</v>
          </cell>
          <cell r="G10">
            <v>0</v>
          </cell>
          <cell r="I10">
            <v>0</v>
          </cell>
          <cell r="J10" t="str">
            <v>C</v>
          </cell>
          <cell r="K10">
            <v>0</v>
          </cell>
          <cell r="L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A11" t="str">
            <v>T011</v>
          </cell>
          <cell r="B11" t="str">
            <v>RAZAFINDRAZANANY Romaine</v>
          </cell>
          <cell r="C11">
            <v>170000</v>
          </cell>
          <cell r="E11">
            <v>0</v>
          </cell>
          <cell r="G11">
            <v>0</v>
          </cell>
          <cell r="I11">
            <v>0</v>
          </cell>
          <cell r="J11" t="str">
            <v>C</v>
          </cell>
          <cell r="K11">
            <v>0</v>
          </cell>
          <cell r="L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A12" t="str">
            <v>T014</v>
          </cell>
          <cell r="B12" t="str">
            <v>NOAVISON Tsimahaboa</v>
          </cell>
          <cell r="C12">
            <v>300000</v>
          </cell>
          <cell r="E12">
            <v>0</v>
          </cell>
          <cell r="G12">
            <v>0</v>
          </cell>
          <cell r="I12">
            <v>0</v>
          </cell>
          <cell r="J12" t="str">
            <v>C</v>
          </cell>
          <cell r="K12">
            <v>0</v>
          </cell>
          <cell r="L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T016</v>
          </cell>
          <cell r="B13" t="str">
            <v>RAZAFINDRASATA José Gabriel</v>
          </cell>
          <cell r="C13">
            <v>300000</v>
          </cell>
          <cell r="E13">
            <v>0</v>
          </cell>
          <cell r="G13">
            <v>0</v>
          </cell>
          <cell r="I13">
            <v>0</v>
          </cell>
          <cell r="J13" t="str">
            <v>C</v>
          </cell>
          <cell r="K13">
            <v>0</v>
          </cell>
          <cell r="L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T018</v>
          </cell>
          <cell r="B14" t="str">
            <v>RABASOAMALALA Fidelia</v>
          </cell>
          <cell r="C14">
            <v>170000</v>
          </cell>
          <cell r="E14">
            <v>0</v>
          </cell>
          <cell r="G14">
            <v>0</v>
          </cell>
          <cell r="I14">
            <v>0</v>
          </cell>
          <cell r="J14" t="str">
            <v>C</v>
          </cell>
          <cell r="K14">
            <v>0</v>
          </cell>
          <cell r="L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A15" t="str">
            <v>T019</v>
          </cell>
          <cell r="B15" t="str">
            <v>FOMBEA Joeline</v>
          </cell>
          <cell r="C15">
            <v>170000</v>
          </cell>
          <cell r="E15">
            <v>0</v>
          </cell>
          <cell r="G15">
            <v>0</v>
          </cell>
          <cell r="I15">
            <v>0</v>
          </cell>
          <cell r="J15" t="str">
            <v>C</v>
          </cell>
          <cell r="K15">
            <v>0</v>
          </cell>
          <cell r="L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A16" t="str">
            <v>T022</v>
          </cell>
          <cell r="B16" t="str">
            <v>RAZAFIMAHEFASOLO Jean Eddy</v>
          </cell>
          <cell r="C16">
            <v>380000</v>
          </cell>
          <cell r="E16">
            <v>0</v>
          </cell>
          <cell r="G16">
            <v>0</v>
          </cell>
          <cell r="I16">
            <v>0</v>
          </cell>
          <cell r="J16" t="str">
            <v>C</v>
          </cell>
          <cell r="K16">
            <v>0</v>
          </cell>
          <cell r="L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A17" t="str">
            <v>T025</v>
          </cell>
          <cell r="B17" t="str">
            <v>RAKOTOZAFY Pierre</v>
          </cell>
          <cell r="C17">
            <v>220000</v>
          </cell>
          <cell r="E17">
            <v>0</v>
          </cell>
          <cell r="G17">
            <v>0</v>
          </cell>
          <cell r="I17">
            <v>0</v>
          </cell>
          <cell r="J17" t="str">
            <v>C</v>
          </cell>
          <cell r="K17">
            <v>0</v>
          </cell>
          <cell r="L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T028</v>
          </cell>
          <cell r="B18" t="str">
            <v>RAZAFINIAINA Tolotra Franca</v>
          </cell>
          <cell r="C18">
            <v>220000</v>
          </cell>
          <cell r="E18">
            <v>0</v>
          </cell>
          <cell r="G18">
            <v>0</v>
          </cell>
          <cell r="I18">
            <v>0</v>
          </cell>
          <cell r="J18" t="str">
            <v>C</v>
          </cell>
          <cell r="K18">
            <v>0</v>
          </cell>
          <cell r="L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T032</v>
          </cell>
          <cell r="B19" t="str">
            <v>DEHAAS Pierre Herman Joseph</v>
          </cell>
          <cell r="C19">
            <v>3200000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L19">
            <v>0</v>
          </cell>
          <cell r="M19">
            <v>1000000</v>
          </cell>
          <cell r="N19">
            <v>640000</v>
          </cell>
          <cell r="O19">
            <v>584850</v>
          </cell>
          <cell r="P19">
            <v>584850</v>
          </cell>
          <cell r="Q19">
            <v>1584850</v>
          </cell>
          <cell r="R19">
            <v>640000</v>
          </cell>
          <cell r="S19">
            <v>1584850</v>
          </cell>
          <cell r="T19">
            <v>640000</v>
          </cell>
        </row>
        <row r="20">
          <cell r="A20" t="str">
            <v>T036</v>
          </cell>
          <cell r="B20" t="str">
            <v>RAKOTONIRINA Fanomezantsoa</v>
          </cell>
          <cell r="C20">
            <v>220000</v>
          </cell>
          <cell r="E20">
            <v>0</v>
          </cell>
          <cell r="G20">
            <v>0</v>
          </cell>
          <cell r="I20">
            <v>0</v>
          </cell>
          <cell r="J20" t="str">
            <v>C</v>
          </cell>
          <cell r="K20">
            <v>0</v>
          </cell>
          <cell r="L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T050</v>
          </cell>
          <cell r="B21" t="str">
            <v>RAMANALINIRIANA Jean Victor</v>
          </cell>
          <cell r="C21">
            <v>380000</v>
          </cell>
          <cell r="E21">
            <v>0</v>
          </cell>
          <cell r="G21">
            <v>0</v>
          </cell>
          <cell r="I21">
            <v>0</v>
          </cell>
          <cell r="J21" t="str">
            <v>C</v>
          </cell>
          <cell r="K21">
            <v>0</v>
          </cell>
          <cell r="L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A22" t="str">
            <v>T053</v>
          </cell>
          <cell r="B22" t="str">
            <v>RAMANATSOA Eddy Christ</v>
          </cell>
          <cell r="C22">
            <v>150000</v>
          </cell>
          <cell r="E22">
            <v>0</v>
          </cell>
          <cell r="G22">
            <v>0</v>
          </cell>
          <cell r="I22">
            <v>0</v>
          </cell>
          <cell r="J22" t="str">
            <v>C</v>
          </cell>
          <cell r="K22">
            <v>0</v>
          </cell>
          <cell r="L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A23" t="str">
            <v>T057</v>
          </cell>
          <cell r="B23" t="str">
            <v>RAKOTOMALALA Jean Jacques</v>
          </cell>
          <cell r="C23">
            <v>220000</v>
          </cell>
          <cell r="E23">
            <v>0</v>
          </cell>
          <cell r="G23">
            <v>0</v>
          </cell>
          <cell r="I23">
            <v>0</v>
          </cell>
          <cell r="J23" t="str">
            <v>C</v>
          </cell>
          <cell r="K23">
            <v>0</v>
          </cell>
          <cell r="L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T062</v>
          </cell>
          <cell r="B24" t="str">
            <v>RANDRIANARISON Philippe Joseph</v>
          </cell>
          <cell r="C24">
            <v>150000</v>
          </cell>
          <cell r="E24">
            <v>0</v>
          </cell>
          <cell r="G24">
            <v>0</v>
          </cell>
          <cell r="I24">
            <v>0</v>
          </cell>
          <cell r="J24" t="str">
            <v>C</v>
          </cell>
          <cell r="K24">
            <v>0</v>
          </cell>
          <cell r="L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A25" t="str">
            <v>T071</v>
          </cell>
          <cell r="B25" t="str">
            <v>RANDRIAMIANDRISOA Rémi</v>
          </cell>
          <cell r="C25">
            <v>220000</v>
          </cell>
          <cell r="E25">
            <v>0</v>
          </cell>
          <cell r="G25">
            <v>0</v>
          </cell>
          <cell r="I25">
            <v>0</v>
          </cell>
          <cell r="J25" t="str">
            <v>C</v>
          </cell>
          <cell r="K25">
            <v>0</v>
          </cell>
          <cell r="L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T093</v>
          </cell>
          <cell r="B26" t="str">
            <v xml:space="preserve">RAFIDIMANANTSOA Jean Bruno </v>
          </cell>
          <cell r="C26">
            <v>220000</v>
          </cell>
          <cell r="E26">
            <v>0</v>
          </cell>
          <cell r="G26">
            <v>0</v>
          </cell>
          <cell r="I26">
            <v>0</v>
          </cell>
          <cell r="J26" t="str">
            <v>C</v>
          </cell>
          <cell r="K26">
            <v>0</v>
          </cell>
          <cell r="L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A27" t="str">
            <v>T099</v>
          </cell>
          <cell r="B27" t="str">
            <v xml:space="preserve">RAVELONARIVO Henri Bernard </v>
          </cell>
          <cell r="C27">
            <v>165000</v>
          </cell>
          <cell r="E27">
            <v>0</v>
          </cell>
          <cell r="G27">
            <v>0</v>
          </cell>
          <cell r="I27">
            <v>0</v>
          </cell>
          <cell r="J27" t="str">
            <v>C</v>
          </cell>
          <cell r="K27">
            <v>0</v>
          </cell>
          <cell r="L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T101</v>
          </cell>
          <cell r="B28" t="str">
            <v>RANDRIANARIMALALA Jean Jacques</v>
          </cell>
          <cell r="C28">
            <v>150000</v>
          </cell>
          <cell r="E28">
            <v>0</v>
          </cell>
          <cell r="G28">
            <v>0</v>
          </cell>
          <cell r="I28">
            <v>0</v>
          </cell>
          <cell r="J28" t="str">
            <v>C</v>
          </cell>
          <cell r="K28">
            <v>0</v>
          </cell>
          <cell r="L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T102</v>
          </cell>
          <cell r="B29" t="str">
            <v>RABEARINORO John Eddy</v>
          </cell>
          <cell r="C29">
            <v>380000</v>
          </cell>
          <cell r="E29">
            <v>0</v>
          </cell>
          <cell r="G29">
            <v>0</v>
          </cell>
          <cell r="I29">
            <v>0</v>
          </cell>
          <cell r="J29" t="str">
            <v>C</v>
          </cell>
          <cell r="K29">
            <v>0</v>
          </cell>
          <cell r="L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A30" t="str">
            <v>T113</v>
          </cell>
          <cell r="B30" t="str">
            <v>ANDRIAMANDIMBINIAINA Veuvé Bayard</v>
          </cell>
          <cell r="C30">
            <v>1208762</v>
          </cell>
          <cell r="E30">
            <v>0</v>
          </cell>
          <cell r="G30">
            <v>0</v>
          </cell>
          <cell r="I30">
            <v>0</v>
          </cell>
          <cell r="J30" t="str">
            <v>Cadre</v>
          </cell>
          <cell r="L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T114</v>
          </cell>
          <cell r="B31" t="str">
            <v>TINASOA NOMENJANAHARY Tantely</v>
          </cell>
          <cell r="C31">
            <v>170000</v>
          </cell>
          <cell r="E31">
            <v>0</v>
          </cell>
          <cell r="G31">
            <v>0</v>
          </cell>
          <cell r="I31">
            <v>0</v>
          </cell>
          <cell r="J31" t="str">
            <v>C</v>
          </cell>
          <cell r="K31">
            <v>0</v>
          </cell>
          <cell r="L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A32" t="str">
            <v>T132</v>
          </cell>
          <cell r="B32" t="str">
            <v>RATOVOSON Holihasina Mamisoa</v>
          </cell>
          <cell r="C32">
            <v>1208762</v>
          </cell>
          <cell r="E32">
            <v>0</v>
          </cell>
          <cell r="G32">
            <v>0</v>
          </cell>
          <cell r="I32">
            <v>0</v>
          </cell>
          <cell r="J32" t="str">
            <v>Cadre</v>
          </cell>
          <cell r="L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A33" t="str">
            <v>T133</v>
          </cell>
          <cell r="B33" t="str">
            <v>RANAIVOSON RAMANANDRAISOA Voahangy</v>
          </cell>
          <cell r="C33">
            <v>1208762</v>
          </cell>
          <cell r="E33">
            <v>0</v>
          </cell>
          <cell r="G33">
            <v>0</v>
          </cell>
          <cell r="I33">
            <v>0</v>
          </cell>
          <cell r="J33" t="str">
            <v>Cadre</v>
          </cell>
          <cell r="L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A34" t="str">
            <v>T134</v>
          </cell>
          <cell r="B34" t="str">
            <v>ANDRIAMANANTENA Tovonony Barison</v>
          </cell>
          <cell r="C34">
            <v>1458762</v>
          </cell>
          <cell r="E34">
            <v>0</v>
          </cell>
          <cell r="G34">
            <v>0</v>
          </cell>
          <cell r="I34">
            <v>0</v>
          </cell>
          <cell r="J34" t="str">
            <v>Cadre</v>
          </cell>
          <cell r="L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A35" t="str">
            <v>T135</v>
          </cell>
          <cell r="B35" t="e">
            <v>#N/A</v>
          </cell>
          <cell r="C35" t="e">
            <v>#N/A</v>
          </cell>
          <cell r="E35" t="e">
            <v>#N/A</v>
          </cell>
          <cell r="G35" t="e">
            <v>#N/A</v>
          </cell>
          <cell r="I35" t="e">
            <v>#N/A</v>
          </cell>
          <cell r="L35">
            <v>0</v>
          </cell>
          <cell r="N35" t="e">
            <v>#N/A</v>
          </cell>
          <cell r="P35" t="e">
            <v>#N/A</v>
          </cell>
          <cell r="Q35">
            <v>0</v>
          </cell>
          <cell r="R35" t="e">
            <v>#N/A</v>
          </cell>
          <cell r="S35">
            <v>0</v>
          </cell>
          <cell r="T35" t="e">
            <v>#N/A</v>
          </cell>
        </row>
        <row r="36">
          <cell r="A36" t="str">
            <v>T144</v>
          </cell>
          <cell r="B36" t="str">
            <v>RANDRIAMANANA Sylvin</v>
          </cell>
          <cell r="C36">
            <v>150000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L36">
            <v>0</v>
          </cell>
          <cell r="N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T145</v>
          </cell>
          <cell r="B37" t="e">
            <v>#N/A</v>
          </cell>
          <cell r="C37" t="e">
            <v>#N/A</v>
          </cell>
          <cell r="E37" t="e">
            <v>#N/A</v>
          </cell>
          <cell r="G37" t="e">
            <v>#N/A</v>
          </cell>
          <cell r="I37" t="e">
            <v>#N/A</v>
          </cell>
          <cell r="J37" t="str">
            <v>Cadre</v>
          </cell>
          <cell r="L37">
            <v>0</v>
          </cell>
          <cell r="N37" t="e">
            <v>#N/A</v>
          </cell>
          <cell r="P37" t="e">
            <v>#N/A</v>
          </cell>
          <cell r="Q37">
            <v>0</v>
          </cell>
          <cell r="R37" t="e">
            <v>#N/A</v>
          </cell>
          <cell r="S37">
            <v>0</v>
          </cell>
          <cell r="T37" t="e">
            <v>#N/A</v>
          </cell>
        </row>
        <row r="38">
          <cell r="A38" t="str">
            <v>T146</v>
          </cell>
          <cell r="B38" t="str">
            <v>RANDRIAMIADANA Rijaniaina</v>
          </cell>
          <cell r="C38">
            <v>956612</v>
          </cell>
          <cell r="E38">
            <v>0</v>
          </cell>
          <cell r="G38">
            <v>0</v>
          </cell>
          <cell r="I38">
            <v>0</v>
          </cell>
          <cell r="J38" t="str">
            <v>Cadre</v>
          </cell>
          <cell r="L38">
            <v>0</v>
          </cell>
          <cell r="N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T148</v>
          </cell>
          <cell r="B39" t="str">
            <v>RAKOTONDRATSARA Solofoniana Hyacinthe Jean Ferdinand</v>
          </cell>
          <cell r="C39">
            <v>380000</v>
          </cell>
          <cell r="E39">
            <v>0</v>
          </cell>
          <cell r="G39">
            <v>0</v>
          </cell>
          <cell r="I39">
            <v>0</v>
          </cell>
          <cell r="J39" t="str">
            <v>C</v>
          </cell>
          <cell r="K39">
            <v>0</v>
          </cell>
          <cell r="L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T153</v>
          </cell>
          <cell r="B40" t="str">
            <v>RAMILAVONJY Ramiandrasoa Flavien</v>
          </cell>
          <cell r="C40">
            <v>380000</v>
          </cell>
          <cell r="E40">
            <v>0</v>
          </cell>
          <cell r="G40">
            <v>0</v>
          </cell>
          <cell r="I40">
            <v>0</v>
          </cell>
          <cell r="J40" t="str">
            <v>C</v>
          </cell>
          <cell r="K40">
            <v>0</v>
          </cell>
          <cell r="L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T154</v>
          </cell>
          <cell r="B41" t="str">
            <v>RAMAROSON Jean Christ</v>
          </cell>
          <cell r="C41">
            <v>220000</v>
          </cell>
          <cell r="E41">
            <v>0</v>
          </cell>
          <cell r="G41">
            <v>0</v>
          </cell>
          <cell r="I41">
            <v>0</v>
          </cell>
          <cell r="J41" t="str">
            <v>C</v>
          </cell>
          <cell r="K41">
            <v>0</v>
          </cell>
          <cell r="L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T155</v>
          </cell>
          <cell r="B42" t="str">
            <v>RABARIJAONA Barthélemy Jacques</v>
          </cell>
          <cell r="C42">
            <v>555081</v>
          </cell>
          <cell r="E42">
            <v>0</v>
          </cell>
          <cell r="G42">
            <v>0</v>
          </cell>
          <cell r="I42">
            <v>0</v>
          </cell>
          <cell r="J42" t="str">
            <v>C</v>
          </cell>
          <cell r="K42">
            <v>0</v>
          </cell>
          <cell r="L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A43" t="str">
            <v>T156</v>
          </cell>
          <cell r="B43" t="str">
            <v>RAFARAMALALA Laurence</v>
          </cell>
          <cell r="C43">
            <v>275000</v>
          </cell>
          <cell r="E43">
            <v>0</v>
          </cell>
          <cell r="G43">
            <v>0</v>
          </cell>
          <cell r="I43">
            <v>0</v>
          </cell>
          <cell r="J43" t="str">
            <v>V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T157</v>
          </cell>
          <cell r="B44" t="str">
            <v>RAMIANDRAVOLA Rondroelinjaka</v>
          </cell>
          <cell r="C44">
            <v>220000</v>
          </cell>
          <cell r="E44">
            <v>0</v>
          </cell>
          <cell r="G44">
            <v>0</v>
          </cell>
          <cell r="I44">
            <v>0</v>
          </cell>
          <cell r="J44" t="str">
            <v>V</v>
          </cell>
          <cell r="K44">
            <v>0</v>
          </cell>
          <cell r="L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T158</v>
          </cell>
          <cell r="B45" t="str">
            <v>RAKOTONATOANDRO Edmond</v>
          </cell>
          <cell r="C45">
            <v>165000</v>
          </cell>
          <cell r="E45">
            <v>0</v>
          </cell>
          <cell r="G45">
            <v>0</v>
          </cell>
          <cell r="I45">
            <v>0</v>
          </cell>
          <cell r="J45" t="str">
            <v>V</v>
          </cell>
          <cell r="K45">
            <v>0</v>
          </cell>
          <cell r="L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T159</v>
          </cell>
          <cell r="B46" t="str">
            <v>RANGITARINORO José</v>
          </cell>
          <cell r="C46">
            <v>220000</v>
          </cell>
          <cell r="E46">
            <v>0</v>
          </cell>
          <cell r="G46">
            <v>0</v>
          </cell>
          <cell r="I46">
            <v>0</v>
          </cell>
          <cell r="J46" t="str">
            <v>V</v>
          </cell>
          <cell r="K46">
            <v>0</v>
          </cell>
          <cell r="L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T160</v>
          </cell>
          <cell r="B47" t="str">
            <v>MAMITIANA Pascal</v>
          </cell>
          <cell r="C47">
            <v>150000</v>
          </cell>
          <cell r="E47">
            <v>0</v>
          </cell>
          <cell r="G47">
            <v>0</v>
          </cell>
          <cell r="I47">
            <v>0</v>
          </cell>
          <cell r="J47" t="str">
            <v>C</v>
          </cell>
          <cell r="K47">
            <v>0</v>
          </cell>
          <cell r="L47">
            <v>0</v>
          </cell>
          <cell r="N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T161</v>
          </cell>
          <cell r="B48" t="str">
            <v>RANDRIAMIRADOMANANA René</v>
          </cell>
          <cell r="C48">
            <v>165000</v>
          </cell>
          <cell r="E48">
            <v>0</v>
          </cell>
          <cell r="G48">
            <v>0</v>
          </cell>
          <cell r="I48">
            <v>0</v>
          </cell>
          <cell r="J48" t="str">
            <v>C</v>
          </cell>
          <cell r="K48">
            <v>0</v>
          </cell>
          <cell r="L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T162</v>
          </cell>
          <cell r="B49" t="str">
            <v>RATOVOSON Vololomiadana Voniarisoa</v>
          </cell>
          <cell r="C49">
            <v>1833762</v>
          </cell>
          <cell r="E49">
            <v>0</v>
          </cell>
          <cell r="G49">
            <v>0</v>
          </cell>
          <cell r="I49">
            <v>0</v>
          </cell>
          <cell r="J49" t="str">
            <v>Cadre</v>
          </cell>
          <cell r="L49">
            <v>0</v>
          </cell>
          <cell r="N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T163</v>
          </cell>
          <cell r="B50" t="str">
            <v>RAZAFINIRINA Patrick</v>
          </cell>
          <cell r="C50">
            <v>701510</v>
          </cell>
          <cell r="E50">
            <v>0</v>
          </cell>
          <cell r="G50">
            <v>0</v>
          </cell>
          <cell r="I50">
            <v>0</v>
          </cell>
          <cell r="J50" t="str">
            <v>Cadre</v>
          </cell>
          <cell r="L50">
            <v>0</v>
          </cell>
          <cell r="N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T168</v>
          </cell>
          <cell r="B51" t="str">
            <v>HUON DE KERMADEC Vincent</v>
          </cell>
          <cell r="C51">
            <v>1787501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4956982.4800000004</v>
          </cell>
          <cell r="N51">
            <v>357500.2</v>
          </cell>
          <cell r="O51">
            <v>590666.66666666674</v>
          </cell>
          <cell r="P51">
            <v>357500.2</v>
          </cell>
          <cell r="Q51">
            <v>5547649.1466666674</v>
          </cell>
          <cell r="R51">
            <v>357500.2</v>
          </cell>
          <cell r="S51">
            <v>5547649.1466666674</v>
          </cell>
          <cell r="T51">
            <v>357500.2</v>
          </cell>
        </row>
        <row r="67">
          <cell r="B67" t="str">
            <v>TOTAL</v>
          </cell>
          <cell r="C67" t="e">
            <v>#N/A</v>
          </cell>
          <cell r="D67">
            <v>6200000</v>
          </cell>
          <cell r="E67" t="e">
            <v>#N/A</v>
          </cell>
          <cell r="F67">
            <v>0</v>
          </cell>
          <cell r="G67" t="e">
            <v>#N/A</v>
          </cell>
          <cell r="H67">
            <v>0</v>
          </cell>
          <cell r="I67" t="e">
            <v>#N/A</v>
          </cell>
          <cell r="J67">
            <v>29</v>
          </cell>
          <cell r="K67">
            <v>0</v>
          </cell>
          <cell r="L67">
            <v>0</v>
          </cell>
          <cell r="M67">
            <v>2500000</v>
          </cell>
          <cell r="N67" t="e">
            <v>#N/A</v>
          </cell>
          <cell r="O67">
            <v>1375516.6666666667</v>
          </cell>
          <cell r="P67" t="e">
            <v>#N/A</v>
          </cell>
          <cell r="Q67">
            <v>3875516.666666667</v>
          </cell>
          <cell r="R67" t="e">
            <v>#N/A</v>
          </cell>
          <cell r="S67">
            <v>10075516.666666668</v>
          </cell>
          <cell r="T67" t="e">
            <v>#N/A</v>
          </cell>
        </row>
        <row r="68">
          <cell r="J68">
            <v>9</v>
          </cell>
          <cell r="K68">
            <v>468000</v>
          </cell>
        </row>
        <row r="69">
          <cell r="J69">
            <v>4</v>
          </cell>
          <cell r="K69">
            <v>0</v>
          </cell>
        </row>
      </sheetData>
      <sheetData sheetId="22"/>
      <sheetData sheetId="23"/>
      <sheetData sheetId="24">
        <row r="2">
          <cell r="A2" t="str">
            <v>T181</v>
          </cell>
          <cell r="B2" t="e">
            <v>#N/A</v>
          </cell>
          <cell r="C2" t="e">
            <v>#N/A</v>
          </cell>
          <cell r="D2">
            <v>-8</v>
          </cell>
          <cell r="E2" t="e">
            <v>#N/A</v>
          </cell>
        </row>
        <row r="3">
          <cell r="A3" t="str">
            <v>T171</v>
          </cell>
          <cell r="B3" t="e">
            <v>#N/A</v>
          </cell>
          <cell r="C3" t="e">
            <v>#N/A</v>
          </cell>
          <cell r="D3">
            <v>-30</v>
          </cell>
          <cell r="E3" t="e">
            <v>#N/A</v>
          </cell>
        </row>
        <row r="4">
          <cell r="A4" t="str">
            <v>T172</v>
          </cell>
          <cell r="B4" t="e">
            <v>#N/A</v>
          </cell>
          <cell r="C4" t="e">
            <v>#N/A</v>
          </cell>
          <cell r="D4">
            <v>-30</v>
          </cell>
          <cell r="E4" t="e">
            <v>#N/A</v>
          </cell>
        </row>
        <row r="5">
          <cell r="A5" t="str">
            <v>T063</v>
          </cell>
          <cell r="B5" t="e">
            <v>#N/A</v>
          </cell>
          <cell r="C5" t="e">
            <v>#N/A</v>
          </cell>
        </row>
        <row r="17">
          <cell r="A17">
            <v>4</v>
          </cell>
          <cell r="B17" t="str">
            <v>TOTAL</v>
          </cell>
          <cell r="E17" t="e">
            <v>#N/A</v>
          </cell>
        </row>
        <row r="18">
          <cell r="A18">
            <v>1</v>
          </cell>
          <cell r="B18">
            <v>2</v>
          </cell>
        </row>
      </sheetData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irement BOA"/>
      <sheetName val="Récap"/>
      <sheetName val="Virt multiple BFV"/>
      <sheetName val="Ecart Virt"/>
      <sheetName val="SALAIRE PERM (2)"/>
      <sheetName val="AVANCE"/>
      <sheetName val="REPAS+DEPL"/>
      <sheetName val="ABSENCE"/>
      <sheetName val="HS"/>
      <sheetName val="CONGE"/>
      <sheetName val="NOVEMBRE 2015"/>
      <sheetName val="BUL PERM"/>
      <sheetName val="SALAIRE PERM HS+13ème"/>
      <sheetName val="SALAIRE PERM SANS HS"/>
      <sheetName val="DEC SANS HS"/>
      <sheetName val="DEC HS+13ème"/>
      <sheetName val="DECOMPTE HS"/>
      <sheetName val="DECOMPTE HS (2)"/>
      <sheetName val="BP SANS HS"/>
      <sheetName val="Liste personnel"/>
      <sheetName val="TEMPORAIRE"/>
      <sheetName val="AVANTAGE"/>
      <sheetName val="Comptabilisation"/>
      <sheetName val="Comptabilisation SANS HS"/>
      <sheetName val="Préavis"/>
      <sheetName val="Prime"/>
      <sheetName val="Feuil1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T002</v>
          </cell>
          <cell r="B6" t="str">
            <v>RATSIMANDRESY Dominique Aimé</v>
          </cell>
          <cell r="C6">
            <v>0</v>
          </cell>
        </row>
        <row r="7">
          <cell r="A7" t="str">
            <v>T006</v>
          </cell>
          <cell r="B7" t="str">
            <v>TSIRINONY Dieu Donné</v>
          </cell>
          <cell r="C7">
            <v>0</v>
          </cell>
        </row>
        <row r="8">
          <cell r="A8" t="str">
            <v>T007</v>
          </cell>
          <cell r="B8" t="str">
            <v>EUGENE</v>
          </cell>
          <cell r="C8">
            <v>0</v>
          </cell>
        </row>
        <row r="9">
          <cell r="A9" t="str">
            <v>T008</v>
          </cell>
          <cell r="B9" t="str">
            <v>RAMANANA Louis de Gonzague</v>
          </cell>
          <cell r="C9">
            <v>0</v>
          </cell>
        </row>
        <row r="10">
          <cell r="A10" t="str">
            <v>T009</v>
          </cell>
          <cell r="B10" t="str">
            <v>RAKOTOARISOA Jean Michel</v>
          </cell>
          <cell r="C10">
            <v>0</v>
          </cell>
        </row>
        <row r="11">
          <cell r="A11" t="str">
            <v>T011</v>
          </cell>
          <cell r="B11" t="str">
            <v>RAZAFINDRAZANANY Romaine</v>
          </cell>
          <cell r="C11">
            <v>0</v>
          </cell>
        </row>
        <row r="12">
          <cell r="A12" t="str">
            <v>T014</v>
          </cell>
          <cell r="B12" t="str">
            <v>NOAVISON Tsimahaboa</v>
          </cell>
          <cell r="C12">
            <v>0</v>
          </cell>
        </row>
        <row r="13">
          <cell r="A13" t="str">
            <v>T016</v>
          </cell>
          <cell r="B13" t="str">
            <v>RAZAFINDRASATA José Gabriel</v>
          </cell>
          <cell r="C13">
            <v>0</v>
          </cell>
        </row>
        <row r="14">
          <cell r="A14" t="str">
            <v>T018</v>
          </cell>
          <cell r="B14" t="str">
            <v>RABASOAMALALA Fidelia</v>
          </cell>
          <cell r="C14">
            <v>0</v>
          </cell>
        </row>
        <row r="15">
          <cell r="A15" t="str">
            <v>T019</v>
          </cell>
          <cell r="B15" t="str">
            <v>FOMBEA Joeline</v>
          </cell>
          <cell r="C15">
            <v>0</v>
          </cell>
        </row>
        <row r="16">
          <cell r="A16" t="str">
            <v>T022</v>
          </cell>
          <cell r="B16" t="str">
            <v>RAZAFIMAHEFASOLO Jean Eddy</v>
          </cell>
          <cell r="C16">
            <v>0</v>
          </cell>
        </row>
        <row r="17">
          <cell r="A17" t="str">
            <v>T025</v>
          </cell>
          <cell r="B17" t="str">
            <v>RAKOTOZAFY Pierre</v>
          </cell>
          <cell r="C17">
            <v>0</v>
          </cell>
        </row>
        <row r="18">
          <cell r="A18" t="str">
            <v>T028</v>
          </cell>
          <cell r="B18" t="str">
            <v>RAZAFINIAINA Tolotra Franca</v>
          </cell>
          <cell r="C18">
            <v>0</v>
          </cell>
        </row>
        <row r="19">
          <cell r="A19" t="str">
            <v>T032</v>
          </cell>
          <cell r="B19" t="str">
            <v>DEHAAS Pierre Herman Joseph</v>
          </cell>
          <cell r="C19">
            <v>0</v>
          </cell>
        </row>
        <row r="20">
          <cell r="A20" t="str">
            <v>T036</v>
          </cell>
          <cell r="B20" t="str">
            <v>RAKOTONIRINA Fanomezantsoa</v>
          </cell>
          <cell r="C20">
            <v>0</v>
          </cell>
        </row>
        <row r="21">
          <cell r="A21" t="str">
            <v>T050</v>
          </cell>
          <cell r="B21" t="str">
            <v>RAMANALINIRIANA Jean Victor</v>
          </cell>
          <cell r="C21">
            <v>0</v>
          </cell>
        </row>
        <row r="22">
          <cell r="A22" t="str">
            <v>T053</v>
          </cell>
          <cell r="B22" t="str">
            <v>RAMANATSOA Eddy Christ</v>
          </cell>
          <cell r="C22">
            <v>0</v>
          </cell>
        </row>
        <row r="23">
          <cell r="A23" t="str">
            <v>T057</v>
          </cell>
          <cell r="B23" t="str">
            <v>RAKOTOMALALA Jean Jacques</v>
          </cell>
          <cell r="C23">
            <v>0</v>
          </cell>
        </row>
        <row r="24">
          <cell r="A24" t="str">
            <v>T062</v>
          </cell>
          <cell r="B24" t="str">
            <v>RANDRIANARISON Philippe Joseph</v>
          </cell>
          <cell r="C24">
            <v>0</v>
          </cell>
        </row>
        <row r="25">
          <cell r="A25" t="str">
            <v>T071</v>
          </cell>
          <cell r="B25" t="str">
            <v>RANDRIAMIANDRISOA Rémi</v>
          </cell>
          <cell r="C25">
            <v>0</v>
          </cell>
        </row>
        <row r="26">
          <cell r="A26" t="str">
            <v>T093</v>
          </cell>
          <cell r="B26" t="str">
            <v xml:space="preserve">RAFIDIMANANTSOA Jean Bruno </v>
          </cell>
          <cell r="C26">
            <v>0</v>
          </cell>
        </row>
        <row r="27">
          <cell r="A27" t="str">
            <v>T099</v>
          </cell>
          <cell r="B27" t="str">
            <v xml:space="preserve">RAVELONARIVO Henri Bernard </v>
          </cell>
          <cell r="C27">
            <v>0</v>
          </cell>
        </row>
        <row r="28">
          <cell r="A28" t="str">
            <v>T101</v>
          </cell>
          <cell r="B28" t="str">
            <v>RANDRIANARIMALALA Jean Jacques</v>
          </cell>
          <cell r="C28">
            <v>0</v>
          </cell>
        </row>
        <row r="29">
          <cell r="A29" t="str">
            <v>T102</v>
          </cell>
          <cell r="B29" t="str">
            <v>RABEARINORO John Eddy</v>
          </cell>
          <cell r="C29">
            <v>0</v>
          </cell>
        </row>
        <row r="30">
          <cell r="A30" t="str">
            <v>T113</v>
          </cell>
          <cell r="B30" t="str">
            <v>ANDRIAMANDIMBINIAINA Veuvé Bayard</v>
          </cell>
          <cell r="C30">
            <v>0</v>
          </cell>
        </row>
        <row r="31">
          <cell r="A31" t="str">
            <v>T114</v>
          </cell>
          <cell r="B31" t="str">
            <v>TINASOA NOMENJANAHARY Tantely</v>
          </cell>
          <cell r="C31">
            <v>0</v>
          </cell>
        </row>
        <row r="32">
          <cell r="A32" t="str">
            <v>T132</v>
          </cell>
          <cell r="B32" t="str">
            <v>RATOVOSON Holihasina Mamisoa</v>
          </cell>
          <cell r="C32">
            <v>0</v>
          </cell>
        </row>
        <row r="33">
          <cell r="A33" t="str">
            <v>T133</v>
          </cell>
          <cell r="B33" t="str">
            <v>RANAIVOSON RAMANANDRAISOA Voahangy</v>
          </cell>
          <cell r="C33">
            <v>0</v>
          </cell>
        </row>
        <row r="34">
          <cell r="A34" t="str">
            <v>T134</v>
          </cell>
          <cell r="B34" t="str">
            <v>ANDRIAMANANTENA Tovonony Barison</v>
          </cell>
          <cell r="C34">
            <v>0</v>
          </cell>
        </row>
        <row r="35">
          <cell r="A35" t="str">
            <v>T144</v>
          </cell>
          <cell r="B35" t="str">
            <v>RANDRIAMANANA Sylvin</v>
          </cell>
          <cell r="C35">
            <v>0</v>
          </cell>
        </row>
        <row r="36">
          <cell r="A36" t="str">
            <v>T146</v>
          </cell>
          <cell r="B36" t="str">
            <v>RANDRIAMIADANA Rijaniaina</v>
          </cell>
          <cell r="C36">
            <v>0</v>
          </cell>
        </row>
        <row r="37">
          <cell r="A37" t="str">
            <v>T148</v>
          </cell>
          <cell r="B37" t="str">
            <v>RAKOTONDRATSARA Solofoniana Hyacinthe Jean Ferdinand</v>
          </cell>
          <cell r="C37">
            <v>0</v>
          </cell>
        </row>
        <row r="38">
          <cell r="A38" t="str">
            <v>T153</v>
          </cell>
          <cell r="B38" t="str">
            <v>RAMILAVONJY Ramiandrasoa Flavien</v>
          </cell>
          <cell r="C38">
            <v>0</v>
          </cell>
        </row>
        <row r="39">
          <cell r="A39" t="str">
            <v>T154</v>
          </cell>
          <cell r="B39" t="str">
            <v>RAMAROSON Jean Christ</v>
          </cell>
          <cell r="C39">
            <v>0</v>
          </cell>
        </row>
        <row r="40">
          <cell r="A40" t="str">
            <v>T155</v>
          </cell>
          <cell r="B40" t="str">
            <v>RABARIJAONA Barthélemy Jacques</v>
          </cell>
          <cell r="C40">
            <v>0</v>
          </cell>
        </row>
        <row r="41">
          <cell r="A41" t="str">
            <v>T156</v>
          </cell>
          <cell r="B41" t="str">
            <v>RAFARAMALALA Laurence</v>
          </cell>
          <cell r="C41">
            <v>0</v>
          </cell>
        </row>
        <row r="42">
          <cell r="A42" t="str">
            <v>T157</v>
          </cell>
          <cell r="B42" t="str">
            <v>RAMIANDRAVOLA Rondroelinjaka</v>
          </cell>
          <cell r="C42">
            <v>0</v>
          </cell>
        </row>
        <row r="43">
          <cell r="A43" t="str">
            <v>T158</v>
          </cell>
          <cell r="B43" t="str">
            <v>RAKOTONATOANDRO Edmond</v>
          </cell>
          <cell r="C43">
            <v>0</v>
          </cell>
        </row>
        <row r="44">
          <cell r="A44" t="str">
            <v>T159</v>
          </cell>
          <cell r="B44" t="str">
            <v>RANGITARINORO José</v>
          </cell>
          <cell r="C44">
            <v>0</v>
          </cell>
        </row>
        <row r="45">
          <cell r="A45" t="str">
            <v>T160</v>
          </cell>
          <cell r="B45" t="str">
            <v>MAMITIANA Pascal</v>
          </cell>
          <cell r="C45">
            <v>0</v>
          </cell>
        </row>
        <row r="46">
          <cell r="A46" t="str">
            <v>T161</v>
          </cell>
          <cell r="B46" t="str">
            <v>RANDRIAMIRADOMANANA René</v>
          </cell>
          <cell r="C46">
            <v>0</v>
          </cell>
        </row>
        <row r="47">
          <cell r="A47" t="str">
            <v>T162</v>
          </cell>
          <cell r="B47" t="str">
            <v>RATOVOSON Vololomiadana Voniarisoa</v>
          </cell>
          <cell r="C47">
            <v>0</v>
          </cell>
        </row>
        <row r="48">
          <cell r="A48" t="str">
            <v>T163</v>
          </cell>
          <cell r="B48" t="str">
            <v>RAZAFINIRINA Patrick</v>
          </cell>
          <cell r="C48">
            <v>0</v>
          </cell>
        </row>
        <row r="49">
          <cell r="A49" t="str">
            <v>T173</v>
          </cell>
          <cell r="B49" t="str">
            <v>RAKOTONDRAMAVO Michaël</v>
          </cell>
          <cell r="C49">
            <v>0</v>
          </cell>
        </row>
        <row r="50">
          <cell r="A50" t="str">
            <v>T176</v>
          </cell>
          <cell r="B50" t="str">
            <v>RAKOTOARIMANANA Jean Joseph</v>
          </cell>
          <cell r="C50">
            <v>0</v>
          </cell>
        </row>
        <row r="51">
          <cell r="A51" t="str">
            <v>T177</v>
          </cell>
          <cell r="B51" t="str">
            <v>RAKOTOMANANA Maminirina Jean Michel</v>
          </cell>
          <cell r="C51">
            <v>0</v>
          </cell>
        </row>
        <row r="52">
          <cell r="A52" t="str">
            <v>T178</v>
          </cell>
          <cell r="B52" t="str">
            <v xml:space="preserve">RANDRIANAVALOMANDRESY Olivier Gendratto </v>
          </cell>
          <cell r="C52">
            <v>0</v>
          </cell>
        </row>
        <row r="53">
          <cell r="A53" t="str">
            <v>T179</v>
          </cell>
          <cell r="B53" t="str">
            <v>RANDRIANJATOVO Tojosoa Fabien</v>
          </cell>
          <cell r="C53">
            <v>0</v>
          </cell>
        </row>
        <row r="54">
          <cell r="A54" t="str">
            <v>T182</v>
          </cell>
          <cell r="B54" t="str">
            <v>RANDRIANARISON Gérard</v>
          </cell>
          <cell r="C54">
            <v>0</v>
          </cell>
        </row>
        <row r="55">
          <cell r="A55" t="str">
            <v>T184</v>
          </cell>
          <cell r="B55" t="str">
            <v xml:space="preserve">RAFANOMEZANTSOA Jean Fidèle </v>
          </cell>
          <cell r="C55">
            <v>0</v>
          </cell>
        </row>
        <row r="56">
          <cell r="A56" t="str">
            <v>T185</v>
          </cell>
          <cell r="B56" t="str">
            <v>RANDRIARIJAONA Jean Lucia</v>
          </cell>
          <cell r="C56">
            <v>0</v>
          </cell>
        </row>
        <row r="57">
          <cell r="A57" t="str">
            <v>T186</v>
          </cell>
          <cell r="B57" t="str">
            <v>RANDRIAMANALINARIVO Jean Ruphin</v>
          </cell>
          <cell r="C57">
            <v>0</v>
          </cell>
        </row>
        <row r="58">
          <cell r="A58" t="str">
            <v>T187</v>
          </cell>
          <cell r="B58" t="str">
            <v>RAHARISON Herimampionona</v>
          </cell>
          <cell r="C58">
            <v>0</v>
          </cell>
        </row>
        <row r="59">
          <cell r="A59" t="str">
            <v>T188</v>
          </cell>
          <cell r="B59" t="str">
            <v>NICOLAS Jean Arthur</v>
          </cell>
          <cell r="C59">
            <v>0</v>
          </cell>
        </row>
        <row r="60">
          <cell r="A60" t="str">
            <v>T191</v>
          </cell>
          <cell r="B60" t="str">
            <v>RATOJONIAINA Jeannot Paul</v>
          </cell>
          <cell r="C60">
            <v>0</v>
          </cell>
        </row>
        <row r="61">
          <cell r="A61" t="str">
            <v>T193</v>
          </cell>
          <cell r="B61" t="str">
            <v>RANDRIANASOLONIRINA Jenny Angelin</v>
          </cell>
          <cell r="C61">
            <v>0</v>
          </cell>
        </row>
        <row r="62">
          <cell r="A62" t="str">
            <v>T194</v>
          </cell>
          <cell r="B62" t="str">
            <v>RAMANANJATO Tolojanahary</v>
          </cell>
          <cell r="C62">
            <v>0</v>
          </cell>
        </row>
        <row r="63">
          <cell r="A63" t="str">
            <v>T197</v>
          </cell>
          <cell r="B63" t="str">
            <v>ANDRIANIRINTSOA Safiditiana José</v>
          </cell>
          <cell r="C63">
            <v>0</v>
          </cell>
        </row>
        <row r="64">
          <cell r="A64" t="str">
            <v>T200</v>
          </cell>
          <cell r="B64" t="str">
            <v>RAMANANTENASOA Nambinintsoa</v>
          </cell>
          <cell r="C64">
            <v>0</v>
          </cell>
        </row>
        <row r="65">
          <cell r="A65" t="str">
            <v>T201</v>
          </cell>
          <cell r="B65" t="str">
            <v>TISTE</v>
          </cell>
          <cell r="C65">
            <v>0</v>
          </cell>
        </row>
        <row r="66">
          <cell r="A66" t="str">
            <v>T202</v>
          </cell>
          <cell r="B66" t="str">
            <v>RASOANAVALONA Sahondraniaina</v>
          </cell>
          <cell r="C66">
            <v>0</v>
          </cell>
        </row>
        <row r="67">
          <cell r="A67" t="str">
            <v>T204</v>
          </cell>
          <cell r="B67" t="str">
            <v>ANDONIAINA Nathalie Alida</v>
          </cell>
          <cell r="C67">
            <v>0</v>
          </cell>
        </row>
        <row r="68">
          <cell r="A68" t="str">
            <v>T206</v>
          </cell>
          <cell r="B68" t="str">
            <v>SOATAHY</v>
          </cell>
          <cell r="C68">
            <v>0</v>
          </cell>
        </row>
        <row r="69">
          <cell r="A69" t="str">
            <v>T208</v>
          </cell>
          <cell r="B69" t="str">
            <v>RAVAONIRINA Jocelyne</v>
          </cell>
          <cell r="C69">
            <v>0</v>
          </cell>
        </row>
        <row r="70">
          <cell r="A70" t="str">
            <v>T210</v>
          </cell>
          <cell r="B70" t="str">
            <v>RAZANAJATOVO Jeannot</v>
          </cell>
          <cell r="C70">
            <v>0</v>
          </cell>
        </row>
        <row r="71">
          <cell r="A71" t="str">
            <v>T211</v>
          </cell>
          <cell r="B71" t="str">
            <v>RANDRIANANTENAINA Noël</v>
          </cell>
          <cell r="C71">
            <v>0</v>
          </cell>
        </row>
        <row r="72">
          <cell r="A72" t="str">
            <v>T212</v>
          </cell>
          <cell r="B72" t="str">
            <v>RAVELOSON Holiarimanga Dera</v>
          </cell>
          <cell r="C72">
            <v>0</v>
          </cell>
        </row>
        <row r="73">
          <cell r="A73" t="str">
            <v>T213</v>
          </cell>
          <cell r="B73" t="str">
            <v>RAZANDRAINIBE Hajaniaina Patrick</v>
          </cell>
          <cell r="C73">
            <v>0</v>
          </cell>
        </row>
        <row r="74">
          <cell r="A74" t="str">
            <v>T214</v>
          </cell>
          <cell r="B74" t="str">
            <v>HERINTSOA Andry Manoely Georges</v>
          </cell>
          <cell r="C74">
            <v>0</v>
          </cell>
        </row>
        <row r="75">
          <cell r="A75" t="str">
            <v>T215</v>
          </cell>
          <cell r="B75" t="str">
            <v>ANDRIAMPARANIAINA clermont</v>
          </cell>
          <cell r="C75">
            <v>0</v>
          </cell>
        </row>
        <row r="76">
          <cell r="A76" t="str">
            <v>T216</v>
          </cell>
          <cell r="B76" t="str">
            <v>RAZANADRAKOTO Hariniaina Patrick</v>
          </cell>
          <cell r="C76">
            <v>0</v>
          </cell>
        </row>
        <row r="77">
          <cell r="A77" t="str">
            <v>T218</v>
          </cell>
          <cell r="B77" t="str">
            <v>ANDRIAMANATENA Lalaina Angeline</v>
          </cell>
          <cell r="C77">
            <v>0</v>
          </cell>
        </row>
        <row r="78">
          <cell r="A78" t="str">
            <v>T219</v>
          </cell>
          <cell r="B78" t="str">
            <v>RAKOTONDRABE Jean Martial</v>
          </cell>
          <cell r="C78">
            <v>0</v>
          </cell>
        </row>
        <row r="79">
          <cell r="A79" t="str">
            <v>T220</v>
          </cell>
          <cell r="B79" t="str">
            <v>RASOLONIAINA Honoré</v>
          </cell>
          <cell r="C79">
            <v>0</v>
          </cell>
        </row>
        <row r="80">
          <cell r="A80" t="str">
            <v>T222</v>
          </cell>
          <cell r="B80" t="str">
            <v>RABESON Tovo Harilaza</v>
          </cell>
          <cell r="C80">
            <v>0</v>
          </cell>
        </row>
        <row r="81">
          <cell r="A81" t="str">
            <v>T223</v>
          </cell>
          <cell r="B81" t="str">
            <v>RANDRIANARISON Nico Faniry</v>
          </cell>
          <cell r="C81">
            <v>0</v>
          </cell>
        </row>
        <row r="82">
          <cell r="A82" t="str">
            <v>T226</v>
          </cell>
          <cell r="B82" t="str">
            <v>RAMAROSON Lalaina Niandrisoa</v>
          </cell>
          <cell r="C82">
            <v>0</v>
          </cell>
        </row>
        <row r="83">
          <cell r="A83" t="str">
            <v>T227</v>
          </cell>
          <cell r="B83" t="str">
            <v>AVILAZA Michel</v>
          </cell>
          <cell r="C83">
            <v>0</v>
          </cell>
        </row>
        <row r="84">
          <cell r="A84" t="str">
            <v>T228</v>
          </cell>
          <cell r="B84" t="str">
            <v>RANDRIAMAMPIONONA Fulgence Angelo</v>
          </cell>
          <cell r="C84">
            <v>0</v>
          </cell>
        </row>
        <row r="85">
          <cell r="A85" t="str">
            <v>T229</v>
          </cell>
          <cell r="B85" t="str">
            <v>RAZAFINOARISON Jean Baptiste</v>
          </cell>
          <cell r="C85">
            <v>0</v>
          </cell>
        </row>
        <row r="86">
          <cell r="A86" t="str">
            <v>T230</v>
          </cell>
          <cell r="B86" t="str">
            <v>RAZAFINDRAVAHATRA Tolojanahary Jean Parfait</v>
          </cell>
          <cell r="C86">
            <v>0</v>
          </cell>
        </row>
        <row r="87">
          <cell r="A87" t="str">
            <v>T231</v>
          </cell>
          <cell r="B87" t="str">
            <v>TODISOA FANIRY Jean Louiset</v>
          </cell>
          <cell r="C87">
            <v>0</v>
          </cell>
        </row>
        <row r="88">
          <cell r="A88" t="str">
            <v>T232</v>
          </cell>
          <cell r="B88" t="str">
            <v>RANDRIAMANANTENA Fanomezantsoa Heriniaina</v>
          </cell>
          <cell r="C88">
            <v>0</v>
          </cell>
        </row>
        <row r="89">
          <cell r="A89" t="str">
            <v>T233</v>
          </cell>
          <cell r="B89" t="str">
            <v>ANDRIAMIRIJA Joe Dassin</v>
          </cell>
          <cell r="C89">
            <v>0</v>
          </cell>
        </row>
        <row r="90">
          <cell r="A90" t="str">
            <v>T234</v>
          </cell>
          <cell r="B90" t="str">
            <v>RAZAFINDRAIBE Dimbiniaina Onja Fanantenana</v>
          </cell>
          <cell r="C90">
            <v>0</v>
          </cell>
        </row>
        <row r="91">
          <cell r="A91" t="str">
            <v>T235</v>
          </cell>
          <cell r="B91" t="str">
            <v>RASOLOFOMANDIMBY Florentin</v>
          </cell>
          <cell r="C91">
            <v>0</v>
          </cell>
        </row>
        <row r="92">
          <cell r="A92" t="str">
            <v>T236</v>
          </cell>
          <cell r="B92" t="str">
            <v>RAMANDANIAINA Alfred Lovasoa</v>
          </cell>
          <cell r="C92">
            <v>0</v>
          </cell>
        </row>
        <row r="93">
          <cell r="A93" t="str">
            <v>T237</v>
          </cell>
          <cell r="B93" t="str">
            <v>RANDRIANANTENAINA Toky Elysé</v>
          </cell>
          <cell r="C93">
            <v>0</v>
          </cell>
        </row>
        <row r="94">
          <cell r="A94" t="str">
            <v>T238</v>
          </cell>
          <cell r="B94" t="str">
            <v>RANDRIANANDRASANA Miora Lantoniaina Fabien</v>
          </cell>
          <cell r="C94">
            <v>0</v>
          </cell>
        </row>
        <row r="95">
          <cell r="A95" t="str">
            <v>T239</v>
          </cell>
          <cell r="B95" t="str">
            <v>PIRET Alcide Jean Ianna Mahefa</v>
          </cell>
          <cell r="C95">
            <v>0</v>
          </cell>
        </row>
        <row r="96">
          <cell r="A96" t="str">
            <v>T240</v>
          </cell>
          <cell r="B96" t="str">
            <v>RAFANOMEZANTSOA Andrianiaina</v>
          </cell>
          <cell r="C96">
            <v>0</v>
          </cell>
        </row>
        <row r="97">
          <cell r="A97" t="str">
            <v>T241</v>
          </cell>
          <cell r="B97" t="str">
            <v>RASOLOFOMANANA Daniel</v>
          </cell>
          <cell r="C97">
            <v>0</v>
          </cell>
        </row>
        <row r="98">
          <cell r="A98" t="str">
            <v>T242</v>
          </cell>
          <cell r="B98" t="str">
            <v>RAMANAMAHENINA Ryselle Tokinandrasana Njarasoa</v>
          </cell>
          <cell r="C98">
            <v>0</v>
          </cell>
        </row>
        <row r="99">
          <cell r="A99" t="str">
            <v>T243</v>
          </cell>
          <cell r="B99" t="str">
            <v>RAKOTOMAMONJY Jean Pierrot</v>
          </cell>
          <cell r="C99">
            <v>0</v>
          </cell>
        </row>
        <row r="100">
          <cell r="A100" t="str">
            <v>T244</v>
          </cell>
          <cell r="B100" t="str">
            <v>RANAIVOHARISOA Tsilavina Nadé</v>
          </cell>
          <cell r="C100">
            <v>0</v>
          </cell>
        </row>
        <row r="101">
          <cell r="A101" t="str">
            <v>T245</v>
          </cell>
          <cell r="B101" t="str">
            <v>RAKOTONDRAMANANA Frédéric</v>
          </cell>
          <cell r="C101">
            <v>0</v>
          </cell>
        </row>
        <row r="102">
          <cell r="A102" t="str">
            <v>T246</v>
          </cell>
          <cell r="B102" t="str">
            <v>RAZAFIARIJAONA Tahianarinala</v>
          </cell>
          <cell r="C102">
            <v>0</v>
          </cell>
        </row>
        <row r="122">
          <cell r="B122" t="str">
            <v>TOTAL</v>
          </cell>
          <cell r="C122">
            <v>0</v>
          </cell>
          <cell r="D122">
            <v>0</v>
          </cell>
          <cell r="E12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str">
            <v>T032</v>
          </cell>
          <cell r="C3" t="str">
            <v>DEHAAS Pierre Herman Joseph</v>
          </cell>
          <cell r="D3">
            <v>3200000</v>
          </cell>
          <cell r="E3" t="str">
            <v>M</v>
          </cell>
          <cell r="F3" t="str">
            <v>524730000432</v>
          </cell>
          <cell r="G3">
            <v>19205</v>
          </cell>
          <cell r="I3" t="str">
            <v>Passeport : N°07AA21144</v>
          </cell>
          <cell r="J3">
            <v>39188</v>
          </cell>
          <cell r="K3" t="str">
            <v>Pyrénées Orientales</v>
          </cell>
          <cell r="L3" t="str">
            <v>Antananarivo</v>
          </cell>
          <cell r="M3">
            <v>40452</v>
          </cell>
          <cell r="N3">
            <v>40452</v>
          </cell>
          <cell r="O3" t="str">
            <v>Responsable atelier mécanique</v>
          </cell>
          <cell r="P3" t="str">
            <v>HC</v>
          </cell>
          <cell r="R3" t="str">
            <v>CDI</v>
          </cell>
        </row>
        <row r="4">
          <cell r="B4" t="str">
            <v>T168</v>
          </cell>
          <cell r="C4" t="str">
            <v>HUON DE KERMADEC Vincent</v>
          </cell>
          <cell r="D4">
            <v>1787501</v>
          </cell>
          <cell r="E4" t="str">
            <v>M</v>
          </cell>
          <cell r="F4" t="str">
            <v>774413000174</v>
          </cell>
          <cell r="G4">
            <v>28228</v>
          </cell>
          <cell r="H4" t="str">
            <v>Brest</v>
          </cell>
          <cell r="I4">
            <v>50810300515</v>
          </cell>
          <cell r="J4">
            <v>39461</v>
          </cell>
          <cell r="K4" t="str">
            <v>Antananarivo</v>
          </cell>
          <cell r="L4" t="str">
            <v>Lot FSII36 Soamananety Ambohidratrimo</v>
          </cell>
          <cell r="M4">
            <v>41640</v>
          </cell>
          <cell r="N4">
            <v>39692</v>
          </cell>
          <cell r="O4" t="str">
            <v>Directeur de production</v>
          </cell>
          <cell r="P4" t="str">
            <v>HC</v>
          </cell>
          <cell r="R4" t="str">
            <v>CDI</v>
          </cell>
        </row>
        <row r="7">
          <cell r="B7" t="str">
            <v>T008</v>
          </cell>
          <cell r="C7" t="str">
            <v>RAMANANA Louis de Gonzague</v>
          </cell>
          <cell r="D7">
            <v>693857</v>
          </cell>
          <cell r="E7" t="str">
            <v>M</v>
          </cell>
          <cell r="F7" t="str">
            <v>800311002185</v>
          </cell>
          <cell r="G7">
            <v>29291</v>
          </cell>
          <cell r="H7" t="str">
            <v>Ambohidratrimo</v>
          </cell>
          <cell r="I7">
            <v>103011002572</v>
          </cell>
          <cell r="J7">
            <v>36130</v>
          </cell>
          <cell r="K7" t="str">
            <v>Ambohidratrimo</v>
          </cell>
          <cell r="L7" t="str">
            <v>bemasoandro Andriantany</v>
          </cell>
          <cell r="M7">
            <v>39449</v>
          </cell>
          <cell r="N7">
            <v>40148</v>
          </cell>
          <cell r="O7" t="str">
            <v>Cadre junior-stratifieur</v>
          </cell>
          <cell r="P7" t="str">
            <v>OS</v>
          </cell>
          <cell r="Q7">
            <v>3</v>
          </cell>
          <cell r="R7" t="str">
            <v>CDI</v>
          </cell>
        </row>
        <row r="8">
          <cell r="B8" t="str">
            <v>T113</v>
          </cell>
          <cell r="C8" t="str">
            <v>ANDRIAMANDIMBINIAINA Veuvé Bayard</v>
          </cell>
          <cell r="D8">
            <v>1208762</v>
          </cell>
          <cell r="E8" t="str">
            <v>M</v>
          </cell>
          <cell r="F8" t="str">
            <v>99999999999</v>
          </cell>
          <cell r="G8">
            <v>28608</v>
          </cell>
          <cell r="H8" t="str">
            <v>Morafeno Arivonimamo</v>
          </cell>
          <cell r="I8">
            <v>101211144662</v>
          </cell>
          <cell r="J8">
            <v>35599</v>
          </cell>
          <cell r="K8" t="str">
            <v>Itaosy</v>
          </cell>
          <cell r="L8" t="str">
            <v>Lot IT39 Itaosy</v>
          </cell>
          <cell r="M8">
            <v>40974</v>
          </cell>
          <cell r="N8">
            <v>40974</v>
          </cell>
          <cell r="O8" t="str">
            <v>Responsable atelier Chaudronnerie</v>
          </cell>
          <cell r="P8" t="str">
            <v>HC</v>
          </cell>
          <cell r="R8" t="str">
            <v>CDI</v>
          </cell>
        </row>
        <row r="9">
          <cell r="B9" t="str">
            <v>T134</v>
          </cell>
          <cell r="C9" t="str">
            <v>ANDRIAMANANTENA Tovonony Barison</v>
          </cell>
          <cell r="D9">
            <v>1458762</v>
          </cell>
          <cell r="E9" t="str">
            <v>M</v>
          </cell>
          <cell r="F9" t="str">
            <v>800525004595</v>
          </cell>
          <cell r="G9">
            <v>29366</v>
          </cell>
          <cell r="H9" t="str">
            <v>Andoharanofotsy</v>
          </cell>
          <cell r="I9">
            <v>101211153195</v>
          </cell>
          <cell r="J9">
            <v>36159</v>
          </cell>
          <cell r="K9" t="str">
            <v>Antananarivo I</v>
          </cell>
          <cell r="L9" t="str">
            <v>Lot IG127 Ambalavao Isotry</v>
          </cell>
          <cell r="M9">
            <v>39793</v>
          </cell>
          <cell r="N9">
            <v>39793</v>
          </cell>
          <cell r="O9" t="str">
            <v>Responsable Composite</v>
          </cell>
          <cell r="P9" t="str">
            <v>HC</v>
          </cell>
          <cell r="R9" t="str">
            <v>CDI</v>
          </cell>
        </row>
        <row r="10">
          <cell r="B10" t="str">
            <v>T146</v>
          </cell>
          <cell r="C10" t="str">
            <v>RANDRIAMIADANA Rijaniaina</v>
          </cell>
          <cell r="D10">
            <v>956612</v>
          </cell>
          <cell r="E10" t="str">
            <v>M</v>
          </cell>
          <cell r="F10" t="str">
            <v>790228003547</v>
          </cell>
          <cell r="G10">
            <v>28906</v>
          </cell>
          <cell r="H10" t="str">
            <v>Antananarivo</v>
          </cell>
          <cell r="I10">
            <v>102071002917</v>
          </cell>
          <cell r="J10">
            <v>35500</v>
          </cell>
          <cell r="K10" t="str">
            <v>Sabotsy namehana</v>
          </cell>
          <cell r="L10" t="str">
            <v>Lot II F 31 K bis Andraisoro Fenomanana</v>
          </cell>
          <cell r="M10">
            <v>39966</v>
          </cell>
          <cell r="N10">
            <v>39966</v>
          </cell>
          <cell r="O10" t="str">
            <v>Responsable montage</v>
          </cell>
          <cell r="P10" t="str">
            <v>HC</v>
          </cell>
          <cell r="R10" t="str">
            <v>CDI</v>
          </cell>
        </row>
        <row r="11">
          <cell r="B11" t="str">
            <v>T163</v>
          </cell>
          <cell r="C11" t="str">
            <v>RAZAFINIRINA Patrick</v>
          </cell>
          <cell r="D11">
            <v>701510</v>
          </cell>
          <cell r="E11" t="str">
            <v>M</v>
          </cell>
          <cell r="F11" t="str">
            <v>871121000569</v>
          </cell>
          <cell r="G11">
            <v>32102</v>
          </cell>
          <cell r="H11" t="str">
            <v>Antanananarivo</v>
          </cell>
          <cell r="I11">
            <v>101211182676</v>
          </cell>
          <cell r="J11">
            <v>38687</v>
          </cell>
          <cell r="K11" t="str">
            <v>Antananarivo I</v>
          </cell>
          <cell r="L11" t="str">
            <v>Lot FMAI 91 bis, 67 Ha Sud</v>
          </cell>
          <cell r="M11">
            <v>39419</v>
          </cell>
          <cell r="N11">
            <v>39419</v>
          </cell>
          <cell r="O11" t="str">
            <v>Cadre junior- Responsable Production</v>
          </cell>
          <cell r="P11" t="str">
            <v>HC</v>
          </cell>
          <cell r="R11" t="str">
            <v>CDI</v>
          </cell>
        </row>
        <row r="12">
          <cell r="B12" t="str">
            <v>T227</v>
          </cell>
          <cell r="C12" t="str">
            <v>AVILAZA Michel</v>
          </cell>
          <cell r="D12">
            <v>701510</v>
          </cell>
          <cell r="E12" t="str">
            <v>M</v>
          </cell>
          <cell r="F12" t="str">
            <v>751211002221</v>
          </cell>
          <cell r="G12">
            <v>27739</v>
          </cell>
          <cell r="H12" t="str">
            <v>Hell ville Nosy Be</v>
          </cell>
          <cell r="I12">
            <v>718991031871</v>
          </cell>
          <cell r="J12">
            <v>26934</v>
          </cell>
          <cell r="K12" t="str">
            <v>Nosy Be</v>
          </cell>
          <cell r="L12" t="str">
            <v>Dar es Salam Nosy Be</v>
          </cell>
          <cell r="M12">
            <v>42268</v>
          </cell>
          <cell r="N12">
            <v>42268</v>
          </cell>
          <cell r="O12" t="str">
            <v>Skipper</v>
          </cell>
          <cell r="P12" t="str">
            <v>HC</v>
          </cell>
          <cell r="R12" t="str">
            <v>CDD</v>
          </cell>
        </row>
        <row r="13">
          <cell r="D13">
            <v>701510</v>
          </cell>
        </row>
        <row r="14">
          <cell r="B14" t="str">
            <v>T006</v>
          </cell>
          <cell r="C14" t="str">
            <v>TSIRINONY Dieu Donné</v>
          </cell>
          <cell r="D14">
            <v>400000</v>
          </cell>
          <cell r="E14" t="str">
            <v>M</v>
          </cell>
          <cell r="F14" t="str">
            <v>848983</v>
          </cell>
          <cell r="G14">
            <v>25622</v>
          </cell>
          <cell r="H14" t="str">
            <v>Morondava</v>
          </cell>
          <cell r="I14">
            <v>508051001651</v>
          </cell>
          <cell r="J14">
            <v>33891</v>
          </cell>
          <cell r="K14" t="str">
            <v>Morondava</v>
          </cell>
          <cell r="L14" t="str">
            <v>LoT 73 Amboropotsy</v>
          </cell>
          <cell r="M14">
            <v>39342</v>
          </cell>
          <cell r="N14">
            <v>40148</v>
          </cell>
          <cell r="O14" t="str">
            <v>Technicien</v>
          </cell>
          <cell r="P14" t="str">
            <v>OP</v>
          </cell>
          <cell r="Q14">
            <v>2</v>
          </cell>
          <cell r="R14" t="str">
            <v>CDI</v>
          </cell>
        </row>
        <row r="15">
          <cell r="B15" t="str">
            <v>T007</v>
          </cell>
          <cell r="C15" t="str">
            <v>EUGENE</v>
          </cell>
          <cell r="D15">
            <v>472000</v>
          </cell>
          <cell r="E15" t="str">
            <v>M</v>
          </cell>
          <cell r="F15" t="str">
            <v>888242</v>
          </cell>
          <cell r="G15">
            <v>26189</v>
          </cell>
          <cell r="H15" t="str">
            <v>Morondava</v>
          </cell>
          <cell r="I15">
            <v>508991004091</v>
          </cell>
          <cell r="J15">
            <v>33375</v>
          </cell>
          <cell r="K15" t="str">
            <v>Morondava</v>
          </cell>
          <cell r="L15" t="str">
            <v>LoT 73 Amboropotsy</v>
          </cell>
          <cell r="M15">
            <v>39342</v>
          </cell>
          <cell r="N15">
            <v>40148</v>
          </cell>
          <cell r="O15" t="str">
            <v>Technicien</v>
          </cell>
          <cell r="P15" t="str">
            <v>OP</v>
          </cell>
          <cell r="Q15">
            <v>2</v>
          </cell>
          <cell r="R15" t="str">
            <v>CDI</v>
          </cell>
        </row>
        <row r="16">
          <cell r="B16" t="str">
            <v>T206</v>
          </cell>
          <cell r="C16" t="str">
            <v>SOATAHY</v>
          </cell>
          <cell r="D16">
            <v>701510</v>
          </cell>
          <cell r="E16" t="str">
            <v>M</v>
          </cell>
          <cell r="F16" t="str">
            <v>791105003078</v>
          </cell>
          <cell r="G16">
            <v>29164</v>
          </cell>
          <cell r="H16" t="str">
            <v>Antsiranana</v>
          </cell>
          <cell r="I16">
            <v>401031015923</v>
          </cell>
          <cell r="J16">
            <v>35982</v>
          </cell>
          <cell r="K16" t="str">
            <v>Mahajanga I</v>
          </cell>
          <cell r="L16" t="str">
            <v>Lot 67A-ter FM Morondava Antehiroka</v>
          </cell>
          <cell r="M16">
            <v>42037</v>
          </cell>
          <cell r="N16">
            <v>42037</v>
          </cell>
          <cell r="O16" t="str">
            <v>Mécanicien</v>
          </cell>
          <cell r="P16" t="str">
            <v>OP</v>
          </cell>
          <cell r="R16" t="str">
            <v>CDD</v>
          </cell>
        </row>
        <row r="17">
          <cell r="B17" t="str">
            <v>T219</v>
          </cell>
          <cell r="C17" t="str">
            <v>RAKOTONDRABE Jean Martial</v>
          </cell>
          <cell r="D17">
            <v>446408</v>
          </cell>
          <cell r="E17" t="str">
            <v>M</v>
          </cell>
          <cell r="F17" t="str">
            <v>832962</v>
          </cell>
          <cell r="G17">
            <v>24106</v>
          </cell>
          <cell r="H17" t="str">
            <v>Befelatanana</v>
          </cell>
          <cell r="I17">
            <v>101251056258</v>
          </cell>
          <cell r="J17">
            <v>30879</v>
          </cell>
          <cell r="K17" t="str">
            <v>Antananarivo V</v>
          </cell>
          <cell r="L17" t="str">
            <v>Lot 45 Antanetibe Ivato</v>
          </cell>
          <cell r="M17">
            <v>42135</v>
          </cell>
          <cell r="N17">
            <v>42135</v>
          </cell>
          <cell r="O17" t="str">
            <v>Mécanicien</v>
          </cell>
          <cell r="P17" t="str">
            <v>OP</v>
          </cell>
          <cell r="R17" t="str">
            <v>CDD</v>
          </cell>
        </row>
        <row r="18">
          <cell r="B18" t="str">
            <v>T246</v>
          </cell>
          <cell r="C18" t="str">
            <v>RAZAFIARIJAONA Tahianarinala</v>
          </cell>
          <cell r="D18">
            <v>446408</v>
          </cell>
          <cell r="E18" t="str">
            <v>M</v>
          </cell>
          <cell r="F18" t="str">
            <v>999999999</v>
          </cell>
          <cell r="G18">
            <v>31244</v>
          </cell>
          <cell r="H18" t="str">
            <v>Behenjy</v>
          </cell>
          <cell r="I18">
            <v>102011008786</v>
          </cell>
          <cell r="L18" t="str">
            <v>Lot II I 68 ZFX Alarobia Amboniloha</v>
          </cell>
          <cell r="M18">
            <v>42292</v>
          </cell>
          <cell r="N18">
            <v>42292</v>
          </cell>
          <cell r="O18" t="str">
            <v>Soudeur - Tolier - Peintre</v>
          </cell>
          <cell r="P18" t="str">
            <v>OP</v>
          </cell>
          <cell r="R18" t="str">
            <v>CDD</v>
          </cell>
        </row>
        <row r="20">
          <cell r="B20" t="str">
            <v>T002</v>
          </cell>
          <cell r="C20" t="str">
            <v>RATSIMANDRESY Dominique Aimé</v>
          </cell>
          <cell r="D20">
            <v>380000</v>
          </cell>
          <cell r="E20" t="str">
            <v>M</v>
          </cell>
          <cell r="F20" t="str">
            <v>900516000104</v>
          </cell>
          <cell r="G20">
            <v>33009</v>
          </cell>
          <cell r="H20" t="str">
            <v>Antsirabe</v>
          </cell>
          <cell r="I20">
            <v>713031002289</v>
          </cell>
          <cell r="J20">
            <v>39713</v>
          </cell>
          <cell r="K20" t="str">
            <v>Antsiranana</v>
          </cell>
          <cell r="L20" t="str">
            <v>IVL34 Ampahibato Alasora</v>
          </cell>
          <cell r="M20">
            <v>40046</v>
          </cell>
          <cell r="N20">
            <v>40046</v>
          </cell>
          <cell r="O20" t="str">
            <v>Chef d'équipe Composite</v>
          </cell>
          <cell r="P20" t="str">
            <v>OS2</v>
          </cell>
          <cell r="R20" t="str">
            <v>CDI</v>
          </cell>
        </row>
        <row r="21">
          <cell r="B21" t="str">
            <v>T022</v>
          </cell>
          <cell r="C21" t="str">
            <v>RAZAFIMAHEFASOLO Jean Eddy</v>
          </cell>
          <cell r="D21">
            <v>380000</v>
          </cell>
          <cell r="E21" t="str">
            <v>M</v>
          </cell>
          <cell r="F21" t="str">
            <v>820402001893</v>
          </cell>
          <cell r="I21">
            <v>101310020437</v>
          </cell>
          <cell r="M21">
            <v>40289</v>
          </cell>
          <cell r="N21">
            <v>40289</v>
          </cell>
          <cell r="O21" t="str">
            <v>Chef d'équipe Composite</v>
          </cell>
          <cell r="P21" t="str">
            <v>OS1</v>
          </cell>
          <cell r="R21" t="str">
            <v>CDI</v>
          </cell>
        </row>
        <row r="22">
          <cell r="B22" t="str">
            <v>T050</v>
          </cell>
          <cell r="C22" t="str">
            <v>RAMANALINIRIANA Jean Victor</v>
          </cell>
          <cell r="D22">
            <v>380000</v>
          </cell>
          <cell r="E22" t="str">
            <v>M</v>
          </cell>
          <cell r="F22" t="str">
            <v>72121020001L</v>
          </cell>
          <cell r="G22">
            <v>26645</v>
          </cell>
          <cell r="H22" t="str">
            <v>Anjava Gare</v>
          </cell>
          <cell r="I22">
            <v>104051000421</v>
          </cell>
          <cell r="J22">
            <v>33074</v>
          </cell>
          <cell r="K22" t="str">
            <v>Ankazobe</v>
          </cell>
          <cell r="L22" t="str">
            <v>Mamory Miray Antoby</v>
          </cell>
          <cell r="M22">
            <v>40556</v>
          </cell>
          <cell r="N22">
            <v>40556</v>
          </cell>
          <cell r="O22" t="str">
            <v>Chef d'équipe Menuisier</v>
          </cell>
          <cell r="P22" t="str">
            <v>OS2</v>
          </cell>
          <cell r="R22" t="str">
            <v>CDI</v>
          </cell>
        </row>
        <row r="23">
          <cell r="B23" t="str">
            <v>T102</v>
          </cell>
          <cell r="C23" t="str">
            <v>RABEARINORO John Eddy</v>
          </cell>
          <cell r="D23">
            <v>380000</v>
          </cell>
          <cell r="E23" t="str">
            <v>M</v>
          </cell>
          <cell r="F23" t="str">
            <v>810320000335</v>
          </cell>
          <cell r="G23">
            <v>29665</v>
          </cell>
          <cell r="H23" t="str">
            <v>Farafangana</v>
          </cell>
          <cell r="I23">
            <v>103111006144</v>
          </cell>
          <cell r="J23">
            <v>36452</v>
          </cell>
          <cell r="K23" t="str">
            <v>Ambohidratrimo</v>
          </cell>
          <cell r="L23" t="str">
            <v>Lot 323 MD Mandrosoa Ivato</v>
          </cell>
          <cell r="M23">
            <v>40949</v>
          </cell>
          <cell r="N23">
            <v>40949</v>
          </cell>
          <cell r="O23" t="str">
            <v>Chef d'équipe Composite</v>
          </cell>
          <cell r="P23" t="str">
            <v>OS2</v>
          </cell>
          <cell r="R23" t="str">
            <v>CDI</v>
          </cell>
        </row>
        <row r="24">
          <cell r="B24" t="str">
            <v>T148</v>
          </cell>
          <cell r="C24" t="str">
            <v>RAKOTONDRATSARA Solofoniana Hyacinthe Jean Ferdinand</v>
          </cell>
          <cell r="D24">
            <v>380000</v>
          </cell>
          <cell r="E24" t="str">
            <v>M</v>
          </cell>
          <cell r="F24" t="str">
            <v>800302000787</v>
          </cell>
          <cell r="G24">
            <v>29282</v>
          </cell>
          <cell r="H24" t="str">
            <v>Seranina Ambohipanja</v>
          </cell>
          <cell r="I24">
            <v>102031009020</v>
          </cell>
          <cell r="J24">
            <v>36446</v>
          </cell>
          <cell r="K24" t="str">
            <v>Ankadikely</v>
          </cell>
          <cell r="L24" t="str">
            <v>Lot 104 Ambohipanja Seranina</v>
          </cell>
          <cell r="M24">
            <v>39713</v>
          </cell>
          <cell r="N24">
            <v>39713</v>
          </cell>
          <cell r="O24" t="str">
            <v>Chef d'équipe Menuisier</v>
          </cell>
          <cell r="P24" t="str">
            <v>OS2</v>
          </cell>
          <cell r="Q24">
            <v>2</v>
          </cell>
          <cell r="R24" t="str">
            <v>CDI</v>
          </cell>
        </row>
        <row r="25">
          <cell r="B25" t="str">
            <v>T153</v>
          </cell>
          <cell r="C25" t="str">
            <v>RAMILAVONJY Ramiandrasoa Flavien</v>
          </cell>
          <cell r="D25">
            <v>380000</v>
          </cell>
          <cell r="E25" t="str">
            <v>M</v>
          </cell>
          <cell r="F25" t="str">
            <v>720214003432</v>
          </cell>
          <cell r="G25">
            <v>26343</v>
          </cell>
          <cell r="H25" t="str">
            <v>Ihosy</v>
          </cell>
          <cell r="I25">
            <v>216011004046</v>
          </cell>
          <cell r="J25">
            <v>32952</v>
          </cell>
          <cell r="K25" t="str">
            <v>Ihosy</v>
          </cell>
          <cell r="L25" t="str">
            <v>Bloc 14-Porte 6 Cité 67 ha Antananarivo</v>
          </cell>
          <cell r="M25">
            <v>39951</v>
          </cell>
          <cell r="N25">
            <v>39951</v>
          </cell>
          <cell r="O25" t="str">
            <v>Chef d'équipe Menuisier</v>
          </cell>
          <cell r="P25" t="str">
            <v>OS2</v>
          </cell>
          <cell r="R25" t="str">
            <v>CDI</v>
          </cell>
        </row>
        <row r="27">
          <cell r="B27" t="str">
            <v>T009</v>
          </cell>
          <cell r="C27" t="str">
            <v>RAKOTOARISOA Jean Michel</v>
          </cell>
          <cell r="D27">
            <v>275000</v>
          </cell>
          <cell r="E27" t="str">
            <v>M</v>
          </cell>
          <cell r="F27" t="str">
            <v>780820001233</v>
          </cell>
          <cell r="G27">
            <v>28722</v>
          </cell>
          <cell r="H27" t="str">
            <v>Faratsiho</v>
          </cell>
          <cell r="I27">
            <v>116031002673</v>
          </cell>
          <cell r="J27">
            <v>35640</v>
          </cell>
          <cell r="K27" t="str">
            <v>Faratsiho</v>
          </cell>
          <cell r="L27" t="str">
            <v>Antalammohitra Lot AI22 Antehiroka</v>
          </cell>
          <cell r="M27">
            <v>39561</v>
          </cell>
          <cell r="N27">
            <v>40148</v>
          </cell>
          <cell r="O27" t="str">
            <v>Ouvrier qualifié composite</v>
          </cell>
          <cell r="P27" t="str">
            <v>OS1</v>
          </cell>
          <cell r="R27" t="str">
            <v>CDI</v>
          </cell>
        </row>
        <row r="28">
          <cell r="B28" t="str">
            <v>T014</v>
          </cell>
          <cell r="C28" t="str">
            <v>NOAVISON Tsimahaboa</v>
          </cell>
          <cell r="D28">
            <v>300000</v>
          </cell>
          <cell r="E28" t="str">
            <v>M</v>
          </cell>
          <cell r="F28" t="str">
            <v>670130000492</v>
          </cell>
          <cell r="G28">
            <v>24502</v>
          </cell>
          <cell r="H28" t="str">
            <v>Morondava</v>
          </cell>
          <cell r="I28">
            <v>508991013509</v>
          </cell>
          <cell r="J28">
            <v>31230</v>
          </cell>
          <cell r="K28" t="str">
            <v>Morondava</v>
          </cell>
          <cell r="L28" t="str">
            <v>LoT 73 Amboropotsy</v>
          </cell>
          <cell r="M28">
            <v>39722</v>
          </cell>
          <cell r="N28">
            <v>40148</v>
          </cell>
          <cell r="O28" t="str">
            <v>Ouvrier qualifié composite</v>
          </cell>
          <cell r="P28" t="str">
            <v>OS1</v>
          </cell>
          <cell r="Q28">
            <v>3</v>
          </cell>
          <cell r="R28" t="str">
            <v>CDI</v>
          </cell>
        </row>
        <row r="29">
          <cell r="B29" t="str">
            <v>T025</v>
          </cell>
          <cell r="C29" t="str">
            <v>RAKOTOZAFY Pierre</v>
          </cell>
          <cell r="D29">
            <v>220000</v>
          </cell>
          <cell r="E29" t="str">
            <v>M</v>
          </cell>
          <cell r="F29" t="str">
            <v>901015000234</v>
          </cell>
          <cell r="G29">
            <v>33161</v>
          </cell>
          <cell r="H29" t="str">
            <v>Antanifotsy</v>
          </cell>
          <cell r="I29">
            <v>114011027213</v>
          </cell>
          <cell r="M29">
            <v>40297</v>
          </cell>
          <cell r="N29">
            <v>40297</v>
          </cell>
          <cell r="O29" t="str">
            <v>Ouvrier qualifié Composite</v>
          </cell>
          <cell r="P29" t="str">
            <v>OS1</v>
          </cell>
          <cell r="R29" t="str">
            <v>CDI</v>
          </cell>
        </row>
        <row r="30">
          <cell r="B30" t="str">
            <v>T028</v>
          </cell>
          <cell r="C30" t="str">
            <v>RAZAFINIAINA Tolotra Franca</v>
          </cell>
          <cell r="D30">
            <v>220000</v>
          </cell>
          <cell r="E30" t="str">
            <v>M</v>
          </cell>
          <cell r="F30" t="str">
            <v>891209000957</v>
          </cell>
          <cell r="G30">
            <v>32851</v>
          </cell>
          <cell r="H30" t="str">
            <v>Ambohipo</v>
          </cell>
          <cell r="I30">
            <v>103071012894</v>
          </cell>
          <cell r="J30">
            <v>39847</v>
          </cell>
          <cell r="K30" t="str">
            <v>Ambohidratrimo</v>
          </cell>
          <cell r="L30" t="str">
            <v>Lot 138A Andranoro Antehiroka</v>
          </cell>
          <cell r="M30">
            <v>40452</v>
          </cell>
          <cell r="N30">
            <v>40452</v>
          </cell>
          <cell r="O30" t="str">
            <v>Ouvrier qualifié Composite</v>
          </cell>
          <cell r="P30" t="str">
            <v>OS1</v>
          </cell>
          <cell r="R30" t="str">
            <v>CDI</v>
          </cell>
        </row>
        <row r="31">
          <cell r="B31" t="str">
            <v>T036</v>
          </cell>
          <cell r="C31" t="str">
            <v>RAKOTONIRINA Fanomezantsoa</v>
          </cell>
          <cell r="D31">
            <v>220000</v>
          </cell>
          <cell r="E31" t="str">
            <v>M</v>
          </cell>
          <cell r="F31" t="str">
            <v>860127001270</v>
          </cell>
          <cell r="G31">
            <v>31439</v>
          </cell>
          <cell r="H31" t="str">
            <v>Befelatanana</v>
          </cell>
          <cell r="I31">
            <v>101211176850</v>
          </cell>
          <cell r="J31">
            <v>38174</v>
          </cell>
          <cell r="K31" t="str">
            <v>Antananarivo</v>
          </cell>
          <cell r="L31" t="str">
            <v>Lot III K 31 Bis Andavamamba Anjezika</v>
          </cell>
          <cell r="M31">
            <v>40548</v>
          </cell>
          <cell r="N31">
            <v>40548</v>
          </cell>
          <cell r="O31" t="str">
            <v>Ouvrier qualifié composite</v>
          </cell>
          <cell r="P31" t="str">
            <v>OS1</v>
          </cell>
          <cell r="Q31">
            <v>1</v>
          </cell>
          <cell r="R31" t="str">
            <v>CDI</v>
          </cell>
        </row>
        <row r="32">
          <cell r="B32" t="str">
            <v>T057</v>
          </cell>
          <cell r="C32" t="str">
            <v>RAKOTOMALALA Jean Jacques</v>
          </cell>
          <cell r="D32">
            <v>220000</v>
          </cell>
          <cell r="E32" t="str">
            <v>M</v>
          </cell>
          <cell r="F32" t="str">
            <v>770512003314</v>
          </cell>
          <cell r="G32">
            <v>28257</v>
          </cell>
          <cell r="H32" t="str">
            <v>Befelatanana</v>
          </cell>
          <cell r="I32">
            <v>103071006210</v>
          </cell>
          <cell r="J32">
            <v>36339</v>
          </cell>
          <cell r="K32" t="str">
            <v>Ambohidratrimo</v>
          </cell>
          <cell r="L32" t="str">
            <v>Lot 035B Ambohibao Antehiroka</v>
          </cell>
          <cell r="M32">
            <v>40557</v>
          </cell>
          <cell r="N32">
            <v>40557</v>
          </cell>
          <cell r="O32" t="str">
            <v>Ouvrier qualifié composite</v>
          </cell>
          <cell r="P32" t="str">
            <v>OS1</v>
          </cell>
          <cell r="R32" t="str">
            <v>CDI</v>
          </cell>
        </row>
        <row r="33">
          <cell r="B33" t="str">
            <v>T071</v>
          </cell>
          <cell r="C33" t="str">
            <v>RANDRIAMIANDRISOA Rémi</v>
          </cell>
          <cell r="D33">
            <v>220000</v>
          </cell>
          <cell r="E33" t="str">
            <v>M</v>
          </cell>
          <cell r="F33" t="str">
            <v>757558</v>
          </cell>
          <cell r="G33">
            <v>24676</v>
          </cell>
          <cell r="H33" t="str">
            <v>Ambodivoanjo</v>
          </cell>
          <cell r="I33">
            <v>117291000016</v>
          </cell>
          <cell r="J33">
            <v>31530</v>
          </cell>
          <cell r="K33" t="str">
            <v>Ankadimanga Atsimondrano</v>
          </cell>
          <cell r="L33" t="str">
            <v>TAS 21B Ambohidrapeto Antanetibe</v>
          </cell>
          <cell r="M33">
            <v>40787</v>
          </cell>
          <cell r="N33">
            <v>40787</v>
          </cell>
          <cell r="O33" t="str">
            <v>Ouvrier qualifié composite</v>
          </cell>
          <cell r="P33" t="str">
            <v>OS1</v>
          </cell>
          <cell r="R33" t="str">
            <v>CDI</v>
          </cell>
        </row>
        <row r="34">
          <cell r="B34" t="str">
            <v>T093</v>
          </cell>
          <cell r="C34" t="str">
            <v xml:space="preserve">RAFIDIMANANTSOA Jean Bruno </v>
          </cell>
          <cell r="D34">
            <v>220000</v>
          </cell>
          <cell r="E34" t="str">
            <v>M</v>
          </cell>
          <cell r="F34" t="str">
            <v>99999999999</v>
          </cell>
          <cell r="G34">
            <v>27782</v>
          </cell>
          <cell r="H34" t="str">
            <v xml:space="preserve">Befelatanana </v>
          </cell>
          <cell r="I34">
            <v>101211138692</v>
          </cell>
          <cell r="J34">
            <v>35095</v>
          </cell>
          <cell r="K34" t="str">
            <v xml:space="preserve">Antananarivo I </v>
          </cell>
          <cell r="L34" t="str">
            <v xml:space="preserve">Lot IVP TH 12 Antsalovana </v>
          </cell>
          <cell r="M34">
            <v>40934</v>
          </cell>
          <cell r="N34">
            <v>40934</v>
          </cell>
          <cell r="O34" t="str">
            <v>Ouvrier qualifié Composite</v>
          </cell>
          <cell r="P34" t="str">
            <v>OS1</v>
          </cell>
          <cell r="R34" t="str">
            <v>CDI</v>
          </cell>
        </row>
        <row r="35">
          <cell r="B35" t="str">
            <v>T154</v>
          </cell>
          <cell r="C35" t="str">
            <v>RAMAROSON Jean Christ</v>
          </cell>
          <cell r="D35">
            <v>220000</v>
          </cell>
          <cell r="E35" t="str">
            <v>m</v>
          </cell>
          <cell r="F35" t="str">
            <v>850710003925</v>
          </cell>
          <cell r="G35">
            <v>31238</v>
          </cell>
          <cell r="H35" t="str">
            <v>Mahalavolona</v>
          </cell>
          <cell r="I35">
            <v>508991014846</v>
          </cell>
          <cell r="J35">
            <v>38566</v>
          </cell>
          <cell r="K35" t="str">
            <v>Morondava</v>
          </cell>
          <cell r="L35" t="str">
            <v>XX</v>
          </cell>
          <cell r="M35">
            <v>39850</v>
          </cell>
          <cell r="N35">
            <v>39850</v>
          </cell>
          <cell r="O35" t="str">
            <v>Ouvrier qualifié Composite</v>
          </cell>
          <cell r="P35" t="str">
            <v>OS1</v>
          </cell>
          <cell r="R35" t="str">
            <v>CDI</v>
          </cell>
        </row>
        <row r="36">
          <cell r="B36" t="str">
            <v>T173</v>
          </cell>
          <cell r="C36" t="str">
            <v>RAKOTONDRAMAVO Michaël</v>
          </cell>
          <cell r="D36">
            <v>220000</v>
          </cell>
          <cell r="E36" t="str">
            <v>M</v>
          </cell>
          <cell r="F36" t="str">
            <v>999999999</v>
          </cell>
          <cell r="G36">
            <v>32781</v>
          </cell>
          <cell r="H36" t="str">
            <v>Tsilazaina Ivato</v>
          </cell>
          <cell r="I36">
            <v>103111012008</v>
          </cell>
          <cell r="J36">
            <v>32324</v>
          </cell>
          <cell r="K36" t="str">
            <v>Ambohidratrimo</v>
          </cell>
          <cell r="L36" t="str">
            <v>Lot AD15 Ankadindravola</v>
          </cell>
          <cell r="M36">
            <v>41683</v>
          </cell>
          <cell r="N36">
            <v>41683</v>
          </cell>
          <cell r="O36" t="str">
            <v>Ouvrier qualifié Composite</v>
          </cell>
          <cell r="P36" t="str">
            <v>OS1</v>
          </cell>
          <cell r="R36" t="str">
            <v>CDD</v>
          </cell>
        </row>
        <row r="37">
          <cell r="B37" t="str">
            <v>T178</v>
          </cell>
          <cell r="C37" t="str">
            <v xml:space="preserve">RANDRIANAVALOMANDRESY Olivier Gendratto </v>
          </cell>
          <cell r="D37">
            <v>220000</v>
          </cell>
          <cell r="E37" t="str">
            <v>M</v>
          </cell>
          <cell r="F37" t="str">
            <v>99999999999</v>
          </cell>
          <cell r="G37">
            <v>30055</v>
          </cell>
          <cell r="H37" t="str">
            <v xml:space="preserve">Marovoay </v>
          </cell>
          <cell r="I37">
            <v>406011018914</v>
          </cell>
          <cell r="J37">
            <v>36992</v>
          </cell>
          <cell r="K37" t="str">
            <v xml:space="preserve">Marovoay </v>
          </cell>
          <cell r="L37" t="str">
            <v xml:space="preserve">Lot 13A Amboropotsy </v>
          </cell>
          <cell r="M37">
            <v>41694</v>
          </cell>
          <cell r="N37">
            <v>41694</v>
          </cell>
          <cell r="O37" t="str">
            <v>Ouvrier qualifié Composite</v>
          </cell>
          <cell r="P37" t="str">
            <v>OS1</v>
          </cell>
          <cell r="R37" t="str">
            <v>CDD</v>
          </cell>
        </row>
        <row r="38">
          <cell r="B38" t="str">
            <v>T184</v>
          </cell>
          <cell r="C38" t="str">
            <v xml:space="preserve">RAFANOMEZANTSOA Jean Fidèle </v>
          </cell>
          <cell r="D38">
            <v>220000</v>
          </cell>
          <cell r="E38" t="str">
            <v>M</v>
          </cell>
          <cell r="F38" t="str">
            <v>99999999999</v>
          </cell>
          <cell r="G38">
            <v>29380</v>
          </cell>
          <cell r="H38" t="str">
            <v>Ambohidratrimo</v>
          </cell>
          <cell r="I38">
            <v>103051005816</v>
          </cell>
          <cell r="J38">
            <v>36117</v>
          </cell>
          <cell r="K38" t="str">
            <v>Ambohidratrimo</v>
          </cell>
          <cell r="L38" t="str">
            <v xml:space="preserve">Lot 13A Amboropotsy </v>
          </cell>
          <cell r="M38">
            <v>41716</v>
          </cell>
          <cell r="N38">
            <v>41716</v>
          </cell>
          <cell r="O38" t="str">
            <v>Ouvrier qualifié Composite</v>
          </cell>
          <cell r="P38" t="str">
            <v>OS1</v>
          </cell>
          <cell r="R38" t="str">
            <v>CDD</v>
          </cell>
        </row>
        <row r="41">
          <cell r="B41" t="str">
            <v>T011</v>
          </cell>
          <cell r="C41" t="str">
            <v>RAZAFINDRAZANANY Romaine</v>
          </cell>
          <cell r="D41">
            <v>170000</v>
          </cell>
          <cell r="E41" t="str">
            <v>F</v>
          </cell>
          <cell r="F41" t="str">
            <v>642423001439</v>
          </cell>
          <cell r="G41">
            <v>23490</v>
          </cell>
          <cell r="H41" t="str">
            <v>Ambatofotsy</v>
          </cell>
          <cell r="I41">
            <v>110382017574</v>
          </cell>
          <cell r="J41">
            <v>31477</v>
          </cell>
          <cell r="K41" t="str">
            <v>Ambatolampy</v>
          </cell>
          <cell r="L41" t="str">
            <v>Lot III G Ter ambatolampy Atehiroka</v>
          </cell>
          <cell r="M41">
            <v>39699</v>
          </cell>
          <cell r="N41">
            <v>40148</v>
          </cell>
          <cell r="O41" t="str">
            <v>Préparatrice de surface</v>
          </cell>
          <cell r="P41" t="str">
            <v>M1</v>
          </cell>
          <cell r="R41" t="str">
            <v>CDI</v>
          </cell>
        </row>
        <row r="42">
          <cell r="B42" t="str">
            <v>T018</v>
          </cell>
          <cell r="C42" t="str">
            <v>RABASOAMALALA Fidelia</v>
          </cell>
          <cell r="D42">
            <v>170000</v>
          </cell>
          <cell r="E42" t="str">
            <v>F</v>
          </cell>
          <cell r="F42" t="str">
            <v>882207001540</v>
          </cell>
          <cell r="I42">
            <v>102032016538</v>
          </cell>
          <cell r="M42">
            <v>40262</v>
          </cell>
          <cell r="N42">
            <v>40262</v>
          </cell>
          <cell r="O42" t="str">
            <v>Préparatrice de surface</v>
          </cell>
          <cell r="P42" t="str">
            <v>M1</v>
          </cell>
          <cell r="R42" t="str">
            <v>CDI</v>
          </cell>
        </row>
        <row r="43">
          <cell r="B43" t="str">
            <v>T019</v>
          </cell>
          <cell r="C43" t="str">
            <v>FOMBEA Joeline</v>
          </cell>
          <cell r="D43">
            <v>170000</v>
          </cell>
          <cell r="E43" t="str">
            <v>F</v>
          </cell>
          <cell r="F43" t="str">
            <v>782119003409</v>
          </cell>
          <cell r="I43">
            <v>508992011485</v>
          </cell>
          <cell r="M43">
            <v>40263</v>
          </cell>
          <cell r="N43">
            <v>40263</v>
          </cell>
          <cell r="O43" t="str">
            <v>Préparatrice de surface</v>
          </cell>
          <cell r="P43" t="str">
            <v>M1</v>
          </cell>
          <cell r="R43" t="str">
            <v>CDI</v>
          </cell>
        </row>
        <row r="45">
          <cell r="B45" t="str">
            <v>T053</v>
          </cell>
          <cell r="C45" t="str">
            <v>RAMANATSOA Eddy Christ</v>
          </cell>
          <cell r="D45">
            <v>150000</v>
          </cell>
          <cell r="E45" t="str">
            <v>M</v>
          </cell>
          <cell r="F45" t="str">
            <v>800613000470</v>
          </cell>
          <cell r="G45">
            <v>29385</v>
          </cell>
          <cell r="H45" t="str">
            <v>Toamasina</v>
          </cell>
          <cell r="I45">
            <v>310071001905</v>
          </cell>
          <cell r="J45">
            <v>36728</v>
          </cell>
          <cell r="K45" t="str">
            <v>Toamasina II</v>
          </cell>
          <cell r="L45" t="str">
            <v>Lot 33 Antanifotsy Imerinafovoany</v>
          </cell>
          <cell r="M45">
            <v>40557</v>
          </cell>
          <cell r="N45">
            <v>40557</v>
          </cell>
          <cell r="O45" t="str">
            <v>Ouvrier composite</v>
          </cell>
          <cell r="P45" t="str">
            <v>M1</v>
          </cell>
          <cell r="R45" t="str">
            <v>CDI</v>
          </cell>
        </row>
        <row r="46">
          <cell r="B46" t="str">
            <v>T062</v>
          </cell>
          <cell r="C46" t="str">
            <v>RANDRIANARISON Philippe Joseph</v>
          </cell>
          <cell r="D46">
            <v>150000</v>
          </cell>
          <cell r="E46" t="str">
            <v>M</v>
          </cell>
          <cell r="F46" t="str">
            <v>610211004393</v>
          </cell>
          <cell r="G46">
            <v>22323</v>
          </cell>
          <cell r="H46" t="str">
            <v>Ambalavao</v>
          </cell>
          <cell r="I46">
            <v>201991043440</v>
          </cell>
          <cell r="J46">
            <v>29636</v>
          </cell>
          <cell r="K46" t="str">
            <v>Fianarantsoa</v>
          </cell>
          <cell r="L46" t="str">
            <v>Lot 68B Ambatolampy Antehiroka</v>
          </cell>
          <cell r="M46">
            <v>40567</v>
          </cell>
          <cell r="N46">
            <v>40567</v>
          </cell>
          <cell r="O46" t="str">
            <v>Ouvrier Composite</v>
          </cell>
          <cell r="P46" t="str">
            <v>M1</v>
          </cell>
          <cell r="Q46">
            <v>2</v>
          </cell>
          <cell r="R46" t="str">
            <v>CDI</v>
          </cell>
        </row>
        <row r="47">
          <cell r="B47" t="str">
            <v>T099</v>
          </cell>
          <cell r="C47" t="str">
            <v xml:space="preserve">RAVELONARIVO Henri Bernard </v>
          </cell>
          <cell r="D47">
            <v>165000</v>
          </cell>
          <cell r="E47" t="str">
            <v>M</v>
          </cell>
          <cell r="F47" t="str">
            <v>99999999999</v>
          </cell>
          <cell r="G47">
            <v>29572</v>
          </cell>
          <cell r="H47" t="str">
            <v xml:space="preserve">Anosy Avaratra </v>
          </cell>
          <cell r="I47">
            <v>103111003560</v>
          </cell>
          <cell r="J47">
            <v>37229</v>
          </cell>
          <cell r="K47" t="str">
            <v>Ambohidratrimo</v>
          </cell>
          <cell r="L47" t="str">
            <v xml:space="preserve">Lot A28 Tanjondava </v>
          </cell>
          <cell r="M47">
            <v>40938</v>
          </cell>
          <cell r="N47">
            <v>40938</v>
          </cell>
          <cell r="O47" t="str">
            <v>Ouvrier composite</v>
          </cell>
          <cell r="P47" t="str">
            <v>M1</v>
          </cell>
          <cell r="R47" t="str">
            <v>CDI</v>
          </cell>
        </row>
        <row r="48">
          <cell r="B48" t="str">
            <v>T101</v>
          </cell>
          <cell r="C48" t="str">
            <v>RANDRIANARIMALALA Jean Jacques</v>
          </cell>
          <cell r="D48">
            <v>150000</v>
          </cell>
          <cell r="E48" t="str">
            <v>M</v>
          </cell>
          <cell r="F48" t="str">
            <v>99999999999</v>
          </cell>
          <cell r="G48">
            <v>30264</v>
          </cell>
          <cell r="H48" t="str">
            <v>Ambatomainty</v>
          </cell>
          <cell r="I48">
            <v>103171004619</v>
          </cell>
          <cell r="J48">
            <v>36754</v>
          </cell>
          <cell r="K48" t="str">
            <v>Ambohidratrimo</v>
          </cell>
          <cell r="L48" t="str">
            <v>Lot 50A82 Soavinarivo</v>
          </cell>
          <cell r="M48">
            <v>41290</v>
          </cell>
          <cell r="N48">
            <v>41290</v>
          </cell>
          <cell r="O48" t="str">
            <v>Ouvrier composite</v>
          </cell>
          <cell r="P48" t="str">
            <v>M1</v>
          </cell>
          <cell r="R48" t="str">
            <v>CDI</v>
          </cell>
        </row>
        <row r="49">
          <cell r="B49" t="str">
            <v>T114</v>
          </cell>
          <cell r="C49" t="str">
            <v>TINASOA NOMENJANAHARY Tantely</v>
          </cell>
          <cell r="D49">
            <v>170000</v>
          </cell>
          <cell r="E49" t="str">
            <v>F</v>
          </cell>
          <cell r="F49" t="str">
            <v>99999999999</v>
          </cell>
          <cell r="G49">
            <v>34136</v>
          </cell>
          <cell r="H49" t="str">
            <v>Anosisoa</v>
          </cell>
          <cell r="I49">
            <v>103012007099</v>
          </cell>
          <cell r="J49">
            <v>40738</v>
          </cell>
          <cell r="K49" t="str">
            <v>Ambohidtratrimo</v>
          </cell>
          <cell r="L49" t="str">
            <v>605/05 Ankazo Antsimomparihy</v>
          </cell>
          <cell r="M49">
            <v>40975</v>
          </cell>
          <cell r="N49">
            <v>40975</v>
          </cell>
          <cell r="O49" t="str">
            <v>Ouvrier composite</v>
          </cell>
          <cell r="P49" t="str">
            <v>M1</v>
          </cell>
          <cell r="R49" t="str">
            <v>CDI</v>
          </cell>
        </row>
        <row r="50">
          <cell r="B50" t="str">
            <v>T161</v>
          </cell>
          <cell r="C50" t="str">
            <v>RANDRIAMIRADOMANANA René</v>
          </cell>
          <cell r="D50">
            <v>165000</v>
          </cell>
          <cell r="E50" t="str">
            <v>M</v>
          </cell>
          <cell r="F50" t="str">
            <v>870606001196</v>
          </cell>
          <cell r="M50">
            <v>39712</v>
          </cell>
          <cell r="N50">
            <v>39712</v>
          </cell>
          <cell r="O50" t="str">
            <v>Ouvrier Composite</v>
          </cell>
          <cell r="P50" t="str">
            <v>OS1</v>
          </cell>
          <cell r="R50" t="str">
            <v>CDI</v>
          </cell>
        </row>
        <row r="51">
          <cell r="B51" t="str">
            <v>T176</v>
          </cell>
          <cell r="C51" t="str">
            <v>RAKOTOARIMANANA Jean Joseph</v>
          </cell>
          <cell r="D51">
            <v>136480</v>
          </cell>
          <cell r="E51" t="str">
            <v>M</v>
          </cell>
          <cell r="F51" t="str">
            <v>999999999</v>
          </cell>
          <cell r="G51">
            <v>32869</v>
          </cell>
          <cell r="H51" t="str">
            <v>Anosibe</v>
          </cell>
          <cell r="I51">
            <v>101241139426</v>
          </cell>
          <cell r="J51">
            <v>39463</v>
          </cell>
          <cell r="K51" t="str">
            <v>Antananarivo IV</v>
          </cell>
          <cell r="L51" t="str">
            <v>Lot III T 50 ter Anosibe Mandrangobato</v>
          </cell>
          <cell r="M51">
            <v>41688</v>
          </cell>
          <cell r="N51">
            <v>41688</v>
          </cell>
          <cell r="O51" t="str">
            <v>Ouvrier Composite</v>
          </cell>
          <cell r="P51" t="str">
            <v>M1</v>
          </cell>
          <cell r="R51" t="str">
            <v>CDD</v>
          </cell>
        </row>
        <row r="52">
          <cell r="B52" t="str">
            <v>T177</v>
          </cell>
          <cell r="C52" t="str">
            <v>RAKOTOMANANA Maminirina Jean Michel</v>
          </cell>
          <cell r="D52">
            <v>136480</v>
          </cell>
          <cell r="E52" t="str">
            <v>M</v>
          </cell>
          <cell r="F52" t="str">
            <v>999999999</v>
          </cell>
          <cell r="I52">
            <v>101211212514</v>
          </cell>
          <cell r="M52">
            <v>41688</v>
          </cell>
          <cell r="N52">
            <v>41688</v>
          </cell>
          <cell r="O52" t="str">
            <v>Ouvrier Composite</v>
          </cell>
          <cell r="P52" t="str">
            <v>M1</v>
          </cell>
          <cell r="R52" t="str">
            <v>CDD</v>
          </cell>
        </row>
        <row r="53">
          <cell r="B53" t="str">
            <v>T179</v>
          </cell>
          <cell r="C53" t="str">
            <v>RANDRIANJATOVO Tojosoa Fabien</v>
          </cell>
          <cell r="D53">
            <v>136480</v>
          </cell>
          <cell r="E53" t="str">
            <v>M</v>
          </cell>
          <cell r="F53" t="str">
            <v>99999999999</v>
          </cell>
          <cell r="G53">
            <v>34212</v>
          </cell>
          <cell r="H53" t="str">
            <v>Itaosy</v>
          </cell>
          <cell r="I53">
            <v>101211211933</v>
          </cell>
          <cell r="J53">
            <v>40884</v>
          </cell>
          <cell r="K53" t="str">
            <v>Antananarivo I</v>
          </cell>
          <cell r="L53" t="str">
            <v>Lot A62 Manarintsoa Centre</v>
          </cell>
          <cell r="M53">
            <v>41694</v>
          </cell>
          <cell r="N53">
            <v>41694</v>
          </cell>
          <cell r="O53" t="str">
            <v>Ouvrier composite</v>
          </cell>
          <cell r="P53" t="str">
            <v>M1</v>
          </cell>
          <cell r="R53" t="str">
            <v>CDD</v>
          </cell>
        </row>
        <row r="54">
          <cell r="B54" t="str">
            <v>T182</v>
          </cell>
          <cell r="C54" t="str">
            <v>RANDRIANARISON Gérard</v>
          </cell>
          <cell r="D54">
            <v>136480</v>
          </cell>
          <cell r="E54" t="str">
            <v>M</v>
          </cell>
          <cell r="F54" t="str">
            <v>940826000316</v>
          </cell>
          <cell r="I54">
            <v>106291001210</v>
          </cell>
          <cell r="M54">
            <v>41710</v>
          </cell>
          <cell r="N54">
            <v>41710</v>
          </cell>
          <cell r="O54" t="str">
            <v>Ouvrier composite</v>
          </cell>
          <cell r="P54" t="str">
            <v>M1</v>
          </cell>
          <cell r="R54" t="str">
            <v>CDD</v>
          </cell>
        </row>
        <row r="55">
          <cell r="B55" t="str">
            <v>T185</v>
          </cell>
          <cell r="C55" t="str">
            <v>RANDRIARIJAONA Jean Lucia</v>
          </cell>
          <cell r="D55">
            <v>136480</v>
          </cell>
          <cell r="E55" t="str">
            <v>M</v>
          </cell>
          <cell r="F55" t="str">
            <v>99999999</v>
          </cell>
          <cell r="I55">
            <v>103091002419</v>
          </cell>
          <cell r="J55">
            <v>37802</v>
          </cell>
          <cell r="K55" t="str">
            <v>Ambohidratrimo</v>
          </cell>
          <cell r="L55" t="str">
            <v>Bemasoandro</v>
          </cell>
          <cell r="M55">
            <v>41719</v>
          </cell>
          <cell r="N55">
            <v>41719</v>
          </cell>
          <cell r="O55" t="str">
            <v>Ouvrier composite</v>
          </cell>
          <cell r="P55" t="str">
            <v>M1</v>
          </cell>
          <cell r="R55" t="str">
            <v>CDD</v>
          </cell>
        </row>
        <row r="56">
          <cell r="B56" t="str">
            <v>T186</v>
          </cell>
          <cell r="C56" t="str">
            <v>RANDRIAMANALINARIVO Jean Ruphin</v>
          </cell>
          <cell r="D56">
            <v>136480</v>
          </cell>
          <cell r="E56" t="str">
            <v>M</v>
          </cell>
          <cell r="F56" t="str">
            <v>99999999</v>
          </cell>
          <cell r="I56">
            <v>103091002819</v>
          </cell>
          <cell r="J56">
            <v>38880</v>
          </cell>
          <cell r="K56" t="str">
            <v>Ambohidratrimo</v>
          </cell>
          <cell r="L56" t="str">
            <v>Ambovo</v>
          </cell>
          <cell r="M56">
            <v>41719</v>
          </cell>
          <cell r="N56">
            <v>41719</v>
          </cell>
          <cell r="O56" t="str">
            <v>Ouvrier composite</v>
          </cell>
          <cell r="P56" t="str">
            <v>M1</v>
          </cell>
          <cell r="R56" t="str">
            <v>CDD</v>
          </cell>
        </row>
        <row r="57">
          <cell r="B57" t="str">
            <v>T188</v>
          </cell>
          <cell r="C57" t="str">
            <v>NICOLAS Jean Arthur</v>
          </cell>
          <cell r="D57">
            <v>136480</v>
          </cell>
          <cell r="E57" t="str">
            <v>M</v>
          </cell>
          <cell r="F57" t="str">
            <v>901229002543</v>
          </cell>
          <cell r="G57">
            <v>33226</v>
          </cell>
          <cell r="H57" t="str">
            <v>Ambatofotsy</v>
          </cell>
          <cell r="I57">
            <v>101981084298</v>
          </cell>
          <cell r="J57">
            <v>40260</v>
          </cell>
          <cell r="K57" t="str">
            <v>Antananarivo VI</v>
          </cell>
          <cell r="L57" t="str">
            <v>Lot IIIG1Ter Ambatolampy - Tana VI</v>
          </cell>
          <cell r="M57">
            <v>41729</v>
          </cell>
          <cell r="N57">
            <v>41729</v>
          </cell>
          <cell r="O57" t="str">
            <v>Ouvrier composite</v>
          </cell>
          <cell r="P57" t="str">
            <v>M1</v>
          </cell>
          <cell r="R57" t="str">
            <v>CDD</v>
          </cell>
        </row>
        <row r="58">
          <cell r="B58" t="str">
            <v>T194</v>
          </cell>
          <cell r="C58" t="str">
            <v>RAMANANJATO Tolojanahary</v>
          </cell>
          <cell r="D58">
            <v>136480</v>
          </cell>
          <cell r="E58" t="str">
            <v>M</v>
          </cell>
          <cell r="F58" t="str">
            <v>99999999</v>
          </cell>
          <cell r="G58">
            <v>31870</v>
          </cell>
          <cell r="H58" t="str">
            <v>Ambohijanahary Antehiroka</v>
          </cell>
          <cell r="I58">
            <v>103071016116</v>
          </cell>
          <cell r="J58">
            <v>38510</v>
          </cell>
          <cell r="K58" t="str">
            <v>Ambohidratrimo</v>
          </cell>
          <cell r="L58" t="str">
            <v>Lot 121Ater Andranoro</v>
          </cell>
          <cell r="M58">
            <v>41835</v>
          </cell>
          <cell r="N58">
            <v>41835</v>
          </cell>
          <cell r="O58" t="str">
            <v>Stratifieur</v>
          </cell>
          <cell r="P58" t="str">
            <v>M1</v>
          </cell>
          <cell r="R58" t="str">
            <v>CDD</v>
          </cell>
        </row>
        <row r="59">
          <cell r="B59" t="str">
            <v>T197</v>
          </cell>
          <cell r="C59" t="str">
            <v>ANDRIANIRINTSOA Safiditiana José</v>
          </cell>
          <cell r="D59">
            <v>136480</v>
          </cell>
          <cell r="E59" t="str">
            <v>M</v>
          </cell>
          <cell r="F59" t="str">
            <v>9999999</v>
          </cell>
          <cell r="G59">
            <v>35037</v>
          </cell>
          <cell r="H59" t="str">
            <v>Ambohibary antsirabe II</v>
          </cell>
          <cell r="I59">
            <v>103071017387</v>
          </cell>
          <cell r="J59">
            <v>41675</v>
          </cell>
          <cell r="K59" t="str">
            <v>Ambohidratrimo</v>
          </cell>
          <cell r="L59" t="str">
            <v>lot 011A Ambohibao 105</v>
          </cell>
          <cell r="M59">
            <v>41813</v>
          </cell>
          <cell r="N59">
            <v>41813</v>
          </cell>
          <cell r="O59" t="str">
            <v>Ouvrier Composite</v>
          </cell>
          <cell r="P59" t="str">
            <v>M1</v>
          </cell>
          <cell r="R59" t="str">
            <v>CDD</v>
          </cell>
        </row>
        <row r="60">
          <cell r="B60" t="str">
            <v>T204</v>
          </cell>
          <cell r="C60" t="str">
            <v>ANDONIAINA Nathalie Alida</v>
          </cell>
          <cell r="D60">
            <v>133100</v>
          </cell>
          <cell r="E60" t="str">
            <v>M</v>
          </cell>
          <cell r="F60" t="str">
            <v>9999999</v>
          </cell>
          <cell r="G60">
            <v>34742</v>
          </cell>
          <cell r="H60" t="str">
            <v>Befelatanana</v>
          </cell>
          <cell r="I60">
            <v>101212218517</v>
          </cell>
          <cell r="J60">
            <v>41358</v>
          </cell>
          <cell r="K60" t="str">
            <v>Antananarivo I</v>
          </cell>
          <cell r="L60" t="str">
            <v>Lot IVN14 bis Andohatapenaka - Antananarivo I</v>
          </cell>
          <cell r="M60">
            <v>41969</v>
          </cell>
          <cell r="N60">
            <v>41969</v>
          </cell>
          <cell r="O60" t="str">
            <v>Ouvrier Sellerie</v>
          </cell>
          <cell r="P60" t="str">
            <v>M1</v>
          </cell>
          <cell r="R60" t="str">
            <v>CDD</v>
          </cell>
        </row>
        <row r="61">
          <cell r="B61" t="str">
            <v>T210</v>
          </cell>
          <cell r="C61" t="str">
            <v>RAZANAJATOVO Jeannot</v>
          </cell>
          <cell r="D61">
            <v>133100</v>
          </cell>
          <cell r="E61" t="str">
            <v>M</v>
          </cell>
          <cell r="F61" t="str">
            <v>9999999</v>
          </cell>
          <cell r="G61">
            <v>32975</v>
          </cell>
          <cell r="H61" t="str">
            <v>Ambohimangakely</v>
          </cell>
          <cell r="I61">
            <v>103012005669</v>
          </cell>
          <cell r="J61">
            <v>39631</v>
          </cell>
          <cell r="K61" t="str">
            <v>Ambohidratrimo</v>
          </cell>
          <cell r="L61" t="str">
            <v>Lot 10 Bis ambodisaha Ambohidratrimo</v>
          </cell>
          <cell r="M61">
            <v>42110</v>
          </cell>
          <cell r="N61">
            <v>42110</v>
          </cell>
          <cell r="O61" t="str">
            <v>Ouvrier composite</v>
          </cell>
          <cell r="P61" t="str">
            <v>M1</v>
          </cell>
          <cell r="R61" t="str">
            <v>CDD</v>
          </cell>
        </row>
        <row r="62">
          <cell r="B62" t="str">
            <v>T211</v>
          </cell>
          <cell r="C62" t="str">
            <v>RANDRIANANTENAINA Noël</v>
          </cell>
          <cell r="D62">
            <v>133100</v>
          </cell>
          <cell r="E62" t="str">
            <v>M</v>
          </cell>
          <cell r="F62" t="str">
            <v>9999999</v>
          </cell>
          <cell r="G62">
            <v>33961</v>
          </cell>
          <cell r="H62" t="str">
            <v>Talatamaty</v>
          </cell>
          <cell r="I62">
            <v>103051014005</v>
          </cell>
          <cell r="J62">
            <v>40731</v>
          </cell>
          <cell r="K62" t="str">
            <v>Ambohidratrimo</v>
          </cell>
          <cell r="L62" t="str">
            <v>Lot 65 E Amboropotsy Talatamaty</v>
          </cell>
          <cell r="M62">
            <v>42109</v>
          </cell>
          <cell r="N62">
            <v>42109</v>
          </cell>
          <cell r="O62" t="str">
            <v>Ouvrier composite</v>
          </cell>
          <cell r="P62" t="str">
            <v>M1</v>
          </cell>
          <cell r="R62" t="str">
            <v>CDD</v>
          </cell>
        </row>
        <row r="63">
          <cell r="B63" t="str">
            <v>T212</v>
          </cell>
          <cell r="C63" t="str">
            <v>RAVELOSON Holiarimanga Dera</v>
          </cell>
          <cell r="D63">
            <v>133100</v>
          </cell>
          <cell r="E63" t="str">
            <v>M</v>
          </cell>
          <cell r="F63" t="str">
            <v>9999999</v>
          </cell>
          <cell r="G63">
            <v>33218</v>
          </cell>
          <cell r="H63" t="str">
            <v>Ambatolaona Anosiala Ambohidratrimo</v>
          </cell>
          <cell r="I63">
            <v>103031008889</v>
          </cell>
          <cell r="J63">
            <v>40212</v>
          </cell>
          <cell r="K63" t="str">
            <v>Ambohidratrimo</v>
          </cell>
          <cell r="L63" t="str">
            <v>Lot SAT-20 Ambatolaona Anosiala</v>
          </cell>
          <cell r="M63">
            <v>42117</v>
          </cell>
          <cell r="N63">
            <v>42117</v>
          </cell>
          <cell r="O63" t="str">
            <v>Ouvrier composite</v>
          </cell>
          <cell r="P63" t="str">
            <v>M1</v>
          </cell>
          <cell r="R63" t="str">
            <v>CDD</v>
          </cell>
        </row>
        <row r="64">
          <cell r="B64" t="str">
            <v>T213</v>
          </cell>
          <cell r="C64" t="str">
            <v>RAZANDRAINIBE Hajaniaina Patrick</v>
          </cell>
          <cell r="D64">
            <v>133100</v>
          </cell>
          <cell r="E64" t="str">
            <v>M</v>
          </cell>
          <cell r="F64" t="str">
            <v>802119001979</v>
          </cell>
          <cell r="G64">
            <v>29544</v>
          </cell>
          <cell r="H64" t="str">
            <v>Morondava</v>
          </cell>
          <cell r="I64">
            <v>204011007795</v>
          </cell>
          <cell r="J64">
            <v>36546</v>
          </cell>
          <cell r="K64" t="str">
            <v>Fandriana</v>
          </cell>
          <cell r="L64" t="str">
            <v xml:space="preserve">Lot 13A Amboropotsy </v>
          </cell>
          <cell r="M64">
            <v>42129</v>
          </cell>
          <cell r="N64">
            <v>42129</v>
          </cell>
          <cell r="O64" t="str">
            <v>Ouvrier composite</v>
          </cell>
          <cell r="P64" t="str">
            <v>M1</v>
          </cell>
          <cell r="R64" t="str">
            <v>CDD</v>
          </cell>
        </row>
        <row r="65">
          <cell r="B65" t="str">
            <v>T214</v>
          </cell>
          <cell r="C65" t="str">
            <v>HERINTSOA Andry Manoely Georges</v>
          </cell>
          <cell r="D65">
            <v>133100</v>
          </cell>
          <cell r="E65" t="str">
            <v>M</v>
          </cell>
          <cell r="F65" t="str">
            <v>851020004811</v>
          </cell>
          <cell r="G65">
            <v>31340</v>
          </cell>
          <cell r="H65" t="str">
            <v>Antohomadinika</v>
          </cell>
          <cell r="I65">
            <v>103111009727</v>
          </cell>
          <cell r="J65">
            <v>38390</v>
          </cell>
          <cell r="K65" t="str">
            <v>Ambohidratrimo</v>
          </cell>
          <cell r="L65" t="str">
            <v>Lot K7 224 Ivato Aéroport</v>
          </cell>
          <cell r="M65">
            <v>42129</v>
          </cell>
          <cell r="N65">
            <v>42129</v>
          </cell>
          <cell r="O65" t="str">
            <v>Ouvrier composite</v>
          </cell>
          <cell r="P65" t="str">
            <v>M1</v>
          </cell>
          <cell r="R65" t="str">
            <v>CDD</v>
          </cell>
        </row>
        <row r="66">
          <cell r="B66" t="str">
            <v>T215</v>
          </cell>
          <cell r="C66" t="str">
            <v>ANDRIAMPARANIAINA clermont</v>
          </cell>
          <cell r="D66">
            <v>133100</v>
          </cell>
          <cell r="E66" t="str">
            <v>M</v>
          </cell>
          <cell r="F66" t="str">
            <v>9999999</v>
          </cell>
          <cell r="G66">
            <v>34211</v>
          </cell>
          <cell r="H66" t="str">
            <v>Ambohidratrimo</v>
          </cell>
          <cell r="I66">
            <v>103011007761</v>
          </cell>
          <cell r="J66">
            <v>42302</v>
          </cell>
          <cell r="K66" t="str">
            <v>Ambohidratrimo</v>
          </cell>
          <cell r="L66" t="str">
            <v>Lot F3II 42 bis Soamanantena Ambohidratrimo</v>
          </cell>
          <cell r="M66">
            <v>42129</v>
          </cell>
          <cell r="N66">
            <v>42129</v>
          </cell>
          <cell r="O66" t="str">
            <v>Ouvrier composite</v>
          </cell>
          <cell r="P66" t="str">
            <v>M1</v>
          </cell>
          <cell r="R66" t="str">
            <v>CDD</v>
          </cell>
        </row>
        <row r="67">
          <cell r="B67" t="str">
            <v>T216</v>
          </cell>
          <cell r="C67" t="str">
            <v>RAZANADRAKOTO Hariniaina Patrick</v>
          </cell>
          <cell r="D67">
            <v>133100</v>
          </cell>
          <cell r="E67" t="str">
            <v>M</v>
          </cell>
          <cell r="F67" t="str">
            <v>9999999</v>
          </cell>
          <cell r="G67">
            <v>34701</v>
          </cell>
          <cell r="H67" t="str">
            <v>Andavamamba</v>
          </cell>
          <cell r="I67">
            <v>101211218909</v>
          </cell>
          <cell r="J67">
            <v>41332</v>
          </cell>
          <cell r="K67" t="str">
            <v>Antananarivo I</v>
          </cell>
          <cell r="L67" t="str">
            <v>Lot III C 107 AmbaninAmpamarinana</v>
          </cell>
          <cell r="M67">
            <v>42139</v>
          </cell>
          <cell r="N67">
            <v>42139</v>
          </cell>
          <cell r="O67" t="str">
            <v>Ouvrier composite</v>
          </cell>
          <cell r="P67" t="str">
            <v>M1</v>
          </cell>
          <cell r="R67" t="str">
            <v>CDD</v>
          </cell>
        </row>
        <row r="68">
          <cell r="B68" t="str">
            <v>T228</v>
          </cell>
          <cell r="C68" t="str">
            <v>RANDRIAMAMPIONONA Fulgence Angelo</v>
          </cell>
          <cell r="D68">
            <v>133100</v>
          </cell>
          <cell r="E68" t="str">
            <v>M</v>
          </cell>
          <cell r="F68" t="str">
            <v>9999999999</v>
          </cell>
          <cell r="G68">
            <v>35131</v>
          </cell>
          <cell r="H68" t="str">
            <v>Ambohidratrimo</v>
          </cell>
          <cell r="I68">
            <v>103051016560</v>
          </cell>
          <cell r="J68">
            <v>41809</v>
          </cell>
          <cell r="K68" t="str">
            <v>Ambohidratrimo</v>
          </cell>
          <cell r="L68" t="str">
            <v>Lot 155F Amboropotsy Talatamaty</v>
          </cell>
          <cell r="M68">
            <v>42268</v>
          </cell>
          <cell r="N68">
            <v>42268</v>
          </cell>
          <cell r="O68" t="str">
            <v>Stratifieur</v>
          </cell>
          <cell r="P68" t="str">
            <v>M1</v>
          </cell>
          <cell r="R68" t="str">
            <v>CDD</v>
          </cell>
        </row>
        <row r="69">
          <cell r="B69" t="str">
            <v>T229</v>
          </cell>
          <cell r="C69" t="str">
            <v>RAZAFINOARISON Jean Baptiste</v>
          </cell>
          <cell r="D69">
            <v>133100</v>
          </cell>
          <cell r="E69" t="str">
            <v>M</v>
          </cell>
          <cell r="F69" t="str">
            <v>9999999999</v>
          </cell>
          <cell r="G69">
            <v>33109</v>
          </cell>
          <cell r="H69" t="str">
            <v>Toliara</v>
          </cell>
          <cell r="I69">
            <v>501091010794</v>
          </cell>
          <cell r="J69">
            <v>39538</v>
          </cell>
          <cell r="K69" t="str">
            <v>Betania-ToliaraI</v>
          </cell>
          <cell r="L69" t="str">
            <v>Lot071 MMAI Mamory Miray antoby Talatamaty</v>
          </cell>
          <cell r="M69">
            <v>42268</v>
          </cell>
          <cell r="N69">
            <v>42268</v>
          </cell>
          <cell r="O69" t="str">
            <v>Stratifieur</v>
          </cell>
          <cell r="P69" t="str">
            <v>M1</v>
          </cell>
          <cell r="R69" t="str">
            <v>CDD</v>
          </cell>
        </row>
        <row r="70">
          <cell r="B70" t="str">
            <v>T230</v>
          </cell>
          <cell r="C70" t="str">
            <v>RAZAFINDRAVAHATRA Tolojanahary Jean Parfait</v>
          </cell>
          <cell r="D70">
            <v>133100</v>
          </cell>
          <cell r="E70" t="str">
            <v>M</v>
          </cell>
          <cell r="F70" t="str">
            <v>999999999</v>
          </cell>
          <cell r="G70">
            <v>34787</v>
          </cell>
          <cell r="H70" t="str">
            <v>Ambohidratrimo</v>
          </cell>
          <cell r="I70">
            <v>103011008596</v>
          </cell>
          <cell r="J70">
            <v>41773</v>
          </cell>
          <cell r="K70" t="str">
            <v>Ambohidratrimo</v>
          </cell>
          <cell r="L70" t="str">
            <v>Lot92 bis Anosiala</v>
          </cell>
          <cell r="M70">
            <v>42279</v>
          </cell>
          <cell r="N70">
            <v>42279</v>
          </cell>
          <cell r="O70" t="str">
            <v>Stratifieur</v>
          </cell>
          <cell r="P70" t="str">
            <v>M1</v>
          </cell>
          <cell r="R70" t="str">
            <v>CDD</v>
          </cell>
        </row>
        <row r="71">
          <cell r="B71" t="str">
            <v>T231</v>
          </cell>
          <cell r="C71" t="str">
            <v>TODISOA FANIRY Jean Louiset</v>
          </cell>
          <cell r="D71">
            <v>133100</v>
          </cell>
          <cell r="E71" t="str">
            <v>M</v>
          </cell>
          <cell r="F71" t="str">
            <v>99999999</v>
          </cell>
          <cell r="G71">
            <v>34495</v>
          </cell>
          <cell r="H71" t="str">
            <v>Anjoman'Ankona</v>
          </cell>
          <cell r="I71">
            <v>101211217959</v>
          </cell>
          <cell r="J71">
            <v>41325</v>
          </cell>
          <cell r="K71" t="str">
            <v>Antananarivo I</v>
          </cell>
          <cell r="L71" t="str">
            <v>Lot IVP 75D Anosizato Est</v>
          </cell>
          <cell r="M71">
            <v>42279</v>
          </cell>
          <cell r="N71">
            <v>42279</v>
          </cell>
          <cell r="O71" t="str">
            <v>Stratifieur</v>
          </cell>
          <cell r="P71" t="str">
            <v>M1</v>
          </cell>
          <cell r="R71" t="str">
            <v>CDD</v>
          </cell>
        </row>
        <row r="72">
          <cell r="B72" t="str">
            <v>T232</v>
          </cell>
          <cell r="C72" t="str">
            <v>RANDRIAMANANTENA Fanomezantsoa Heriniaina</v>
          </cell>
          <cell r="D72">
            <v>133100</v>
          </cell>
          <cell r="E72" t="str">
            <v>M</v>
          </cell>
          <cell r="F72" t="str">
            <v>99999999</v>
          </cell>
          <cell r="G72">
            <v>35141</v>
          </cell>
          <cell r="H72" t="str">
            <v>Ambohijanaka</v>
          </cell>
          <cell r="I72">
            <v>103051016486</v>
          </cell>
          <cell r="J72">
            <v>41778</v>
          </cell>
          <cell r="K72" t="str">
            <v>Ambohidratrimo</v>
          </cell>
          <cell r="L72" t="str">
            <v>Lot 182G Talatamaty</v>
          </cell>
          <cell r="M72">
            <v>42279</v>
          </cell>
          <cell r="N72">
            <v>42279</v>
          </cell>
          <cell r="O72" t="str">
            <v>Stratifieur</v>
          </cell>
          <cell r="P72" t="str">
            <v>M1</v>
          </cell>
          <cell r="R72" t="str">
            <v>CDD</v>
          </cell>
        </row>
        <row r="73">
          <cell r="B73" t="str">
            <v>T233</v>
          </cell>
          <cell r="C73" t="str">
            <v>ANDRIAMIRIJA Joe Dassin</v>
          </cell>
          <cell r="D73">
            <v>133100</v>
          </cell>
          <cell r="E73" t="str">
            <v>M</v>
          </cell>
          <cell r="F73" t="str">
            <v>99999999</v>
          </cell>
          <cell r="G73">
            <v>27806</v>
          </cell>
          <cell r="H73" t="str">
            <v>Befelatanana</v>
          </cell>
          <cell r="I73">
            <v>103051003702</v>
          </cell>
          <cell r="J73">
            <v>34794</v>
          </cell>
          <cell r="K73" t="str">
            <v>Ambohidratrimo</v>
          </cell>
          <cell r="L73" t="str">
            <v>Lot 100 Ankadivory</v>
          </cell>
          <cell r="M73">
            <v>42283</v>
          </cell>
          <cell r="N73">
            <v>42283</v>
          </cell>
          <cell r="O73" t="str">
            <v>Stratifieur</v>
          </cell>
          <cell r="P73" t="str">
            <v>M1</v>
          </cell>
          <cell r="R73" t="str">
            <v>CDD</v>
          </cell>
        </row>
        <row r="74">
          <cell r="B74" t="str">
            <v>T234</v>
          </cell>
          <cell r="C74" t="str">
            <v>RAZAFINDRAIBE Dimbiniaina Onja Fanantenana</v>
          </cell>
          <cell r="D74">
            <v>133100</v>
          </cell>
          <cell r="E74" t="str">
            <v>M</v>
          </cell>
          <cell r="F74" t="str">
            <v>99999999</v>
          </cell>
          <cell r="G74">
            <v>34424</v>
          </cell>
          <cell r="H74" t="str">
            <v>Ambohitrarahaba</v>
          </cell>
          <cell r="I74">
            <v>102031024616</v>
          </cell>
          <cell r="J74">
            <v>41001</v>
          </cell>
          <cell r="K74" t="str">
            <v>Ankadikely Avaradrano</v>
          </cell>
          <cell r="L74" t="str">
            <v>Lot III AB 1b Bis Andrononobe</v>
          </cell>
          <cell r="M74">
            <v>42283</v>
          </cell>
          <cell r="N74">
            <v>42283</v>
          </cell>
          <cell r="O74" t="str">
            <v>Stratifieur</v>
          </cell>
          <cell r="P74" t="str">
            <v>M1</v>
          </cell>
          <cell r="R74" t="str">
            <v>CDD</v>
          </cell>
        </row>
        <row r="75">
          <cell r="B75" t="str">
            <v>T235</v>
          </cell>
          <cell r="C75" t="str">
            <v>RASOLOFOMANDIMBY Florentin</v>
          </cell>
          <cell r="D75">
            <v>133100</v>
          </cell>
          <cell r="E75" t="str">
            <v>M</v>
          </cell>
          <cell r="F75" t="str">
            <v>99999999</v>
          </cell>
          <cell r="G75">
            <v>30016</v>
          </cell>
          <cell r="H75" t="str">
            <v>Fianarantsoa</v>
          </cell>
          <cell r="I75">
            <v>201031022348</v>
          </cell>
          <cell r="J75">
            <v>37232</v>
          </cell>
          <cell r="K75" t="str">
            <v>Fianarantsoa</v>
          </cell>
          <cell r="L75" t="str">
            <v>Lot IVP 75D Namontana</v>
          </cell>
          <cell r="M75">
            <v>42283</v>
          </cell>
          <cell r="N75">
            <v>42283</v>
          </cell>
          <cell r="O75" t="str">
            <v>Stratifieur</v>
          </cell>
          <cell r="P75" t="str">
            <v>M1</v>
          </cell>
          <cell r="R75" t="str">
            <v>CDD</v>
          </cell>
        </row>
        <row r="76">
          <cell r="B76" t="str">
            <v>T236</v>
          </cell>
          <cell r="C76" t="str">
            <v>RAMANDANIAINA Alfred Lovasoa</v>
          </cell>
          <cell r="D76">
            <v>133100</v>
          </cell>
          <cell r="E76" t="str">
            <v>M</v>
          </cell>
          <cell r="F76" t="str">
            <v>99999999</v>
          </cell>
          <cell r="G76">
            <v>33890</v>
          </cell>
          <cell r="H76" t="str">
            <v>Fihaonana Ankazobe</v>
          </cell>
          <cell r="I76">
            <v>104231004973</v>
          </cell>
          <cell r="J76">
            <v>40571</v>
          </cell>
          <cell r="K76" t="str">
            <v>Ankazobe</v>
          </cell>
          <cell r="L76" t="str">
            <v>Amboropotsy Talatamaty</v>
          </cell>
          <cell r="M76">
            <v>42283</v>
          </cell>
          <cell r="N76">
            <v>42283</v>
          </cell>
          <cell r="O76" t="str">
            <v>Stratifieur</v>
          </cell>
          <cell r="P76" t="str">
            <v>M1</v>
          </cell>
          <cell r="R76" t="str">
            <v>CDD</v>
          </cell>
        </row>
        <row r="77">
          <cell r="B77" t="str">
            <v>T237</v>
          </cell>
          <cell r="C77" t="str">
            <v>RANDRIANANTENAINA Toky Elysé</v>
          </cell>
          <cell r="D77">
            <v>133100</v>
          </cell>
          <cell r="E77" t="str">
            <v>M</v>
          </cell>
          <cell r="F77" t="str">
            <v>99999999</v>
          </cell>
          <cell r="G77">
            <v>34936</v>
          </cell>
          <cell r="H77" t="str">
            <v>Antanety Bemasoandro</v>
          </cell>
          <cell r="I77">
            <v>117071020440</v>
          </cell>
          <cell r="J77">
            <v>41879</v>
          </cell>
          <cell r="K77" t="str">
            <v>Bemasoandro</v>
          </cell>
          <cell r="L77" t="str">
            <v>Lot IPT 123 Antanety Bemasoandro</v>
          </cell>
          <cell r="M77">
            <v>42284</v>
          </cell>
          <cell r="N77">
            <v>42284</v>
          </cell>
          <cell r="O77" t="str">
            <v>Stratifieur</v>
          </cell>
          <cell r="P77" t="str">
            <v>M1</v>
          </cell>
          <cell r="R77" t="str">
            <v>CDD</v>
          </cell>
        </row>
        <row r="78">
          <cell r="B78" t="str">
            <v>T238</v>
          </cell>
          <cell r="C78" t="str">
            <v>RANDRIANANDRASANA Miora Lantoniaina Fabien</v>
          </cell>
          <cell r="D78">
            <v>133100</v>
          </cell>
          <cell r="E78" t="str">
            <v>M</v>
          </cell>
          <cell r="F78" t="str">
            <v>99999999</v>
          </cell>
          <cell r="G78">
            <v>33926</v>
          </cell>
          <cell r="H78" t="str">
            <v>Toamasina I</v>
          </cell>
          <cell r="I78">
            <v>103051014219</v>
          </cell>
          <cell r="J78">
            <v>40812</v>
          </cell>
          <cell r="K78" t="str">
            <v>Ambohidratrimo</v>
          </cell>
          <cell r="L78" t="str">
            <v>Lot Près 137C Amboropotsy Talatamaty</v>
          </cell>
          <cell r="M78">
            <v>42289</v>
          </cell>
          <cell r="N78">
            <v>42289</v>
          </cell>
          <cell r="O78" t="str">
            <v>Stratifieur</v>
          </cell>
          <cell r="P78" t="str">
            <v>M1</v>
          </cell>
          <cell r="R78" t="str">
            <v>CDD</v>
          </cell>
        </row>
        <row r="79">
          <cell r="B79" t="str">
            <v>T239</v>
          </cell>
          <cell r="C79" t="str">
            <v>PIRET Alcide Jean Ianna Mahefa</v>
          </cell>
          <cell r="D79">
            <v>133100</v>
          </cell>
          <cell r="E79" t="str">
            <v>M</v>
          </cell>
          <cell r="F79" t="str">
            <v>99999999</v>
          </cell>
          <cell r="G79">
            <v>28146</v>
          </cell>
          <cell r="H79" t="str">
            <v>Ankazomanga</v>
          </cell>
          <cell r="I79">
            <v>101211229123</v>
          </cell>
          <cell r="J79">
            <v>42072</v>
          </cell>
          <cell r="K79" t="str">
            <v>Antananarivo I</v>
          </cell>
          <cell r="L79" t="str">
            <v>Lot IVL 137 Andohatapenaka II</v>
          </cell>
          <cell r="M79">
            <v>42289</v>
          </cell>
          <cell r="N79">
            <v>42289</v>
          </cell>
          <cell r="O79" t="str">
            <v>Stratifieur</v>
          </cell>
          <cell r="P79" t="str">
            <v>M1</v>
          </cell>
          <cell r="R79" t="str">
            <v>CDD</v>
          </cell>
        </row>
        <row r="80">
          <cell r="B80" t="str">
            <v>T240</v>
          </cell>
          <cell r="C80" t="str">
            <v>RAFANOMEZANTSOA Andrianiaina</v>
          </cell>
          <cell r="D80">
            <v>134600</v>
          </cell>
          <cell r="E80" t="str">
            <v>M</v>
          </cell>
          <cell r="F80" t="str">
            <v>99999999</v>
          </cell>
          <cell r="G80">
            <v>33934</v>
          </cell>
          <cell r="H80" t="str">
            <v>Befelatanana</v>
          </cell>
          <cell r="I80">
            <v>117051011537</v>
          </cell>
          <cell r="L80" t="str">
            <v>Lot IAE 64 A Ambodiapanga</v>
          </cell>
          <cell r="M80">
            <v>42289</v>
          </cell>
          <cell r="N80">
            <v>42289</v>
          </cell>
          <cell r="O80" t="str">
            <v>Stratifieur</v>
          </cell>
          <cell r="P80" t="str">
            <v>M1</v>
          </cell>
          <cell r="R80" t="str">
            <v>CDD</v>
          </cell>
        </row>
        <row r="81">
          <cell r="B81" t="str">
            <v>T241</v>
          </cell>
          <cell r="C81" t="str">
            <v>RASOLOFOMANANA Daniel</v>
          </cell>
          <cell r="D81">
            <v>133100</v>
          </cell>
          <cell r="E81" t="str">
            <v>M</v>
          </cell>
          <cell r="F81" t="str">
            <v>99999999</v>
          </cell>
          <cell r="G81">
            <v>33616</v>
          </cell>
          <cell r="H81" t="str">
            <v>Andranomena</v>
          </cell>
          <cell r="I81">
            <v>101981083899</v>
          </cell>
          <cell r="J81">
            <v>40225</v>
          </cell>
          <cell r="K81" t="str">
            <v>Antananarivo V</v>
          </cell>
          <cell r="L81" t="str">
            <v>Lot III G bis Ambatolampy</v>
          </cell>
          <cell r="M81">
            <v>42289</v>
          </cell>
          <cell r="N81">
            <v>42289</v>
          </cell>
          <cell r="O81" t="str">
            <v>Stratifieur</v>
          </cell>
          <cell r="P81" t="str">
            <v>M1</v>
          </cell>
          <cell r="R81" t="str">
            <v>CDD</v>
          </cell>
        </row>
        <row r="82">
          <cell r="B82" t="str">
            <v>T242</v>
          </cell>
          <cell r="C82" t="str">
            <v>RAMANAMAHENINA Ryselle Tokinandrasana Njarasoa</v>
          </cell>
          <cell r="D82">
            <v>133100</v>
          </cell>
          <cell r="E82" t="str">
            <v>M</v>
          </cell>
          <cell r="F82" t="str">
            <v>99999999</v>
          </cell>
          <cell r="G82">
            <v>32798</v>
          </cell>
          <cell r="H82" t="str">
            <v>Ambatomandondona Ambohitrimanjaka</v>
          </cell>
          <cell r="I82">
            <v>103131011151</v>
          </cell>
          <cell r="J82">
            <v>39463</v>
          </cell>
          <cell r="K82" t="str">
            <v>Ambohidratrimo</v>
          </cell>
          <cell r="L82" t="str">
            <v>Lot ATS 36/I Antsahavolo</v>
          </cell>
          <cell r="M82">
            <v>42289</v>
          </cell>
          <cell r="N82">
            <v>42289</v>
          </cell>
          <cell r="O82" t="str">
            <v>Stratifieur</v>
          </cell>
          <cell r="P82" t="str">
            <v>M1</v>
          </cell>
          <cell r="R82" t="str">
            <v>CDD</v>
          </cell>
        </row>
        <row r="83">
          <cell r="B83" t="str">
            <v>T243</v>
          </cell>
          <cell r="C83" t="str">
            <v>RAKOTOMAMONJY Jean Pierrot</v>
          </cell>
          <cell r="D83">
            <v>133100</v>
          </cell>
          <cell r="E83" t="str">
            <v>M</v>
          </cell>
          <cell r="F83" t="str">
            <v>99999999</v>
          </cell>
          <cell r="G83">
            <v>32329</v>
          </cell>
          <cell r="H83" t="str">
            <v>Andohatapenaka</v>
          </cell>
          <cell r="I83">
            <v>101211185379</v>
          </cell>
          <cell r="L83" t="str">
            <v>Lot IVL 209 bis Andohatapenaka</v>
          </cell>
          <cell r="M83">
            <v>42289</v>
          </cell>
          <cell r="N83">
            <v>42289</v>
          </cell>
          <cell r="O83" t="str">
            <v>Stratifieur</v>
          </cell>
          <cell r="P83" t="str">
            <v>M1</v>
          </cell>
          <cell r="R83" t="str">
            <v>CDD</v>
          </cell>
        </row>
        <row r="84">
          <cell r="B84" t="str">
            <v>T244</v>
          </cell>
          <cell r="C84" t="str">
            <v>RANAIVOHARISOA Tsilavina Nadé</v>
          </cell>
          <cell r="D84">
            <v>133100</v>
          </cell>
          <cell r="E84" t="str">
            <v>M</v>
          </cell>
          <cell r="F84" t="str">
            <v>99999999</v>
          </cell>
          <cell r="G84">
            <v>35500</v>
          </cell>
          <cell r="H84" t="str">
            <v>Itaosy</v>
          </cell>
          <cell r="I84">
            <v>117071021045</v>
          </cell>
          <cell r="L84" t="str">
            <v>Lot IPA 530 Ampasika anosimasina</v>
          </cell>
          <cell r="M84">
            <v>42289</v>
          </cell>
          <cell r="N84">
            <v>42289</v>
          </cell>
          <cell r="O84" t="str">
            <v>Stratifieur</v>
          </cell>
          <cell r="P84" t="str">
            <v>M1</v>
          </cell>
          <cell r="R84" t="str">
            <v>CDD</v>
          </cell>
        </row>
        <row r="85">
          <cell r="B85" t="str">
            <v>T245</v>
          </cell>
          <cell r="C85" t="str">
            <v>RAKOTONDRAMANANA Frédéric</v>
          </cell>
          <cell r="D85">
            <v>133100</v>
          </cell>
          <cell r="E85" t="str">
            <v>M</v>
          </cell>
          <cell r="F85" t="str">
            <v>99999999</v>
          </cell>
          <cell r="G85">
            <v>34256</v>
          </cell>
          <cell r="H85" t="str">
            <v>Ankazomasina</v>
          </cell>
          <cell r="I85">
            <v>103171010676</v>
          </cell>
          <cell r="J85">
            <v>40834</v>
          </cell>
          <cell r="K85" t="str">
            <v>Ambohidratrimo</v>
          </cell>
          <cell r="L85" t="str">
            <v>Lot 101 SOA K2 Soavinarivo Ivato</v>
          </cell>
          <cell r="M85">
            <v>42290</v>
          </cell>
          <cell r="N85">
            <v>42290</v>
          </cell>
          <cell r="O85" t="str">
            <v>Stratifieur</v>
          </cell>
          <cell r="P85" t="str">
            <v>M1</v>
          </cell>
          <cell r="R85" t="str">
            <v>CDD</v>
          </cell>
        </row>
        <row r="86">
          <cell r="B86" t="str">
            <v>T247</v>
          </cell>
          <cell r="C86" t="str">
            <v>RAKOTOHASIMANANA N. Avotra</v>
          </cell>
          <cell r="D86">
            <v>133100</v>
          </cell>
          <cell r="E86" t="str">
            <v>M</v>
          </cell>
          <cell r="F86" t="str">
            <v>99999999</v>
          </cell>
          <cell r="G86">
            <v>35633</v>
          </cell>
          <cell r="H86" t="str">
            <v>Andavamamba</v>
          </cell>
          <cell r="I86">
            <v>101211231519</v>
          </cell>
          <cell r="J86">
            <v>42226</v>
          </cell>
          <cell r="K86" t="str">
            <v>Antananarivo I</v>
          </cell>
          <cell r="L86" t="str">
            <v>Lot A275D Andavamamba Anjezika</v>
          </cell>
          <cell r="M86">
            <v>42327</v>
          </cell>
          <cell r="N86">
            <v>42327</v>
          </cell>
          <cell r="O86" t="str">
            <v>Stratifieur</v>
          </cell>
          <cell r="P86" t="str">
            <v>M1</v>
          </cell>
          <cell r="R86" t="str">
            <v>CDD</v>
          </cell>
        </row>
        <row r="87">
          <cell r="B87" t="str">
            <v>T248</v>
          </cell>
          <cell r="C87" t="str">
            <v>RATOVOARISOA Mamitiana</v>
          </cell>
          <cell r="D87">
            <v>133100</v>
          </cell>
          <cell r="E87" t="str">
            <v>M</v>
          </cell>
          <cell r="F87" t="str">
            <v>99999999</v>
          </cell>
          <cell r="G87">
            <v>35490</v>
          </cell>
          <cell r="H87" t="str">
            <v>Befelatanana</v>
          </cell>
          <cell r="I87">
            <v>101211229125</v>
          </cell>
          <cell r="J87">
            <v>42072</v>
          </cell>
          <cell r="K87" t="str">
            <v>Antananarivo I</v>
          </cell>
          <cell r="L87" t="str">
            <v>Lot IIIX182 Andavamamba Anatihazo</v>
          </cell>
          <cell r="M87">
            <v>42327</v>
          </cell>
          <cell r="N87">
            <v>42327</v>
          </cell>
          <cell r="O87" t="str">
            <v>Stratifieur</v>
          </cell>
          <cell r="P87" t="str">
            <v>M1</v>
          </cell>
          <cell r="R87" t="str">
            <v>CDD</v>
          </cell>
        </row>
        <row r="88">
          <cell r="B88" t="str">
            <v>T249</v>
          </cell>
          <cell r="C88" t="str">
            <v>RAKOTONIRINA Nomenjanahary Feno</v>
          </cell>
          <cell r="D88">
            <v>133100</v>
          </cell>
          <cell r="E88" t="str">
            <v>M</v>
          </cell>
          <cell r="F88" t="str">
            <v>99999999</v>
          </cell>
          <cell r="G88">
            <v>34333</v>
          </cell>
          <cell r="H88" t="str">
            <v>Madera Tana</v>
          </cell>
          <cell r="I88">
            <v>101241160879</v>
          </cell>
          <cell r="J88">
            <v>41204</v>
          </cell>
          <cell r="K88" t="str">
            <v>Antananarivo IV</v>
          </cell>
          <cell r="L88" t="str">
            <v>Lot 305bis Madera Namontana</v>
          </cell>
          <cell r="M88">
            <v>42327</v>
          </cell>
          <cell r="N88">
            <v>42327</v>
          </cell>
          <cell r="O88" t="str">
            <v>Stratifieur</v>
          </cell>
          <cell r="P88" t="str">
            <v>M1</v>
          </cell>
          <cell r="R88" t="str">
            <v>CDD</v>
          </cell>
        </row>
        <row r="89">
          <cell r="B89" t="str">
            <v>T250</v>
          </cell>
          <cell r="C89" t="str">
            <v>ANDRINIAINA Tojosoa Eric</v>
          </cell>
          <cell r="D89">
            <v>133100</v>
          </cell>
          <cell r="E89" t="str">
            <v>M</v>
          </cell>
          <cell r="F89" t="str">
            <v>99999999</v>
          </cell>
          <cell r="G89">
            <v>34283</v>
          </cell>
          <cell r="H89" t="str">
            <v>Andravoahangy</v>
          </cell>
          <cell r="I89">
            <v>101214158734</v>
          </cell>
          <cell r="J89">
            <v>41059</v>
          </cell>
          <cell r="K89" t="str">
            <v>Antananarivo IV</v>
          </cell>
          <cell r="L89" t="str">
            <v>Lot III S 308 Madera Namontana</v>
          </cell>
          <cell r="M89">
            <v>42327</v>
          </cell>
          <cell r="N89">
            <v>42327</v>
          </cell>
          <cell r="O89" t="str">
            <v>Stratifieur</v>
          </cell>
          <cell r="P89" t="str">
            <v>M1</v>
          </cell>
          <cell r="R89" t="str">
            <v>CDD</v>
          </cell>
        </row>
        <row r="90">
          <cell r="B90" t="str">
            <v>T252</v>
          </cell>
          <cell r="C90" t="str">
            <v>RANDRIANARISON Heritiana Mamitiana</v>
          </cell>
          <cell r="D90">
            <v>133100</v>
          </cell>
          <cell r="E90" t="str">
            <v>M</v>
          </cell>
          <cell r="F90" t="str">
            <v>99999999</v>
          </cell>
          <cell r="G90">
            <v>34249</v>
          </cell>
          <cell r="H90" t="str">
            <v>Soavimasoandro</v>
          </cell>
          <cell r="I90">
            <v>101215173357</v>
          </cell>
          <cell r="J90">
            <v>40870</v>
          </cell>
          <cell r="K90" t="str">
            <v>Antananarivo V</v>
          </cell>
          <cell r="L90" t="str">
            <v>Lot II K 3P JA</v>
          </cell>
          <cell r="M90">
            <v>42333</v>
          </cell>
          <cell r="N90">
            <v>42333</v>
          </cell>
          <cell r="O90" t="str">
            <v>Stratifieur</v>
          </cell>
          <cell r="P90" t="str">
            <v>M1</v>
          </cell>
          <cell r="R90" t="str">
            <v>CDD</v>
          </cell>
        </row>
        <row r="91">
          <cell r="B91" t="str">
            <v>T253</v>
          </cell>
          <cell r="C91" t="str">
            <v>RANARISON Rojo Nambinintsoa</v>
          </cell>
          <cell r="D91">
            <v>133100</v>
          </cell>
          <cell r="E91" t="str">
            <v>M</v>
          </cell>
          <cell r="F91" t="str">
            <v>99999999</v>
          </cell>
          <cell r="G91">
            <v>35441</v>
          </cell>
          <cell r="H91" t="str">
            <v>Ankatso</v>
          </cell>
          <cell r="I91">
            <v>101221117416</v>
          </cell>
          <cell r="J91">
            <v>42060</v>
          </cell>
          <cell r="K91" t="str">
            <v>Antananarivo II</v>
          </cell>
          <cell r="L91" t="str">
            <v>Lot VS21 TRH Ankatso</v>
          </cell>
          <cell r="M91">
            <v>42333</v>
          </cell>
          <cell r="N91">
            <v>42333</v>
          </cell>
          <cell r="O91" t="str">
            <v>Stratifieur</v>
          </cell>
          <cell r="P91" t="str">
            <v>M1</v>
          </cell>
          <cell r="R91" t="str">
            <v>CDD</v>
          </cell>
        </row>
        <row r="92">
          <cell r="B92" t="str">
            <v>T254</v>
          </cell>
          <cell r="C92" t="str">
            <v>RAKOTOMALALA Tolotra</v>
          </cell>
          <cell r="D92">
            <v>133100</v>
          </cell>
          <cell r="E92" t="str">
            <v>M</v>
          </cell>
          <cell r="F92" t="str">
            <v>99999999</v>
          </cell>
          <cell r="G92">
            <v>35577</v>
          </cell>
          <cell r="H92" t="str">
            <v>Befelatanana</v>
          </cell>
          <cell r="I92">
            <v>101241174366</v>
          </cell>
          <cell r="J92">
            <v>42219</v>
          </cell>
          <cell r="K92" t="str">
            <v>Antananarivo IV</v>
          </cell>
          <cell r="L92" t="str">
            <v>Lot 202 bis Manarintsoa Centre</v>
          </cell>
          <cell r="M92">
            <v>42333</v>
          </cell>
          <cell r="N92">
            <v>42333</v>
          </cell>
          <cell r="O92" t="str">
            <v>Stratifieur</v>
          </cell>
          <cell r="P92" t="str">
            <v>M1</v>
          </cell>
          <cell r="R92" t="str">
            <v>CDD</v>
          </cell>
        </row>
        <row r="93">
          <cell r="B93" t="str">
            <v>T255</v>
          </cell>
          <cell r="C93" t="str">
            <v>RASAMOELINA TAFITASOA Hanitriniala</v>
          </cell>
          <cell r="D93">
            <v>133100</v>
          </cell>
          <cell r="E93" t="str">
            <v>M</v>
          </cell>
          <cell r="F93" t="str">
            <v>99999999</v>
          </cell>
          <cell r="G93">
            <v>35205</v>
          </cell>
          <cell r="H93" t="str">
            <v>Antohomadinika</v>
          </cell>
          <cell r="I93">
            <v>101211225298</v>
          </cell>
          <cell r="J93">
            <v>41787</v>
          </cell>
          <cell r="K93" t="str">
            <v>Antananrivo I</v>
          </cell>
          <cell r="L93" t="str">
            <v>Lot IIIF 186D Antohomadinika</v>
          </cell>
          <cell r="M93">
            <v>42339</v>
          </cell>
          <cell r="N93">
            <v>42339</v>
          </cell>
          <cell r="O93" t="str">
            <v>Stratifieur</v>
          </cell>
          <cell r="P93" t="str">
            <v>M1</v>
          </cell>
          <cell r="R93" t="str">
            <v>CDD</v>
          </cell>
        </row>
        <row r="95">
          <cell r="B95" t="str">
            <v>T132</v>
          </cell>
          <cell r="C95" t="str">
            <v>RATOVOSON Holihasina Mamisoa</v>
          </cell>
          <cell r="D95">
            <v>1208762</v>
          </cell>
          <cell r="E95" t="str">
            <v>F</v>
          </cell>
          <cell r="F95" t="str">
            <v>712127000233</v>
          </cell>
          <cell r="G95">
            <v>25960</v>
          </cell>
          <cell r="H95" t="str">
            <v>Antanananarivo</v>
          </cell>
          <cell r="I95">
            <v>103052000990</v>
          </cell>
          <cell r="J95">
            <v>32555</v>
          </cell>
          <cell r="K95" t="str">
            <v>Ambohidratrimo</v>
          </cell>
          <cell r="L95" t="str">
            <v>Lot147B bis amboropotsy Talatamaty</v>
          </cell>
          <cell r="M95">
            <v>39370</v>
          </cell>
          <cell r="N95">
            <v>39370</v>
          </cell>
          <cell r="O95" t="str">
            <v>Responsable Comptable</v>
          </cell>
          <cell r="P95" t="str">
            <v>HC</v>
          </cell>
          <cell r="R95" t="str">
            <v>CDI</v>
          </cell>
        </row>
        <row r="96">
          <cell r="B96" t="str">
            <v>T133</v>
          </cell>
          <cell r="C96" t="str">
            <v>RANAIVOSON RAMANANDRAISOA Voahangy</v>
          </cell>
          <cell r="D96">
            <v>1208762</v>
          </cell>
          <cell r="E96" t="str">
            <v>F</v>
          </cell>
          <cell r="F96" t="str">
            <v>713121000211</v>
          </cell>
          <cell r="G96">
            <v>26258</v>
          </cell>
          <cell r="H96" t="str">
            <v>Toamasina</v>
          </cell>
          <cell r="I96">
            <v>103112001179</v>
          </cell>
          <cell r="J96">
            <v>36185</v>
          </cell>
          <cell r="K96" t="str">
            <v>Ambohidratrimo</v>
          </cell>
          <cell r="L96" t="str">
            <v>Lot 298MC Ivato</v>
          </cell>
          <cell r="M96">
            <v>39489</v>
          </cell>
          <cell r="N96">
            <v>39489</v>
          </cell>
          <cell r="O96" t="str">
            <v>Responsable administratif</v>
          </cell>
          <cell r="P96" t="str">
            <v>HC</v>
          </cell>
          <cell r="R96" t="str">
            <v>CDI</v>
          </cell>
        </row>
        <row r="97">
          <cell r="B97" t="str">
            <v>T162</v>
          </cell>
          <cell r="C97" t="str">
            <v>RATOVOSON Vololomiadana Voniarisoa</v>
          </cell>
          <cell r="D97">
            <v>1833762</v>
          </cell>
          <cell r="E97" t="str">
            <v>F</v>
          </cell>
          <cell r="F97" t="str">
            <v>99999999999</v>
          </cell>
          <cell r="G97">
            <v>25425</v>
          </cell>
          <cell r="H97" t="str">
            <v>Antanananarivo</v>
          </cell>
          <cell r="I97">
            <v>103052000989</v>
          </cell>
          <cell r="J97">
            <v>32555</v>
          </cell>
          <cell r="K97" t="str">
            <v>Ambohidratrimo</v>
          </cell>
          <cell r="L97" t="str">
            <v>Lot147B bis amboropotsy Talatamaty</v>
          </cell>
          <cell r="M97">
            <v>40898</v>
          </cell>
          <cell r="N97">
            <v>40898</v>
          </cell>
          <cell r="O97" t="str">
            <v>Directeur administratif et financier</v>
          </cell>
          <cell r="P97" t="str">
            <v>HC</v>
          </cell>
          <cell r="R97" t="str">
            <v>CDI</v>
          </cell>
        </row>
        <row r="100">
          <cell r="B100" t="str">
            <v>T016</v>
          </cell>
          <cell r="C100" t="str">
            <v>RAZAFINDRASATA José Gabriel</v>
          </cell>
          <cell r="D100">
            <v>300000</v>
          </cell>
          <cell r="E100" t="str">
            <v>M</v>
          </cell>
          <cell r="F100" t="str">
            <v>590628003486</v>
          </cell>
          <cell r="G100">
            <v>21729</v>
          </cell>
          <cell r="H100" t="str">
            <v>Itaosy</v>
          </cell>
          <cell r="I100">
            <v>101211065530</v>
          </cell>
          <cell r="J100">
            <v>28268</v>
          </cell>
          <cell r="K100" t="str">
            <v>Antananarivo I</v>
          </cell>
          <cell r="L100" t="str">
            <v>Lot 102 E bis Amboropotsy 102</v>
          </cell>
          <cell r="M100">
            <v>40140</v>
          </cell>
          <cell r="N100">
            <v>40140</v>
          </cell>
          <cell r="O100" t="str">
            <v>Chauffeur</v>
          </cell>
          <cell r="P100" t="str">
            <v>OS2</v>
          </cell>
          <cell r="Q100">
            <v>2</v>
          </cell>
          <cell r="R100" t="str">
            <v>CDI</v>
          </cell>
        </row>
        <row r="101">
          <cell r="B101" t="str">
            <v>T144</v>
          </cell>
          <cell r="C101" t="str">
            <v>RANDRIAMANANA Sylvin</v>
          </cell>
          <cell r="D101">
            <v>150000</v>
          </cell>
          <cell r="E101" t="str">
            <v>M</v>
          </cell>
          <cell r="F101" t="str">
            <v>890101003707</v>
          </cell>
          <cell r="G101">
            <v>32509</v>
          </cell>
          <cell r="H101" t="str">
            <v>Marohala</v>
          </cell>
          <cell r="I101">
            <v>101981076397</v>
          </cell>
          <cell r="J101">
            <v>39118</v>
          </cell>
          <cell r="K101" t="str">
            <v>Antananarivo VI</v>
          </cell>
          <cell r="L101" t="str">
            <v>Lot 210AT Amboaroy</v>
          </cell>
          <cell r="M101">
            <v>41299</v>
          </cell>
          <cell r="N101">
            <v>41299</v>
          </cell>
          <cell r="O101" t="str">
            <v>Gardien de nuit</v>
          </cell>
          <cell r="P101" t="str">
            <v>M1</v>
          </cell>
          <cell r="R101" t="str">
            <v>CDI</v>
          </cell>
        </row>
        <row r="102">
          <cell r="B102" t="str">
            <v>T155</v>
          </cell>
          <cell r="C102" t="str">
            <v>RABARIJAONA Barthélemy Jacques</v>
          </cell>
          <cell r="D102">
            <v>555081</v>
          </cell>
          <cell r="E102" t="str">
            <v>M</v>
          </cell>
          <cell r="F102" t="str">
            <v>7181030002Y</v>
          </cell>
          <cell r="G102">
            <v>26169</v>
          </cell>
          <cell r="H102" t="str">
            <v>Ambohidratrimo</v>
          </cell>
          <cell r="I102">
            <v>103051001237</v>
          </cell>
          <cell r="J102">
            <v>32667</v>
          </cell>
          <cell r="K102" t="str">
            <v>Ambohidratrimo</v>
          </cell>
          <cell r="L102" t="str">
            <v>Lot 70D bis Imerinafovoany</v>
          </cell>
          <cell r="M102">
            <v>39695</v>
          </cell>
          <cell r="N102">
            <v>39695</v>
          </cell>
          <cell r="O102" t="str">
            <v>Chauffeur</v>
          </cell>
          <cell r="P102" t="str">
            <v>OS2</v>
          </cell>
          <cell r="R102" t="str">
            <v>CDI</v>
          </cell>
        </row>
        <row r="103">
          <cell r="B103" t="str">
            <v>T156</v>
          </cell>
          <cell r="C103" t="str">
            <v>RAFARAMALALA Laurence</v>
          </cell>
          <cell r="D103">
            <v>275000</v>
          </cell>
          <cell r="E103" t="str">
            <v>F</v>
          </cell>
          <cell r="F103" t="str">
            <v>763107000718</v>
          </cell>
          <cell r="M103">
            <v>39712</v>
          </cell>
          <cell r="N103">
            <v>39712</v>
          </cell>
          <cell r="O103" t="str">
            <v>Cuisinière</v>
          </cell>
          <cell r="P103" t="str">
            <v>OS2</v>
          </cell>
          <cell r="Q103">
            <v>3</v>
          </cell>
          <cell r="R103" t="str">
            <v>CDI</v>
          </cell>
        </row>
        <row r="104">
          <cell r="B104" t="str">
            <v>T157</v>
          </cell>
          <cell r="C104" t="str">
            <v>RAMIANDRAVOLA Rondroelinjaka</v>
          </cell>
          <cell r="D104">
            <v>220000</v>
          </cell>
          <cell r="E104" t="str">
            <v>F</v>
          </cell>
          <cell r="F104" t="str">
            <v>712613000422</v>
          </cell>
          <cell r="M104">
            <v>39712</v>
          </cell>
          <cell r="N104">
            <v>39712</v>
          </cell>
          <cell r="O104" t="str">
            <v>Femme de menage</v>
          </cell>
          <cell r="P104" t="str">
            <v>M1</v>
          </cell>
          <cell r="R104" t="str">
            <v>CDI</v>
          </cell>
        </row>
        <row r="105">
          <cell r="B105" t="str">
            <v>T158</v>
          </cell>
          <cell r="C105" t="str">
            <v>RAKOTONATOANDRO Edmond</v>
          </cell>
          <cell r="D105">
            <v>165000</v>
          </cell>
          <cell r="E105" t="str">
            <v>M</v>
          </cell>
          <cell r="F105" t="str">
            <v>550504000228</v>
          </cell>
          <cell r="M105">
            <v>39712</v>
          </cell>
          <cell r="N105">
            <v>39712</v>
          </cell>
          <cell r="O105" t="str">
            <v>Gardien</v>
          </cell>
          <cell r="P105" t="str">
            <v>M1</v>
          </cell>
          <cell r="Q105">
            <v>1</v>
          </cell>
          <cell r="R105" t="str">
            <v>CDI</v>
          </cell>
        </row>
        <row r="106">
          <cell r="B106" t="str">
            <v>T159</v>
          </cell>
          <cell r="C106" t="str">
            <v>RANGITARINORO José</v>
          </cell>
          <cell r="D106">
            <v>220000</v>
          </cell>
          <cell r="E106" t="str">
            <v>M</v>
          </cell>
          <cell r="F106" t="str">
            <v>760225002962</v>
          </cell>
          <cell r="M106">
            <v>39742</v>
          </cell>
          <cell r="N106">
            <v>39742</v>
          </cell>
          <cell r="O106" t="str">
            <v>Jardinier</v>
          </cell>
          <cell r="P106" t="str">
            <v>M1</v>
          </cell>
          <cell r="Q106">
            <v>2</v>
          </cell>
          <cell r="R106" t="str">
            <v>CDI</v>
          </cell>
        </row>
        <row r="107">
          <cell r="B107" t="str">
            <v>T160</v>
          </cell>
          <cell r="C107" t="str">
            <v>MAMITIANA Pascal</v>
          </cell>
          <cell r="D107">
            <v>150000</v>
          </cell>
          <cell r="E107" t="str">
            <v>M</v>
          </cell>
          <cell r="F107" t="str">
            <v>750427003054</v>
          </cell>
          <cell r="G107">
            <v>27511</v>
          </cell>
          <cell r="H107" t="str">
            <v>Antanetibe Antehiroka</v>
          </cell>
          <cell r="I107">
            <v>103071004178</v>
          </cell>
          <cell r="J107">
            <v>35087</v>
          </cell>
          <cell r="K107" t="str">
            <v>Ambohidratrimo 105</v>
          </cell>
          <cell r="L107" t="str">
            <v>II A 56 Antalamohitra Près Antehiroka</v>
          </cell>
          <cell r="M107">
            <v>40506</v>
          </cell>
          <cell r="N107">
            <v>40506</v>
          </cell>
          <cell r="O107" t="str">
            <v>Agent de sécurité</v>
          </cell>
          <cell r="P107" t="str">
            <v>M1</v>
          </cell>
          <cell r="R107" t="str">
            <v>CDI</v>
          </cell>
        </row>
        <row r="108">
          <cell r="B108" t="str">
            <v>T187</v>
          </cell>
          <cell r="C108" t="str">
            <v>RAHARISON Herimampionona</v>
          </cell>
          <cell r="D108">
            <v>300000</v>
          </cell>
          <cell r="E108" t="str">
            <v>M</v>
          </cell>
          <cell r="F108" t="str">
            <v>99999999</v>
          </cell>
          <cell r="G108">
            <v>25673</v>
          </cell>
          <cell r="H108" t="str">
            <v>Antanety Alasora</v>
          </cell>
          <cell r="I108">
            <v>103171000507</v>
          </cell>
          <cell r="J108">
            <v>32430</v>
          </cell>
          <cell r="K108" t="str">
            <v>Ambohidratrimo</v>
          </cell>
          <cell r="L108" t="str">
            <v>Lot 79 Tanjondava</v>
          </cell>
          <cell r="M108">
            <v>41719</v>
          </cell>
          <cell r="N108">
            <v>41719</v>
          </cell>
          <cell r="O108" t="str">
            <v>Chauffeur</v>
          </cell>
          <cell r="P108" t="str">
            <v>OP2A</v>
          </cell>
          <cell r="R108" t="str">
            <v>CDD</v>
          </cell>
        </row>
        <row r="109">
          <cell r="B109" t="str">
            <v>T191</v>
          </cell>
          <cell r="C109" t="str">
            <v>RATOJONIAINA Jeannot Paul</v>
          </cell>
          <cell r="D109">
            <v>136480</v>
          </cell>
          <cell r="E109" t="str">
            <v>M</v>
          </cell>
          <cell r="F109" t="str">
            <v>99999999</v>
          </cell>
          <cell r="G109">
            <v>33963</v>
          </cell>
          <cell r="H109" t="str">
            <v>Antsampa,dranpo Ambatolampy</v>
          </cell>
          <cell r="I109">
            <v>110171009733</v>
          </cell>
          <cell r="J109">
            <v>40774</v>
          </cell>
          <cell r="K109" t="str">
            <v>Ambatolampy</v>
          </cell>
          <cell r="L109" t="str">
            <v>Lot 133ter Faralaza 105</v>
          </cell>
          <cell r="M109">
            <v>41780</v>
          </cell>
          <cell r="N109">
            <v>41780</v>
          </cell>
          <cell r="O109" t="str">
            <v>Gardien de nuit</v>
          </cell>
          <cell r="P109" t="str">
            <v>M1</v>
          </cell>
          <cell r="R109" t="str">
            <v>CDD</v>
          </cell>
        </row>
        <row r="110">
          <cell r="B110" t="str">
            <v>T193</v>
          </cell>
          <cell r="C110" t="str">
            <v>RANDRIANASOLONIRINA Jenny Angelin</v>
          </cell>
          <cell r="D110">
            <v>136480</v>
          </cell>
          <cell r="E110" t="str">
            <v>M</v>
          </cell>
          <cell r="F110" t="str">
            <v>99999999</v>
          </cell>
          <cell r="G110">
            <v>27814</v>
          </cell>
          <cell r="H110" t="str">
            <v>Befelatanana</v>
          </cell>
          <cell r="I110">
            <v>101221057601</v>
          </cell>
          <cell r="J110">
            <v>34465</v>
          </cell>
          <cell r="K110" t="str">
            <v>AntananarivoIII</v>
          </cell>
          <cell r="L110" t="str">
            <v>Lot</v>
          </cell>
          <cell r="M110">
            <v>41780</v>
          </cell>
          <cell r="N110">
            <v>41780</v>
          </cell>
          <cell r="O110" t="str">
            <v>Gardien</v>
          </cell>
          <cell r="P110" t="str">
            <v>M1</v>
          </cell>
          <cell r="R110" t="str">
            <v>CDD</v>
          </cell>
        </row>
        <row r="111">
          <cell r="B111" t="str">
            <v>T200</v>
          </cell>
          <cell r="C111" t="str">
            <v>RAMANANTENASOA Nambinintsoa</v>
          </cell>
          <cell r="D111">
            <v>230000</v>
          </cell>
          <cell r="E111" t="str">
            <v>F</v>
          </cell>
          <cell r="F111" t="str">
            <v>99999999</v>
          </cell>
          <cell r="M111">
            <v>41780</v>
          </cell>
          <cell r="N111">
            <v>41780</v>
          </cell>
          <cell r="O111" t="str">
            <v>Femme de menage</v>
          </cell>
          <cell r="P111" t="str">
            <v>M1</v>
          </cell>
          <cell r="R111" t="str">
            <v>CDI</v>
          </cell>
        </row>
        <row r="112">
          <cell r="B112" t="str">
            <v>T201</v>
          </cell>
          <cell r="C112" t="str">
            <v>TISTE</v>
          </cell>
          <cell r="D112">
            <v>136480</v>
          </cell>
          <cell r="E112" t="str">
            <v>M</v>
          </cell>
          <cell r="F112" t="str">
            <v>99999999</v>
          </cell>
          <cell r="G112">
            <v>34335</v>
          </cell>
          <cell r="H112" t="str">
            <v>Seranatsara</v>
          </cell>
          <cell r="I112">
            <v>103071017082</v>
          </cell>
          <cell r="J112">
            <v>41528</v>
          </cell>
          <cell r="K112" t="str">
            <v>Ambohidratrimo</v>
          </cell>
          <cell r="L112" t="str">
            <v>Lot 149AF Amboaroy</v>
          </cell>
          <cell r="M112">
            <v>41879</v>
          </cell>
          <cell r="N112">
            <v>41879</v>
          </cell>
          <cell r="O112" t="str">
            <v>Gardien</v>
          </cell>
          <cell r="P112" t="str">
            <v>M1</v>
          </cell>
          <cell r="R112" t="str">
            <v>CDD</v>
          </cell>
        </row>
        <row r="113">
          <cell r="B113" t="str">
            <v>T202</v>
          </cell>
          <cell r="C113" t="str">
            <v>RASOANAVALONA Sahondraniaina</v>
          </cell>
          <cell r="D113">
            <v>230000</v>
          </cell>
          <cell r="E113" t="str">
            <v>F</v>
          </cell>
          <cell r="F113" t="str">
            <v>99999999</v>
          </cell>
          <cell r="G113">
            <v>41136</v>
          </cell>
          <cell r="H113" t="str">
            <v>Befelatanana</v>
          </cell>
          <cell r="I113">
            <v>715052004395</v>
          </cell>
          <cell r="J113">
            <v>33820</v>
          </cell>
          <cell r="K113" t="str">
            <v>Antsiranana I</v>
          </cell>
          <cell r="L113" t="str">
            <v>Lot IVD7 Morafeno Sud</v>
          </cell>
          <cell r="M113">
            <v>41890</v>
          </cell>
          <cell r="N113">
            <v>41890</v>
          </cell>
          <cell r="O113" t="str">
            <v>Garde d'enfant</v>
          </cell>
          <cell r="P113" t="str">
            <v>M1</v>
          </cell>
          <cell r="R113" t="str">
            <v>CDD</v>
          </cell>
        </row>
        <row r="114">
          <cell r="B114" t="str">
            <v>T208</v>
          </cell>
          <cell r="C114" t="str">
            <v>RAVAONIRINA Jocelyne</v>
          </cell>
          <cell r="D114">
            <v>133100</v>
          </cell>
          <cell r="E114" t="str">
            <v>F</v>
          </cell>
          <cell r="F114" t="str">
            <v>99999999</v>
          </cell>
          <cell r="G114">
            <v>26232</v>
          </cell>
          <cell r="H114" t="str">
            <v>Ambohidratrimo</v>
          </cell>
          <cell r="I114">
            <v>103052002643</v>
          </cell>
          <cell r="J114">
            <v>33870</v>
          </cell>
          <cell r="K114" t="str">
            <v>Ambohidratrimo</v>
          </cell>
          <cell r="L114" t="str">
            <v>Lot MAI17 Maibahoaka Talatamaty</v>
          </cell>
          <cell r="M114">
            <v>42066</v>
          </cell>
          <cell r="N114">
            <v>42066</v>
          </cell>
          <cell r="O114" t="str">
            <v>Femme de menage</v>
          </cell>
          <cell r="P114" t="str">
            <v>M1</v>
          </cell>
          <cell r="R114" t="str">
            <v>CDI</v>
          </cell>
        </row>
        <row r="115">
          <cell r="B115" t="str">
            <v>T218</v>
          </cell>
          <cell r="C115" t="str">
            <v>ANDRIAMANATENA Lalaina Angeline</v>
          </cell>
          <cell r="D115">
            <v>133100</v>
          </cell>
          <cell r="E115" t="str">
            <v>M</v>
          </cell>
          <cell r="F115" t="str">
            <v>9999999</v>
          </cell>
          <cell r="G115">
            <v>30467</v>
          </cell>
          <cell r="H115" t="str">
            <v>Ambatofotsy</v>
          </cell>
          <cell r="I115">
            <v>101982069239</v>
          </cell>
          <cell r="J115">
            <v>37874</v>
          </cell>
          <cell r="K115" t="str">
            <v>Antananarivo VI</v>
          </cell>
          <cell r="L115" t="str">
            <v>Lot 321 AT Amboaroy</v>
          </cell>
          <cell r="M115">
            <v>42135</v>
          </cell>
          <cell r="N115">
            <v>42135</v>
          </cell>
          <cell r="O115" t="str">
            <v>Femme de menage</v>
          </cell>
          <cell r="P115" t="str">
            <v>M1</v>
          </cell>
          <cell r="R115" t="str">
            <v>CDD</v>
          </cell>
        </row>
        <row r="116">
          <cell r="B116" t="str">
            <v>T220</v>
          </cell>
          <cell r="C116" t="str">
            <v>RASOLONIAINA Honoré</v>
          </cell>
          <cell r="D116">
            <v>133100</v>
          </cell>
          <cell r="E116" t="str">
            <v>M</v>
          </cell>
          <cell r="F116" t="str">
            <v>670913003805</v>
          </cell>
          <cell r="G116">
            <v>24728</v>
          </cell>
          <cell r="H116" t="str">
            <v>Tsiroanomandidy</v>
          </cell>
          <cell r="I116">
            <v>111441006163</v>
          </cell>
          <cell r="J116">
            <v>31226</v>
          </cell>
          <cell r="K116" t="str">
            <v>Tsiroanomandidy</v>
          </cell>
          <cell r="L116" t="str">
            <v>Lot 42D Tanjondava Talatamaty</v>
          </cell>
          <cell r="M116">
            <v>42143</v>
          </cell>
          <cell r="N116">
            <v>42143</v>
          </cell>
          <cell r="O116" t="str">
            <v>Agent de sécurité</v>
          </cell>
          <cell r="P116" t="str">
            <v>M1</v>
          </cell>
          <cell r="R116" t="str">
            <v>CDD</v>
          </cell>
        </row>
        <row r="117">
          <cell r="B117" t="str">
            <v>T222</v>
          </cell>
          <cell r="C117" t="str">
            <v>RABESON Tovo Harilaza</v>
          </cell>
          <cell r="D117">
            <v>446408</v>
          </cell>
          <cell r="E117" t="str">
            <v>M</v>
          </cell>
          <cell r="F117" t="str">
            <v>840924005341</v>
          </cell>
          <cell r="G117">
            <v>30949</v>
          </cell>
          <cell r="H117" t="str">
            <v>Morafeno</v>
          </cell>
          <cell r="I117">
            <v>203011017970</v>
          </cell>
          <cell r="J117">
            <v>38114</v>
          </cell>
          <cell r="K117" t="str">
            <v>Ambositra</v>
          </cell>
          <cell r="L117" t="str">
            <v>Lot 242-I Ambohinambo Talatamaty</v>
          </cell>
          <cell r="M117">
            <v>42156</v>
          </cell>
          <cell r="N117">
            <v>42156</v>
          </cell>
          <cell r="O117" t="str">
            <v>Chauffeur</v>
          </cell>
          <cell r="P117" t="str">
            <v>OS2</v>
          </cell>
          <cell r="R117" t="str">
            <v>CDI</v>
          </cell>
        </row>
        <row r="118">
          <cell r="B118" t="str">
            <v>T223</v>
          </cell>
          <cell r="C118" t="str">
            <v>RANDRIANARISON Nico Faniry</v>
          </cell>
          <cell r="D118">
            <v>133100</v>
          </cell>
          <cell r="E118" t="str">
            <v>M</v>
          </cell>
          <cell r="F118" t="str">
            <v>850622000572</v>
          </cell>
          <cell r="G118">
            <v>31220</v>
          </cell>
          <cell r="H118" t="str">
            <v>Manjakandriana</v>
          </cell>
          <cell r="I118">
            <v>106051001931</v>
          </cell>
          <cell r="J118">
            <v>42178</v>
          </cell>
          <cell r="K118" t="str">
            <v>Manjakandriana</v>
          </cell>
          <cell r="L118" t="str">
            <v>Lot 14OB Antenetibe Antehiroka</v>
          </cell>
          <cell r="M118">
            <v>42156</v>
          </cell>
          <cell r="N118">
            <v>42156</v>
          </cell>
          <cell r="O118" t="str">
            <v>Agent de sécurité</v>
          </cell>
          <cell r="P118" t="str">
            <v>M1</v>
          </cell>
          <cell r="R118" t="str">
            <v>CDD</v>
          </cell>
        </row>
        <row r="119">
          <cell r="B119" t="str">
            <v>T226</v>
          </cell>
          <cell r="C119" t="str">
            <v>RAMAROSON Lalaina Niandrisoa</v>
          </cell>
          <cell r="D119">
            <v>255306</v>
          </cell>
          <cell r="E119" t="str">
            <v>M</v>
          </cell>
          <cell r="F119" t="str">
            <v>102031009138</v>
          </cell>
          <cell r="G119">
            <v>29343</v>
          </cell>
          <cell r="H119" t="str">
            <v>Besarety</v>
          </cell>
          <cell r="I119">
            <v>102031009138</v>
          </cell>
          <cell r="J119">
            <v>36488</v>
          </cell>
          <cell r="K119" t="str">
            <v>Ankadikely</v>
          </cell>
          <cell r="L119" t="str">
            <v>Lot 266AN Ambohipanja</v>
          </cell>
          <cell r="M119">
            <v>42258</v>
          </cell>
          <cell r="N119">
            <v>42258</v>
          </cell>
          <cell r="O119" t="str">
            <v>Chauffeur</v>
          </cell>
          <cell r="P119" t="str">
            <v>OS2</v>
          </cell>
          <cell r="R119" t="str">
            <v>CDD</v>
          </cell>
        </row>
        <row r="120">
          <cell r="R120" t="str">
            <v>CDD</v>
          </cell>
        </row>
        <row r="121">
          <cell r="C121" t="str">
            <v>TEMPORAIRES</v>
          </cell>
        </row>
        <row r="126">
          <cell r="B126">
            <v>106</v>
          </cell>
        </row>
        <row r="127">
          <cell r="B127">
            <v>1</v>
          </cell>
          <cell r="C127">
            <v>2</v>
          </cell>
          <cell r="D127">
            <v>3</v>
          </cell>
          <cell r="E127">
            <v>4</v>
          </cell>
          <cell r="F127">
            <v>5</v>
          </cell>
          <cell r="G127">
            <v>6</v>
          </cell>
          <cell r="H127">
            <v>7</v>
          </cell>
          <cell r="I127">
            <v>8</v>
          </cell>
          <cell r="J127">
            <v>9</v>
          </cell>
          <cell r="K127">
            <v>10</v>
          </cell>
          <cell r="L127">
            <v>11</v>
          </cell>
          <cell r="M127">
            <v>12</v>
          </cell>
          <cell r="N127">
            <v>13</v>
          </cell>
          <cell r="O127">
            <v>14</v>
          </cell>
          <cell r="P127">
            <v>15</v>
          </cell>
          <cell r="Q127">
            <v>16</v>
          </cell>
          <cell r="R127">
            <v>17</v>
          </cell>
        </row>
        <row r="128">
          <cell r="B128" t="str">
            <v>C: Confirmé</v>
          </cell>
        </row>
        <row r="129">
          <cell r="B129" t="str">
            <v>E: En essai</v>
          </cell>
        </row>
      </sheetData>
      <sheetData sheetId="20"/>
      <sheetData sheetId="21">
        <row r="5">
          <cell r="A5" t="str">
            <v>T001</v>
          </cell>
          <cell r="B5" t="e">
            <v>#N/A</v>
          </cell>
          <cell r="C5" t="e">
            <v>#N/A</v>
          </cell>
          <cell r="D5">
            <v>6200000</v>
          </cell>
          <cell r="E5" t="e">
            <v>#N/A</v>
          </cell>
          <cell r="G5" t="e">
            <v>#N/A</v>
          </cell>
          <cell r="I5" t="e">
            <v>#N/A</v>
          </cell>
          <cell r="K5">
            <v>0</v>
          </cell>
          <cell r="M5">
            <v>1500000</v>
          </cell>
          <cell r="N5" t="e">
            <v>#N/A</v>
          </cell>
          <cell r="O5">
            <v>790666.66666666674</v>
          </cell>
          <cell r="P5" t="e">
            <v>#N/A</v>
          </cell>
          <cell r="Q5">
            <v>2290666.666666667</v>
          </cell>
          <cell r="R5" t="e">
            <v>#N/A</v>
          </cell>
          <cell r="S5">
            <v>8490666.6666666679</v>
          </cell>
          <cell r="T5" t="e">
            <v>#N/A</v>
          </cell>
        </row>
        <row r="6">
          <cell r="A6" t="str">
            <v>T002</v>
          </cell>
          <cell r="B6" t="str">
            <v>RATSIMANDRESY Dominique Aimé</v>
          </cell>
          <cell r="C6">
            <v>380000</v>
          </cell>
          <cell r="E6">
            <v>0</v>
          </cell>
          <cell r="G6">
            <v>0</v>
          </cell>
          <cell r="I6">
            <v>0</v>
          </cell>
          <cell r="J6" t="str">
            <v>C</v>
          </cell>
          <cell r="K6">
            <v>0</v>
          </cell>
          <cell r="L6">
            <v>0</v>
          </cell>
          <cell r="N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A7" t="str">
            <v>T006</v>
          </cell>
          <cell r="B7" t="str">
            <v>TSIRINONY Dieu Donné</v>
          </cell>
          <cell r="C7">
            <v>400000</v>
          </cell>
          <cell r="E7">
            <v>0</v>
          </cell>
          <cell r="G7">
            <v>0</v>
          </cell>
          <cell r="I7">
            <v>0</v>
          </cell>
          <cell r="J7" t="str">
            <v>C</v>
          </cell>
          <cell r="K7">
            <v>0</v>
          </cell>
          <cell r="L7">
            <v>0</v>
          </cell>
          <cell r="N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T007</v>
          </cell>
          <cell r="B8" t="str">
            <v>EUGENE</v>
          </cell>
          <cell r="C8">
            <v>472000</v>
          </cell>
          <cell r="E8">
            <v>0</v>
          </cell>
          <cell r="G8">
            <v>0</v>
          </cell>
          <cell r="I8">
            <v>0</v>
          </cell>
          <cell r="J8" t="str">
            <v>C</v>
          </cell>
          <cell r="K8">
            <v>0</v>
          </cell>
          <cell r="L8">
            <v>0</v>
          </cell>
          <cell r="N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A9" t="str">
            <v>T008</v>
          </cell>
          <cell r="B9" t="str">
            <v>RAMANANA Louis de Gonzague</v>
          </cell>
          <cell r="C9">
            <v>693857</v>
          </cell>
          <cell r="E9">
            <v>0</v>
          </cell>
          <cell r="G9">
            <v>0</v>
          </cell>
          <cell r="I9">
            <v>0</v>
          </cell>
          <cell r="J9" t="str">
            <v>cadre</v>
          </cell>
          <cell r="L9">
            <v>0</v>
          </cell>
          <cell r="N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A10" t="str">
            <v>T009</v>
          </cell>
          <cell r="B10" t="str">
            <v>RAKOTOARISOA Jean Michel</v>
          </cell>
          <cell r="C10">
            <v>275000</v>
          </cell>
          <cell r="E10">
            <v>0</v>
          </cell>
          <cell r="G10">
            <v>0</v>
          </cell>
          <cell r="I10">
            <v>0</v>
          </cell>
          <cell r="J10" t="str">
            <v>C</v>
          </cell>
          <cell r="K10">
            <v>0</v>
          </cell>
          <cell r="L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</row>
        <row r="11">
          <cell r="A11" t="str">
            <v>T011</v>
          </cell>
          <cell r="B11" t="str">
            <v>RAZAFINDRAZANANY Romaine</v>
          </cell>
          <cell r="C11">
            <v>170000</v>
          </cell>
          <cell r="E11">
            <v>0</v>
          </cell>
          <cell r="G11">
            <v>0</v>
          </cell>
          <cell r="I11">
            <v>0</v>
          </cell>
          <cell r="J11" t="str">
            <v>C</v>
          </cell>
          <cell r="K11">
            <v>0</v>
          </cell>
          <cell r="L11">
            <v>0</v>
          </cell>
          <cell r="N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</row>
        <row r="12">
          <cell r="A12" t="str">
            <v>T014</v>
          </cell>
          <cell r="B12" t="str">
            <v>NOAVISON Tsimahaboa</v>
          </cell>
          <cell r="C12">
            <v>300000</v>
          </cell>
          <cell r="E12">
            <v>0</v>
          </cell>
          <cell r="G12">
            <v>0</v>
          </cell>
          <cell r="I12">
            <v>0</v>
          </cell>
          <cell r="J12" t="str">
            <v>C</v>
          </cell>
          <cell r="K12">
            <v>0</v>
          </cell>
          <cell r="L12">
            <v>0</v>
          </cell>
          <cell r="N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T016</v>
          </cell>
          <cell r="B13" t="str">
            <v>RAZAFINDRASATA José Gabriel</v>
          </cell>
          <cell r="C13">
            <v>300000</v>
          </cell>
          <cell r="E13">
            <v>0</v>
          </cell>
          <cell r="G13">
            <v>0</v>
          </cell>
          <cell r="I13">
            <v>0</v>
          </cell>
          <cell r="J13" t="str">
            <v>C</v>
          </cell>
          <cell r="K13">
            <v>0</v>
          </cell>
          <cell r="L13">
            <v>0</v>
          </cell>
          <cell r="N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T018</v>
          </cell>
          <cell r="B14" t="str">
            <v>RABASOAMALALA Fidelia</v>
          </cell>
          <cell r="C14">
            <v>170000</v>
          </cell>
          <cell r="E14">
            <v>0</v>
          </cell>
          <cell r="G14">
            <v>0</v>
          </cell>
          <cell r="I14">
            <v>0</v>
          </cell>
          <cell r="J14" t="str">
            <v>C</v>
          </cell>
          <cell r="K14">
            <v>0</v>
          </cell>
          <cell r="L14">
            <v>0</v>
          </cell>
          <cell r="N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A15" t="str">
            <v>T019</v>
          </cell>
          <cell r="B15" t="str">
            <v>FOMBEA Joeline</v>
          </cell>
          <cell r="C15">
            <v>170000</v>
          </cell>
          <cell r="E15">
            <v>0</v>
          </cell>
          <cell r="G15">
            <v>0</v>
          </cell>
          <cell r="I15">
            <v>0</v>
          </cell>
          <cell r="J15" t="str">
            <v>C</v>
          </cell>
          <cell r="K15">
            <v>0</v>
          </cell>
          <cell r="L15">
            <v>0</v>
          </cell>
          <cell r="N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A16" t="str">
            <v>T022</v>
          </cell>
          <cell r="B16" t="str">
            <v>RAZAFIMAHEFASOLO Jean Eddy</v>
          </cell>
          <cell r="C16">
            <v>380000</v>
          </cell>
          <cell r="E16">
            <v>0</v>
          </cell>
          <cell r="G16">
            <v>0</v>
          </cell>
          <cell r="I16">
            <v>0</v>
          </cell>
          <cell r="J16" t="str">
            <v>C</v>
          </cell>
          <cell r="K16">
            <v>0</v>
          </cell>
          <cell r="L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A17" t="str">
            <v>T025</v>
          </cell>
          <cell r="B17" t="str">
            <v>RAKOTOZAFY Pierre</v>
          </cell>
          <cell r="C17">
            <v>220000</v>
          </cell>
          <cell r="E17">
            <v>0</v>
          </cell>
          <cell r="G17">
            <v>0</v>
          </cell>
          <cell r="I17">
            <v>0</v>
          </cell>
          <cell r="J17" t="str">
            <v>C</v>
          </cell>
          <cell r="K17">
            <v>0</v>
          </cell>
          <cell r="L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T028</v>
          </cell>
          <cell r="B18" t="str">
            <v>RAZAFINIAINA Tolotra Franca</v>
          </cell>
          <cell r="C18">
            <v>220000</v>
          </cell>
          <cell r="E18">
            <v>0</v>
          </cell>
          <cell r="G18">
            <v>0</v>
          </cell>
          <cell r="I18">
            <v>0</v>
          </cell>
          <cell r="J18" t="str">
            <v>C</v>
          </cell>
          <cell r="K18">
            <v>0</v>
          </cell>
          <cell r="L18">
            <v>0</v>
          </cell>
          <cell r="N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T032</v>
          </cell>
          <cell r="B19" t="str">
            <v>DEHAAS Pierre Herman Joseph</v>
          </cell>
          <cell r="C19">
            <v>3200000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L19">
            <v>0</v>
          </cell>
          <cell r="M19">
            <v>1000000</v>
          </cell>
          <cell r="N19">
            <v>640000</v>
          </cell>
          <cell r="O19">
            <v>584850</v>
          </cell>
          <cell r="P19">
            <v>584850</v>
          </cell>
          <cell r="Q19">
            <v>1584850</v>
          </cell>
          <cell r="R19">
            <v>640000</v>
          </cell>
          <cell r="S19">
            <v>1584850</v>
          </cell>
          <cell r="T19">
            <v>640000</v>
          </cell>
        </row>
        <row r="20">
          <cell r="A20" t="str">
            <v>T036</v>
          </cell>
          <cell r="B20" t="str">
            <v>RAKOTONIRINA Fanomezantsoa</v>
          </cell>
          <cell r="C20">
            <v>220000</v>
          </cell>
          <cell r="E20">
            <v>0</v>
          </cell>
          <cell r="G20">
            <v>0</v>
          </cell>
          <cell r="I20">
            <v>0</v>
          </cell>
          <cell r="J20" t="str">
            <v>C</v>
          </cell>
          <cell r="K20">
            <v>0</v>
          </cell>
          <cell r="L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T050</v>
          </cell>
          <cell r="B21" t="str">
            <v>RAMANALINIRIANA Jean Victor</v>
          </cell>
          <cell r="C21">
            <v>380000</v>
          </cell>
          <cell r="E21">
            <v>0</v>
          </cell>
          <cell r="G21">
            <v>0</v>
          </cell>
          <cell r="I21">
            <v>0</v>
          </cell>
          <cell r="J21" t="str">
            <v>C</v>
          </cell>
          <cell r="K21">
            <v>0</v>
          </cell>
          <cell r="L21">
            <v>0</v>
          </cell>
          <cell r="N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A22" t="str">
            <v>T053</v>
          </cell>
          <cell r="B22" t="str">
            <v>RAMANATSOA Eddy Christ</v>
          </cell>
          <cell r="C22">
            <v>150000</v>
          </cell>
          <cell r="E22">
            <v>0</v>
          </cell>
          <cell r="G22">
            <v>0</v>
          </cell>
          <cell r="I22">
            <v>0</v>
          </cell>
          <cell r="J22" t="str">
            <v>C</v>
          </cell>
          <cell r="K22">
            <v>0</v>
          </cell>
          <cell r="L22">
            <v>0</v>
          </cell>
          <cell r="N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A23" t="str">
            <v>T057</v>
          </cell>
          <cell r="B23" t="str">
            <v>RAKOTOMALALA Jean Jacques</v>
          </cell>
          <cell r="C23">
            <v>220000</v>
          </cell>
          <cell r="E23">
            <v>0</v>
          </cell>
          <cell r="G23">
            <v>0</v>
          </cell>
          <cell r="I23">
            <v>0</v>
          </cell>
          <cell r="J23" t="str">
            <v>C</v>
          </cell>
          <cell r="K23">
            <v>0</v>
          </cell>
          <cell r="L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T062</v>
          </cell>
          <cell r="B24" t="str">
            <v>RANDRIANARISON Philippe Joseph</v>
          </cell>
          <cell r="C24">
            <v>150000</v>
          </cell>
          <cell r="E24">
            <v>0</v>
          </cell>
          <cell r="G24">
            <v>0</v>
          </cell>
          <cell r="I24">
            <v>0</v>
          </cell>
          <cell r="J24" t="str">
            <v>C</v>
          </cell>
          <cell r="K24">
            <v>0</v>
          </cell>
          <cell r="L24">
            <v>0</v>
          </cell>
          <cell r="N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A25" t="str">
            <v>T071</v>
          </cell>
          <cell r="B25" t="str">
            <v>RANDRIAMIANDRISOA Rémi</v>
          </cell>
          <cell r="C25">
            <v>220000</v>
          </cell>
          <cell r="E25">
            <v>0</v>
          </cell>
          <cell r="G25">
            <v>0</v>
          </cell>
          <cell r="I25">
            <v>0</v>
          </cell>
          <cell r="J25" t="str">
            <v>C</v>
          </cell>
          <cell r="K25">
            <v>0</v>
          </cell>
          <cell r="L25">
            <v>0</v>
          </cell>
          <cell r="N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T093</v>
          </cell>
          <cell r="B26" t="str">
            <v xml:space="preserve">RAFIDIMANANTSOA Jean Bruno </v>
          </cell>
          <cell r="C26">
            <v>220000</v>
          </cell>
          <cell r="E26">
            <v>0</v>
          </cell>
          <cell r="G26">
            <v>0</v>
          </cell>
          <cell r="I26">
            <v>0</v>
          </cell>
          <cell r="J26" t="str">
            <v>C</v>
          </cell>
          <cell r="K26">
            <v>0</v>
          </cell>
          <cell r="L26">
            <v>0</v>
          </cell>
          <cell r="N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A27" t="str">
            <v>T099</v>
          </cell>
          <cell r="B27" t="str">
            <v xml:space="preserve">RAVELONARIVO Henri Bernard </v>
          </cell>
          <cell r="C27">
            <v>165000</v>
          </cell>
          <cell r="E27">
            <v>0</v>
          </cell>
          <cell r="G27">
            <v>0</v>
          </cell>
          <cell r="I27">
            <v>0</v>
          </cell>
          <cell r="J27" t="str">
            <v>C</v>
          </cell>
          <cell r="K27">
            <v>0</v>
          </cell>
          <cell r="L27">
            <v>0</v>
          </cell>
          <cell r="N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T101</v>
          </cell>
          <cell r="B28" t="str">
            <v>RANDRIANARIMALALA Jean Jacques</v>
          </cell>
          <cell r="C28">
            <v>150000</v>
          </cell>
          <cell r="E28">
            <v>0</v>
          </cell>
          <cell r="G28">
            <v>0</v>
          </cell>
          <cell r="I28">
            <v>0</v>
          </cell>
          <cell r="J28" t="str">
            <v>C</v>
          </cell>
          <cell r="K28">
            <v>0</v>
          </cell>
          <cell r="L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T102</v>
          </cell>
          <cell r="B29" t="str">
            <v>RABEARINORO John Eddy</v>
          </cell>
          <cell r="C29">
            <v>380000</v>
          </cell>
          <cell r="E29">
            <v>0</v>
          </cell>
          <cell r="G29">
            <v>0</v>
          </cell>
          <cell r="I29">
            <v>0</v>
          </cell>
          <cell r="J29" t="str">
            <v>C</v>
          </cell>
          <cell r="K29">
            <v>0</v>
          </cell>
          <cell r="L29">
            <v>0</v>
          </cell>
          <cell r="N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</row>
        <row r="30">
          <cell r="A30" t="str">
            <v>T113</v>
          </cell>
          <cell r="B30" t="str">
            <v>ANDRIAMANDIMBINIAINA Veuvé Bayard</v>
          </cell>
          <cell r="C30">
            <v>1208762</v>
          </cell>
          <cell r="E30">
            <v>0</v>
          </cell>
          <cell r="G30">
            <v>0</v>
          </cell>
          <cell r="I30">
            <v>0</v>
          </cell>
          <cell r="J30" t="str">
            <v>Cadre</v>
          </cell>
          <cell r="L30">
            <v>0</v>
          </cell>
          <cell r="N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T114</v>
          </cell>
          <cell r="B31" t="str">
            <v>TINASOA NOMENJANAHARY Tantely</v>
          </cell>
          <cell r="C31">
            <v>170000</v>
          </cell>
          <cell r="E31">
            <v>0</v>
          </cell>
          <cell r="G31">
            <v>0</v>
          </cell>
          <cell r="I31">
            <v>0</v>
          </cell>
          <cell r="J31" t="str">
            <v>C</v>
          </cell>
          <cell r="K31">
            <v>0</v>
          </cell>
          <cell r="L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A32" t="str">
            <v>T132</v>
          </cell>
          <cell r="B32" t="str">
            <v>RATOVOSON Holihasina Mamisoa</v>
          </cell>
          <cell r="C32">
            <v>1208762</v>
          </cell>
          <cell r="E32">
            <v>0</v>
          </cell>
          <cell r="G32">
            <v>0</v>
          </cell>
          <cell r="I32">
            <v>0</v>
          </cell>
          <cell r="J32" t="str">
            <v>Cadre</v>
          </cell>
          <cell r="L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A33" t="str">
            <v>T133</v>
          </cell>
          <cell r="B33" t="str">
            <v>RANAIVOSON RAMANANDRAISOA Voahangy</v>
          </cell>
          <cell r="C33">
            <v>1208762</v>
          </cell>
          <cell r="E33">
            <v>0</v>
          </cell>
          <cell r="G33">
            <v>0</v>
          </cell>
          <cell r="I33">
            <v>0</v>
          </cell>
          <cell r="J33" t="str">
            <v>Cadre</v>
          </cell>
          <cell r="L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A34" t="str">
            <v>T134</v>
          </cell>
          <cell r="B34" t="str">
            <v>ANDRIAMANANTENA Tovonony Barison</v>
          </cell>
          <cell r="C34">
            <v>1458762</v>
          </cell>
          <cell r="E34">
            <v>0</v>
          </cell>
          <cell r="G34">
            <v>0</v>
          </cell>
          <cell r="I34">
            <v>0</v>
          </cell>
          <cell r="J34" t="str">
            <v>Cadre</v>
          </cell>
          <cell r="L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</row>
        <row r="35">
          <cell r="A35" t="str">
            <v>T135</v>
          </cell>
          <cell r="B35" t="e">
            <v>#N/A</v>
          </cell>
          <cell r="C35" t="e">
            <v>#N/A</v>
          </cell>
          <cell r="E35" t="e">
            <v>#N/A</v>
          </cell>
          <cell r="G35" t="e">
            <v>#N/A</v>
          </cell>
          <cell r="I35" t="e">
            <v>#N/A</v>
          </cell>
          <cell r="L35">
            <v>0</v>
          </cell>
          <cell r="N35" t="e">
            <v>#N/A</v>
          </cell>
          <cell r="P35" t="e">
            <v>#N/A</v>
          </cell>
          <cell r="Q35">
            <v>0</v>
          </cell>
          <cell r="R35" t="e">
            <v>#N/A</v>
          </cell>
          <cell r="S35">
            <v>0</v>
          </cell>
          <cell r="T35" t="e">
            <v>#N/A</v>
          </cell>
        </row>
        <row r="36">
          <cell r="A36" t="str">
            <v>T144</v>
          </cell>
          <cell r="B36" t="str">
            <v>RANDRIAMANANA Sylvin</v>
          </cell>
          <cell r="C36">
            <v>150000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L36">
            <v>0</v>
          </cell>
          <cell r="N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T145</v>
          </cell>
          <cell r="B37" t="e">
            <v>#N/A</v>
          </cell>
          <cell r="C37" t="e">
            <v>#N/A</v>
          </cell>
          <cell r="E37" t="e">
            <v>#N/A</v>
          </cell>
          <cell r="G37" t="e">
            <v>#N/A</v>
          </cell>
          <cell r="I37" t="e">
            <v>#N/A</v>
          </cell>
          <cell r="J37" t="str">
            <v>Cadre</v>
          </cell>
          <cell r="L37">
            <v>0</v>
          </cell>
          <cell r="N37" t="e">
            <v>#N/A</v>
          </cell>
          <cell r="P37" t="e">
            <v>#N/A</v>
          </cell>
          <cell r="Q37">
            <v>0</v>
          </cell>
          <cell r="R37" t="e">
            <v>#N/A</v>
          </cell>
          <cell r="S37">
            <v>0</v>
          </cell>
          <cell r="T37" t="e">
            <v>#N/A</v>
          </cell>
        </row>
        <row r="38">
          <cell r="A38" t="str">
            <v>T146</v>
          </cell>
          <cell r="B38" t="str">
            <v>RANDRIAMIADANA Rijaniaina</v>
          </cell>
          <cell r="C38">
            <v>956612</v>
          </cell>
          <cell r="E38">
            <v>0</v>
          </cell>
          <cell r="G38">
            <v>0</v>
          </cell>
          <cell r="I38">
            <v>0</v>
          </cell>
          <cell r="J38" t="str">
            <v>Cadre</v>
          </cell>
          <cell r="L38">
            <v>0</v>
          </cell>
          <cell r="N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T148</v>
          </cell>
          <cell r="B39" t="str">
            <v>RAKOTONDRATSARA Solofoniana Hyacinthe Jean Ferdinand</v>
          </cell>
          <cell r="C39">
            <v>380000</v>
          </cell>
          <cell r="E39">
            <v>0</v>
          </cell>
          <cell r="G39">
            <v>0</v>
          </cell>
          <cell r="I39">
            <v>0</v>
          </cell>
          <cell r="J39" t="str">
            <v>C</v>
          </cell>
          <cell r="K39">
            <v>0</v>
          </cell>
          <cell r="L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T153</v>
          </cell>
          <cell r="B40" t="str">
            <v>RAMILAVONJY Ramiandrasoa Flavien</v>
          </cell>
          <cell r="C40">
            <v>380000</v>
          </cell>
          <cell r="E40">
            <v>0</v>
          </cell>
          <cell r="G40">
            <v>0</v>
          </cell>
          <cell r="I40">
            <v>0</v>
          </cell>
          <cell r="J40" t="str">
            <v>C</v>
          </cell>
          <cell r="K40">
            <v>0</v>
          </cell>
          <cell r="L40">
            <v>0</v>
          </cell>
          <cell r="N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T154</v>
          </cell>
          <cell r="B41" t="str">
            <v>RAMAROSON Jean Christ</v>
          </cell>
          <cell r="C41">
            <v>220000</v>
          </cell>
          <cell r="E41">
            <v>0</v>
          </cell>
          <cell r="G41">
            <v>0</v>
          </cell>
          <cell r="I41">
            <v>0</v>
          </cell>
          <cell r="J41" t="str">
            <v>C</v>
          </cell>
          <cell r="K41">
            <v>0</v>
          </cell>
          <cell r="L41">
            <v>0</v>
          </cell>
          <cell r="N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T155</v>
          </cell>
          <cell r="B42" t="str">
            <v>RABARIJAONA Barthélemy Jacques</v>
          </cell>
          <cell r="C42">
            <v>555081</v>
          </cell>
          <cell r="E42">
            <v>0</v>
          </cell>
          <cell r="G42">
            <v>0</v>
          </cell>
          <cell r="I42">
            <v>0</v>
          </cell>
          <cell r="J42" t="str">
            <v>C</v>
          </cell>
          <cell r="K42">
            <v>0</v>
          </cell>
          <cell r="L42">
            <v>0</v>
          </cell>
          <cell r="N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A43" t="str">
            <v>T156</v>
          </cell>
          <cell r="B43" t="str">
            <v>RAFARAMALALA Laurence</v>
          </cell>
          <cell r="C43">
            <v>275000</v>
          </cell>
          <cell r="E43">
            <v>0</v>
          </cell>
          <cell r="G43">
            <v>0</v>
          </cell>
          <cell r="I43">
            <v>0</v>
          </cell>
          <cell r="J43" t="str">
            <v>V</v>
          </cell>
          <cell r="K43">
            <v>0</v>
          </cell>
          <cell r="L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T157</v>
          </cell>
          <cell r="B44" t="str">
            <v>RAMIANDRAVOLA Rondroelinjaka</v>
          </cell>
          <cell r="C44">
            <v>220000</v>
          </cell>
          <cell r="E44">
            <v>0</v>
          </cell>
          <cell r="G44">
            <v>0</v>
          </cell>
          <cell r="I44">
            <v>0</v>
          </cell>
          <cell r="J44" t="str">
            <v>V</v>
          </cell>
          <cell r="K44">
            <v>0</v>
          </cell>
          <cell r="L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T158</v>
          </cell>
          <cell r="B45" t="str">
            <v>RAKOTONATOANDRO Edmond</v>
          </cell>
          <cell r="C45">
            <v>165000</v>
          </cell>
          <cell r="E45">
            <v>0</v>
          </cell>
          <cell r="G45">
            <v>0</v>
          </cell>
          <cell r="I45">
            <v>0</v>
          </cell>
          <cell r="J45" t="str">
            <v>V</v>
          </cell>
          <cell r="K45">
            <v>0</v>
          </cell>
          <cell r="L45">
            <v>0</v>
          </cell>
          <cell r="N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T159</v>
          </cell>
          <cell r="B46" t="str">
            <v>RANGITARINORO José</v>
          </cell>
          <cell r="C46">
            <v>220000</v>
          </cell>
          <cell r="E46">
            <v>0</v>
          </cell>
          <cell r="G46">
            <v>0</v>
          </cell>
          <cell r="I46">
            <v>0</v>
          </cell>
          <cell r="J46" t="str">
            <v>V</v>
          </cell>
          <cell r="K46">
            <v>0</v>
          </cell>
          <cell r="L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T160</v>
          </cell>
          <cell r="B47" t="str">
            <v>MAMITIANA Pascal</v>
          </cell>
          <cell r="C47">
            <v>150000</v>
          </cell>
          <cell r="E47">
            <v>0</v>
          </cell>
          <cell r="G47">
            <v>0</v>
          </cell>
          <cell r="I47">
            <v>0</v>
          </cell>
          <cell r="J47" t="str">
            <v>C</v>
          </cell>
          <cell r="K47">
            <v>0</v>
          </cell>
          <cell r="L47">
            <v>0</v>
          </cell>
          <cell r="N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T161</v>
          </cell>
          <cell r="B48" t="str">
            <v>RANDRIAMIRADOMANANA René</v>
          </cell>
          <cell r="C48">
            <v>165000</v>
          </cell>
          <cell r="E48">
            <v>0</v>
          </cell>
          <cell r="G48">
            <v>0</v>
          </cell>
          <cell r="I48">
            <v>0</v>
          </cell>
          <cell r="J48" t="str">
            <v>C</v>
          </cell>
          <cell r="K48">
            <v>0</v>
          </cell>
          <cell r="L48">
            <v>0</v>
          </cell>
          <cell r="N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T162</v>
          </cell>
          <cell r="B49" t="str">
            <v>RATOVOSON Vololomiadana Voniarisoa</v>
          </cell>
          <cell r="C49">
            <v>1833762</v>
          </cell>
          <cell r="E49">
            <v>0</v>
          </cell>
          <cell r="G49">
            <v>0</v>
          </cell>
          <cell r="I49">
            <v>0</v>
          </cell>
          <cell r="J49" t="str">
            <v>Cadre</v>
          </cell>
          <cell r="L49">
            <v>0</v>
          </cell>
          <cell r="N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T163</v>
          </cell>
          <cell r="B50" t="str">
            <v>RAZAFINIRINA Patrick</v>
          </cell>
          <cell r="C50">
            <v>701510</v>
          </cell>
          <cell r="E50">
            <v>0</v>
          </cell>
          <cell r="G50">
            <v>0</v>
          </cell>
          <cell r="I50">
            <v>0</v>
          </cell>
          <cell r="J50" t="str">
            <v>Cadre</v>
          </cell>
          <cell r="L50">
            <v>0</v>
          </cell>
          <cell r="N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T168</v>
          </cell>
          <cell r="B51" t="str">
            <v>HUON DE KERMADEC Vincent</v>
          </cell>
          <cell r="C51">
            <v>1787501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4956982.4800000004</v>
          </cell>
          <cell r="N51">
            <v>357500.2</v>
          </cell>
          <cell r="O51">
            <v>590666.66666666674</v>
          </cell>
          <cell r="P51">
            <v>357500.2</v>
          </cell>
          <cell r="Q51">
            <v>5547649.1466666674</v>
          </cell>
          <cell r="R51">
            <v>357500.2</v>
          </cell>
          <cell r="S51">
            <v>5547649.1466666674</v>
          </cell>
          <cell r="T51">
            <v>357500.2</v>
          </cell>
        </row>
        <row r="67">
          <cell r="B67" t="str">
            <v>TOTAL</v>
          </cell>
          <cell r="C67" t="e">
            <v>#N/A</v>
          </cell>
          <cell r="D67">
            <v>6200000</v>
          </cell>
          <cell r="E67" t="e">
            <v>#N/A</v>
          </cell>
          <cell r="F67">
            <v>0</v>
          </cell>
          <cell r="G67" t="e">
            <v>#N/A</v>
          </cell>
          <cell r="H67">
            <v>0</v>
          </cell>
          <cell r="I67" t="e">
            <v>#N/A</v>
          </cell>
          <cell r="J67">
            <v>29</v>
          </cell>
          <cell r="K67">
            <v>0</v>
          </cell>
          <cell r="L67">
            <v>0</v>
          </cell>
          <cell r="M67">
            <v>2500000</v>
          </cell>
          <cell r="N67" t="e">
            <v>#N/A</v>
          </cell>
          <cell r="O67">
            <v>1375516.6666666667</v>
          </cell>
          <cell r="P67" t="e">
            <v>#N/A</v>
          </cell>
          <cell r="Q67">
            <v>3875516.666666667</v>
          </cell>
          <cell r="R67" t="e">
            <v>#N/A</v>
          </cell>
          <cell r="S67">
            <v>10075516.666666668</v>
          </cell>
          <cell r="T67" t="e">
            <v>#N/A</v>
          </cell>
        </row>
        <row r="68">
          <cell r="J68">
            <v>9</v>
          </cell>
          <cell r="K68">
            <v>468000</v>
          </cell>
        </row>
        <row r="69">
          <cell r="J69">
            <v>4</v>
          </cell>
          <cell r="K69">
            <v>0</v>
          </cell>
        </row>
      </sheetData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-0.499984740745262"/>
    <pageSetUpPr fitToPage="1"/>
  </sheetPr>
  <dimension ref="A1:BO110"/>
  <sheetViews>
    <sheetView showGridLines="0" tabSelected="1" zoomScale="75" zoomScaleNormal="75" workbookViewId="0">
      <pane xSplit="2" ySplit="1" topLeftCell="I20" activePane="bottomRight" state="frozen"/>
      <selection activeCell="B4" sqref="B4:F4"/>
      <selection pane="topRight" activeCell="B4" sqref="B4:F4"/>
      <selection pane="bottomLeft" activeCell="B4" sqref="B4:F4"/>
      <selection pane="bottomRight" activeCell="I33" sqref="I33"/>
    </sheetView>
  </sheetViews>
  <sheetFormatPr baseColWidth="10" defaultRowHeight="15"/>
  <cols>
    <col min="1" max="1" width="9.140625" style="138" bestFit="1" customWidth="1"/>
    <col min="2" max="2" width="28" style="139" customWidth="1"/>
    <col min="3" max="3" width="4.7109375" style="64" hidden="1" customWidth="1"/>
    <col min="4" max="4" width="12.5703125" style="64" hidden="1" customWidth="1"/>
    <col min="5" max="5" width="12" style="140" hidden="1" customWidth="1"/>
    <col min="6" max="6" width="9.7109375" style="140" hidden="1" customWidth="1"/>
    <col min="7" max="7" width="17" style="64" hidden="1" customWidth="1"/>
    <col min="8" max="8" width="4.7109375" style="64" hidden="1" customWidth="1"/>
    <col min="9" max="9" width="12.42578125" style="141" customWidth="1"/>
    <col min="10" max="10" width="10.28515625" style="140" hidden="1" customWidth="1"/>
    <col min="11" max="11" width="12.42578125" style="64" customWidth="1"/>
    <col min="12" max="12" width="17.85546875" style="64" bestFit="1" customWidth="1"/>
    <col min="13" max="13" width="7.42578125" style="142" hidden="1" customWidth="1"/>
    <col min="14" max="14" width="10.85546875" style="143" hidden="1" customWidth="1"/>
    <col min="15" max="15" width="9.85546875" style="143" hidden="1" customWidth="1"/>
    <col min="16" max="16" width="8.7109375" style="144" hidden="1" customWidth="1"/>
    <col min="17" max="17" width="11.140625" style="143" hidden="1" customWidth="1"/>
    <col min="18" max="18" width="6" style="144" hidden="1" customWidth="1"/>
    <col min="19" max="19" width="9.7109375" style="143" hidden="1" customWidth="1"/>
    <col min="20" max="20" width="8.28515625" style="144" hidden="1" customWidth="1"/>
    <col min="21" max="21" width="8.5703125" style="143" hidden="1" customWidth="1"/>
    <col min="22" max="22" width="8.85546875" style="144" hidden="1" customWidth="1"/>
    <col min="23" max="23" width="9.28515625" style="143" hidden="1" customWidth="1"/>
    <col min="24" max="24" width="7.7109375" style="144" hidden="1" customWidth="1"/>
    <col min="25" max="25" width="10.85546875" style="143" hidden="1" customWidth="1"/>
    <col min="26" max="26" width="13.28515625" style="143" hidden="1" customWidth="1"/>
    <col min="27" max="27" width="12.85546875" style="143" hidden="1" customWidth="1"/>
    <col min="28" max="28" width="14.42578125" style="143" hidden="1" customWidth="1"/>
    <col min="29" max="29" width="12.140625" style="143" hidden="1" customWidth="1"/>
    <col min="30" max="30" width="13.140625" style="145" hidden="1" customWidth="1"/>
    <col min="31" max="31" width="10.28515625" style="143" hidden="1" customWidth="1"/>
    <col min="32" max="32" width="12" style="143" hidden="1" customWidth="1"/>
    <col min="33" max="33" width="12.28515625" style="143" hidden="1" customWidth="1"/>
    <col min="34" max="34" width="12" style="143" hidden="1" customWidth="1"/>
    <col min="35" max="35" width="13" style="143" hidden="1" customWidth="1"/>
    <col min="36" max="36" width="17.140625" style="142" hidden="1" customWidth="1"/>
    <col min="37" max="37" width="14.42578125" style="142" hidden="1" customWidth="1"/>
    <col min="38" max="38" width="19" style="142" hidden="1" customWidth="1"/>
    <col min="39" max="39" width="14.42578125" style="146" hidden="1" customWidth="1"/>
    <col min="40" max="40" width="12" style="147" hidden="1" customWidth="1"/>
    <col min="41" max="41" width="11" style="142" hidden="1" customWidth="1"/>
    <col min="42" max="42" width="14.5703125" style="147" hidden="1" customWidth="1"/>
    <col min="43" max="44" width="14.42578125" style="147" hidden="1" customWidth="1"/>
    <col min="45" max="45" width="13.140625" style="148" hidden="1" customWidth="1"/>
    <col min="46" max="46" width="10.42578125" style="147" hidden="1" customWidth="1"/>
    <col min="47" max="47" width="13.140625" style="147" hidden="1" customWidth="1"/>
    <col min="48" max="48" width="16.28515625" style="147" hidden="1" customWidth="1"/>
    <col min="49" max="49" width="15.140625" style="147" hidden="1" customWidth="1"/>
    <col min="50" max="50" width="16" style="147" hidden="1" customWidth="1"/>
    <col min="51" max="51" width="18.85546875" style="149" hidden="1" customWidth="1"/>
    <col min="52" max="52" width="14.28515625" style="150" hidden="1" customWidth="1"/>
    <col min="53" max="53" width="18.28515625" style="147" hidden="1" customWidth="1"/>
    <col min="54" max="54" width="13.28515625" style="151" hidden="1" customWidth="1"/>
    <col min="55" max="55" width="13.7109375" style="151" hidden="1" customWidth="1"/>
    <col min="56" max="56" width="14.85546875" style="147" hidden="1" customWidth="1"/>
    <col min="57" max="57" width="15.140625" style="152" hidden="1" customWidth="1"/>
    <col min="58" max="58" width="17.28515625" style="153" hidden="1" customWidth="1"/>
    <col min="59" max="59" width="16.7109375" style="153" hidden="1" customWidth="1"/>
    <col min="60" max="60" width="14.85546875" style="154" hidden="1" customWidth="1"/>
    <col min="61" max="61" width="6.42578125" style="154" hidden="1" customWidth="1"/>
    <col min="62" max="62" width="16" style="154" hidden="1" customWidth="1"/>
    <col min="63" max="63" width="16.85546875" style="155" hidden="1" customWidth="1"/>
    <col min="64" max="64" width="17.28515625" style="155" hidden="1" customWidth="1"/>
    <col min="65" max="16384" width="11.42578125" style="64"/>
  </cols>
  <sheetData>
    <row r="1" spans="1:67" s="19" customFormat="1" ht="33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>
        <v>42359</v>
      </c>
      <c r="G1" s="3" t="s">
        <v>5</v>
      </c>
      <c r="H1" s="3" t="s">
        <v>6</v>
      </c>
      <c r="I1" s="3" t="s">
        <v>7</v>
      </c>
      <c r="J1" s="5" t="s">
        <v>8</v>
      </c>
      <c r="K1" s="3" t="s">
        <v>9</v>
      </c>
      <c r="L1" s="3" t="s">
        <v>10</v>
      </c>
      <c r="M1" s="6" t="s">
        <v>11</v>
      </c>
      <c r="N1" s="7" t="s">
        <v>12</v>
      </c>
      <c r="O1" s="7" t="s">
        <v>13</v>
      </c>
      <c r="P1" s="8" t="s">
        <v>14</v>
      </c>
      <c r="Q1" s="7" t="s">
        <v>15</v>
      </c>
      <c r="R1" s="9" t="s">
        <v>16</v>
      </c>
      <c r="S1" s="7" t="s">
        <v>17</v>
      </c>
      <c r="T1" s="8" t="s">
        <v>18</v>
      </c>
      <c r="U1" s="7" t="s">
        <v>19</v>
      </c>
      <c r="V1" s="8" t="s">
        <v>20</v>
      </c>
      <c r="W1" s="7" t="s">
        <v>21</v>
      </c>
      <c r="X1" s="8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10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6" t="s">
        <v>10</v>
      </c>
      <c r="AK1" s="6" t="s">
        <v>34</v>
      </c>
      <c r="AL1" s="6" t="s">
        <v>35</v>
      </c>
      <c r="AM1" s="11" t="s">
        <v>36</v>
      </c>
      <c r="AN1" s="12" t="s">
        <v>37</v>
      </c>
      <c r="AO1" s="6" t="s">
        <v>38</v>
      </c>
      <c r="AP1" s="7" t="s">
        <v>39</v>
      </c>
      <c r="AQ1" s="7" t="s">
        <v>40</v>
      </c>
      <c r="AR1" s="7" t="s">
        <v>41</v>
      </c>
      <c r="AS1" s="8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12" t="s">
        <v>47</v>
      </c>
      <c r="AY1" s="13" t="s">
        <v>48</v>
      </c>
      <c r="AZ1" s="14" t="s">
        <v>49</v>
      </c>
      <c r="BA1" s="12" t="s">
        <v>50</v>
      </c>
      <c r="BB1" s="15" t="s">
        <v>51</v>
      </c>
      <c r="BC1" s="15" t="s">
        <v>52</v>
      </c>
      <c r="BD1" s="12" t="s">
        <v>53</v>
      </c>
      <c r="BE1" s="7" t="s">
        <v>54</v>
      </c>
      <c r="BF1" s="16" t="s">
        <v>55</v>
      </c>
      <c r="BG1" s="16" t="s">
        <v>56</v>
      </c>
      <c r="BH1" s="17" t="s">
        <v>57</v>
      </c>
      <c r="BI1" s="17" t="s">
        <v>58</v>
      </c>
      <c r="BJ1" s="17" t="s">
        <v>59</v>
      </c>
      <c r="BK1" s="11" t="s">
        <v>60</v>
      </c>
      <c r="BL1" s="11" t="s">
        <v>61</v>
      </c>
      <c r="BM1" s="18"/>
    </row>
    <row r="2" spans="1:67" s="18" customFormat="1" ht="27.75" customHeight="1">
      <c r="A2" s="20" t="s">
        <v>62</v>
      </c>
      <c r="B2" s="21" t="s">
        <v>166</v>
      </c>
      <c r="C2" s="22"/>
      <c r="D2" s="23" t="s">
        <v>167</v>
      </c>
      <c r="E2" s="24">
        <v>40046</v>
      </c>
      <c r="F2" s="25">
        <v>42359</v>
      </c>
      <c r="G2" s="24" t="s">
        <v>168</v>
      </c>
      <c r="H2" s="26" t="s">
        <v>169</v>
      </c>
      <c r="I2" s="27">
        <v>380000</v>
      </c>
      <c r="J2" s="28">
        <v>42369</v>
      </c>
      <c r="K2" s="29">
        <v>11</v>
      </c>
      <c r="L2" s="29">
        <f t="shared" ref="L2:L30" si="0">(IF(K2&lt;30,I2*(K2)/30,I2))</f>
        <v>139333.33333333334</v>
      </c>
      <c r="M2" s="30">
        <f>IF(ISNA(VLOOKUP(A2,[1]ABSENCE!$B$5:$AK$76,35,0))=TRUE,0,VLOOKUP(A2,[1]ABSENCE!$B$5:$AK$76,35,0))</f>
        <v>0</v>
      </c>
      <c r="N2" s="31">
        <f>IF(ISNA(VLOOKUP(A2,[1]ABSENCE!$B$5:$AK$76,36,0))=TRUE,0,VLOOKUP(A2,[1]ABSENCE!$B$5:$AK$76,36,0))</f>
        <v>0</v>
      </c>
      <c r="O2" s="31">
        <f>IF(ISNA(VLOOKUP($A2,[1]HS!$B$5:$T$122,3,0))=TRUE,0,VLOOKUP($A2,[1]HS!$B$5:$T$122,3,0))</f>
        <v>2192.3498528817859</v>
      </c>
      <c r="P2" s="32"/>
      <c r="Q2" s="33"/>
      <c r="R2" s="32"/>
      <c r="S2" s="33"/>
      <c r="T2" s="32"/>
      <c r="U2" s="33"/>
      <c r="V2" s="32"/>
      <c r="W2" s="33"/>
      <c r="X2" s="32"/>
      <c r="Y2" s="33"/>
      <c r="Z2" s="34">
        <f t="shared" ref="Z2:Z65" si="1">+Q2+S2+U2+W2+Y2</f>
        <v>0</v>
      </c>
      <c r="AA2" s="31">
        <f>+VLOOKUP(A2,[1]CONGE!$A$2:$W$113,20,0)</f>
        <v>0</v>
      </c>
      <c r="AB2" s="31">
        <f>+VLOOKUP(A2,[1]CONGE!$A$2:$W$113,21,0)</f>
        <v>0</v>
      </c>
      <c r="AC2" s="31">
        <f>IF(ISNA(VLOOKUP(A2,'[1]REPAS+DEPL'!$A$6:$M$1028,13,0))=TRUE,0,VLOOKUP(A2,'[1]REPAS+DEPL'!$A$6:$M$1028,13,0))</f>
        <v>0</v>
      </c>
      <c r="AD2" s="35"/>
      <c r="AE2" s="31">
        <f>IF(ISNA(VLOOKUP(A2,[1]Préavis!$A$2:$E$98,5,0))=TRUE,0,(VLOOKUP(A2,[1]Préavis!$A$2:$E$98,5,0)))</f>
        <v>0</v>
      </c>
      <c r="AF2" s="31">
        <f>+VLOOKUP(A2,[1]CONGE!$A$2:$V$112,18,0)</f>
        <v>0</v>
      </c>
      <c r="AG2" s="31">
        <f>IF(ISNA(VLOOKUP($A2,[1]CONGE!$A$2:$S$134,19,0))=TRUE,0,VLOOKUP($A2,[1]CONGE!$A$2:$S$134,19,0))</f>
        <v>0</v>
      </c>
      <c r="AH2" s="31">
        <f>+VLOOKUP(A2,[1]CONGE!$A$2:$W$113,22,0)</f>
        <v>0</v>
      </c>
      <c r="AI2" s="31">
        <f>+VLOOKUP(A2,[1]CONGE!$A$2:$W$113,23,0)</f>
        <v>0</v>
      </c>
      <c r="AJ2" s="36">
        <f t="shared" ref="AJ2:AJ44" si="2">+L2-N2+Z2+AC2+AG2+AD2+AE2+AB2+AI2</f>
        <v>139333.33333333334</v>
      </c>
      <c r="AK2" s="31">
        <f>IF(ISNA(VLOOKUP(A2,[1]AVANTAGE!$A$5:$T$118,19,0))=TRUE,0,VLOOKUP(A2,[1]AVANTAGE!$A$5:$T$118,19,0))</f>
        <v>0</v>
      </c>
      <c r="AL2" s="31">
        <f>IF(ISNA(VLOOKUP(A2,[1]AVANTAGE!$A$5:$T$118,20,0))=TRUE,0,VLOOKUP(A2,[1]AVANTAGE!$A$5:$T$118,20,0))</f>
        <v>0</v>
      </c>
      <c r="AM2" s="37">
        <f t="shared" ref="AM2:AM27" si="3">+AJ2+AL2</f>
        <v>139333.33333333334</v>
      </c>
      <c r="AN2" s="38">
        <f t="shared" ref="AN2:AN65" si="4">IF(D2=0,0,(IF((AM2)*1%&gt;10641.07,10641.07,(AM2)*1%)))</f>
        <v>1393.3333333333335</v>
      </c>
      <c r="AO2" s="33">
        <f t="shared" ref="AO2:AO14" si="5">IF(D2=0,0,(IF((AM2)*1%&gt;10641.07,10641.07,(AM2)*1%)))</f>
        <v>1393.3333333333335</v>
      </c>
      <c r="AP2" s="38"/>
      <c r="AQ2" s="38">
        <f t="shared" ref="AQ2:AQ30" si="6">+INT((AJ2+AL2-AO2-AN2-AP2)/100)*100</f>
        <v>136500</v>
      </c>
      <c r="AR2" s="39">
        <f t="shared" ref="AR2:AR63" si="7">IF(AQ2=0,0,IF(AQ2&lt;=250000,0,(AQ2-250000)*20%))</f>
        <v>0</v>
      </c>
      <c r="AS2" s="40">
        <f>VLOOKUP(A2,'[1]Liste personnel'!$B$3:$R$187,16,0)</f>
        <v>0</v>
      </c>
      <c r="AT2" s="39">
        <f>+AS2*2000</f>
        <v>0</v>
      </c>
      <c r="AU2" s="39">
        <f>+IF(AR2=0,0,IF(AR2-AT2&lt;200,200,AR2-AT2))</f>
        <v>0</v>
      </c>
      <c r="AV2" s="39">
        <f>IF(ISNA(VLOOKUP(A2,[1]AVANCE!$A$6:$E$122,4,0))=TRUE,0,VLOOKUP(A2,[1]AVANCE!$A$6:$E$122,4,0))</f>
        <v>0</v>
      </c>
      <c r="AW2" s="39">
        <f>IF(ISNA(VLOOKUP(A2,[1]AVANCE!$A$6:$E$122,5,0))=TRUE,0,VLOOKUP(A2,[1]AVANCE!$A$6:$E$122,5,0))</f>
        <v>0</v>
      </c>
      <c r="AX2" s="39">
        <f>+AV2+AW2</f>
        <v>0</v>
      </c>
      <c r="AY2" s="35"/>
      <c r="AZ2" s="41">
        <f>+AO2+AN2+AU2+AX2+AY2</f>
        <v>2786.666666666667</v>
      </c>
      <c r="BA2" s="39">
        <f>+AJ2-AZ2</f>
        <v>136546.66666666669</v>
      </c>
      <c r="BB2" s="42"/>
      <c r="BC2" s="43"/>
      <c r="BD2" s="44">
        <f>+BA2+BB2+BC2</f>
        <v>136546.66666666669</v>
      </c>
      <c r="BE2" s="45">
        <f>IF(BD2-INT(BD2/100)*100&gt;0,INT(BD2/100)*100+100,INT(BD2/100)*100)</f>
        <v>136600</v>
      </c>
      <c r="BF2" s="46"/>
      <c r="BG2" s="46"/>
      <c r="BH2" s="47">
        <f>IF(BF2=0,0,I2/2)</f>
        <v>0</v>
      </c>
      <c r="BI2" s="47">
        <f>IF(BF2=0,0,+IF(BF2-J2&lt;30,J2-BF2,30))</f>
        <v>0</v>
      </c>
      <c r="BJ2" s="47">
        <f>+BI2*BH2/30</f>
        <v>0</v>
      </c>
      <c r="BK2" s="48">
        <f>+BD2+AX2+AY2</f>
        <v>136546.66666666669</v>
      </c>
      <c r="BL2" s="48">
        <f>+L2-N2</f>
        <v>139333.33333333334</v>
      </c>
      <c r="BN2" s="49"/>
      <c r="BO2" s="49"/>
    </row>
    <row r="3" spans="1:67" s="18" customFormat="1" ht="27.75" customHeight="1">
      <c r="A3" s="50" t="s">
        <v>63</v>
      </c>
      <c r="B3" s="51" t="s">
        <v>170</v>
      </c>
      <c r="C3" s="52"/>
      <c r="D3" s="53" t="s">
        <v>171</v>
      </c>
      <c r="E3" s="54">
        <v>40148</v>
      </c>
      <c r="F3" s="25">
        <v>42359</v>
      </c>
      <c r="G3" s="54" t="s">
        <v>172</v>
      </c>
      <c r="H3" s="55" t="s">
        <v>173</v>
      </c>
      <c r="I3" s="29">
        <v>400000</v>
      </c>
      <c r="J3" s="28">
        <v>42369</v>
      </c>
      <c r="K3" s="29">
        <v>11</v>
      </c>
      <c r="L3" s="29">
        <f t="shared" si="0"/>
        <v>146666.66666666666</v>
      </c>
      <c r="M3" s="56">
        <f>IF(ISNA(VLOOKUP(A3,[1]ABSENCE!$B$5:$AK$76,35,0))=TRUE,0,VLOOKUP(A3,[1]ABSENCE!$B$5:$AK$76,35,0))</f>
        <v>0</v>
      </c>
      <c r="N3" s="33">
        <f>IF(ISNA(VLOOKUP(A3,[1]ABSENCE!$B$5:$AK$76,36,0))=TRUE,0,VLOOKUP(A3,[1]ABSENCE!$B$5:$AK$76,36,0))</f>
        <v>0</v>
      </c>
      <c r="O3" s="31">
        <f>IF(ISNA(VLOOKUP($A3,[1]HS!$B$5:$T$122,3,0))=TRUE,0,VLOOKUP($A3,[1]HS!$B$5:$T$122,3,0))</f>
        <v>2307.7366872439852</v>
      </c>
      <c r="P3" s="32"/>
      <c r="Q3" s="33"/>
      <c r="R3" s="32"/>
      <c r="S3" s="33"/>
      <c r="T3" s="32"/>
      <c r="U3" s="33"/>
      <c r="V3" s="32"/>
      <c r="W3" s="33"/>
      <c r="X3" s="32"/>
      <c r="Y3" s="33"/>
      <c r="Z3" s="34">
        <f t="shared" si="1"/>
        <v>0</v>
      </c>
      <c r="AA3" s="31">
        <f>+VLOOKUP(A3,[1]CONGE!$A$2:$W$113,20,0)</f>
        <v>0</v>
      </c>
      <c r="AB3" s="31">
        <f>+VLOOKUP(A3,[1]CONGE!$A$2:$W$113,21,0)</f>
        <v>0</v>
      </c>
      <c r="AC3" s="33">
        <f>IF(ISNA(VLOOKUP(A3,'[1]REPAS+DEPL'!$A$6:$M$1028,13,0))=TRUE,0,VLOOKUP(A3,'[1]REPAS+DEPL'!$A$6:$M$1028,13,0))</f>
        <v>0</v>
      </c>
      <c r="AD3" s="35"/>
      <c r="AE3" s="33">
        <f>IF(ISNA(VLOOKUP(A3,[1]Préavis!$A$2:$E$98,5,0))=TRUE,0,(VLOOKUP(A3,[1]Préavis!$A$2:$E$98,5,0)))</f>
        <v>0</v>
      </c>
      <c r="AF3" s="31">
        <f>+VLOOKUP(A3,[1]CONGE!$A$2:$V$112,18,0)</f>
        <v>0</v>
      </c>
      <c r="AG3" s="33">
        <f>IF(ISNA(VLOOKUP($A3,[1]CONGE!$A$2:$S$134,19,0))=TRUE,0,VLOOKUP($A3,[1]CONGE!$A$2:$S$134,19,0))</f>
        <v>0</v>
      </c>
      <c r="AH3" s="31">
        <f>+VLOOKUP(A3,[1]CONGE!$A$2:$W$113,22,0)</f>
        <v>0</v>
      </c>
      <c r="AI3" s="31">
        <f>+VLOOKUP(A3,[1]CONGE!$A$2:$W$113,23,0)</f>
        <v>0</v>
      </c>
      <c r="AJ3" s="36">
        <f t="shared" si="2"/>
        <v>146666.66666666666</v>
      </c>
      <c r="AK3" s="33">
        <f>IF(ISNA(VLOOKUP(A3,[1]AVANTAGE!$A$5:$T$118,19,0))=TRUE,0,VLOOKUP(A3,[1]AVANTAGE!$A$5:$T$118,19,0))</f>
        <v>0</v>
      </c>
      <c r="AL3" s="33">
        <f>IF(ISNA(VLOOKUP(A3,[1]AVANTAGE!$A$5:$T$118,20,0))=TRUE,0,VLOOKUP(A3,[1]AVANTAGE!$A$5:$T$118,20,0))</f>
        <v>0</v>
      </c>
      <c r="AM3" s="37">
        <f t="shared" si="3"/>
        <v>146666.66666666666</v>
      </c>
      <c r="AN3" s="38">
        <f t="shared" si="4"/>
        <v>1466.6666666666665</v>
      </c>
      <c r="AO3" s="33">
        <f t="shared" si="5"/>
        <v>1466.6666666666665</v>
      </c>
      <c r="AP3" s="38"/>
      <c r="AQ3" s="38">
        <f t="shared" si="6"/>
        <v>143700</v>
      </c>
      <c r="AR3" s="39">
        <f t="shared" si="7"/>
        <v>0</v>
      </c>
      <c r="AS3" s="40">
        <f>VLOOKUP(A3,'[1]Liste personnel'!$B$3:$R$187,16,0)</f>
        <v>2</v>
      </c>
      <c r="AT3" s="38">
        <f t="shared" ref="AT3:AT13" si="8">+AS3*2000</f>
        <v>4000</v>
      </c>
      <c r="AU3" s="38">
        <f t="shared" ref="AU3:AU27" si="9">+IF(AR3=0,0,IF(AR3-AT3&lt;200,200,AR3-AT3))</f>
        <v>0</v>
      </c>
      <c r="AV3" s="38">
        <f>IF(ISNA(VLOOKUP(A3,[1]AVANCE!$A$6:$E$122,4,0))=TRUE,0,VLOOKUP(A3,[1]AVANCE!$A$6:$E$122,4,0))</f>
        <v>0</v>
      </c>
      <c r="AW3" s="38">
        <f>IF(ISNA(VLOOKUP(A3,[1]AVANCE!$A$6:$E$122,5,0))=TRUE,0,VLOOKUP(A3,[1]AVANCE!$A$6:$E$122,5,0))</f>
        <v>0</v>
      </c>
      <c r="AX3" s="38">
        <f t="shared" ref="AX3:AX27" si="10">+AV3+AW3</f>
        <v>0</v>
      </c>
      <c r="AY3" s="57"/>
      <c r="AZ3" s="58">
        <f t="shared" ref="AZ3:AZ30" si="11">+AO3+AN3+AU3+AX3+AY3</f>
        <v>2933.333333333333</v>
      </c>
      <c r="BA3" s="38">
        <f t="shared" ref="BA3:BA30" si="12">+AJ3-AZ3</f>
        <v>143733.33333333331</v>
      </c>
      <c r="BB3" s="42"/>
      <c r="BC3" s="43"/>
      <c r="BD3" s="59">
        <f t="shared" ref="BD3:BD27" si="13">+BA3+BB3+BC3</f>
        <v>143733.33333333331</v>
      </c>
      <c r="BE3" s="60">
        <f>IF(BD3-INT(BD3/100)*100&gt;0,INT(BD3/100)*100+100,INT(BD3/100)*100)</f>
        <v>143800</v>
      </c>
      <c r="BF3" s="61"/>
      <c r="BG3" s="61"/>
      <c r="BH3" s="62">
        <f t="shared" ref="BH3:BH44" si="14">IF(BF3=0,0,I3/2)</f>
        <v>0</v>
      </c>
      <c r="BI3" s="62">
        <f t="shared" ref="BI3:BI44" si="15">IF(BF3=0,0,+IF(BF3-J3&lt;30,J3-BF3,30))</f>
        <v>0</v>
      </c>
      <c r="BJ3" s="62">
        <f t="shared" ref="BJ3:BJ15" si="16">+BI3*BH3/30</f>
        <v>0</v>
      </c>
      <c r="BK3" s="63">
        <f t="shared" ref="BK3:BK15" si="17">+BD3+AX3+AY3</f>
        <v>143733.33333333331</v>
      </c>
      <c r="BL3" s="48">
        <f t="shared" ref="BL3:BL63" si="18">+L3-N3</f>
        <v>146666.66666666666</v>
      </c>
      <c r="BN3" s="49"/>
      <c r="BO3" s="49"/>
    </row>
    <row r="4" spans="1:67" s="18" customFormat="1" ht="27.75" customHeight="1">
      <c r="A4" s="50" t="s">
        <v>64</v>
      </c>
      <c r="B4" s="51" t="s">
        <v>174</v>
      </c>
      <c r="C4" s="52"/>
      <c r="D4" s="53" t="s">
        <v>175</v>
      </c>
      <c r="E4" s="54">
        <v>40148</v>
      </c>
      <c r="F4" s="25">
        <v>42359</v>
      </c>
      <c r="G4" s="54" t="s">
        <v>172</v>
      </c>
      <c r="H4" s="55" t="s">
        <v>173</v>
      </c>
      <c r="I4" s="29">
        <v>472000</v>
      </c>
      <c r="J4" s="28">
        <v>42369</v>
      </c>
      <c r="K4" s="29">
        <v>11</v>
      </c>
      <c r="L4" s="29">
        <f t="shared" si="0"/>
        <v>173066.66666666666</v>
      </c>
      <c r="M4" s="56">
        <f>IF(ISNA(VLOOKUP(A4,[1]ABSENCE!$B$5:$AK$76,35,0))=TRUE,0,VLOOKUP(A4,[1]ABSENCE!$B$5:$AK$76,35,0))</f>
        <v>0</v>
      </c>
      <c r="N4" s="33">
        <f>IF(ISNA(VLOOKUP(A4,[1]ABSENCE!$B$5:$AK$76,36,0))=TRUE,0,VLOOKUP(A4,[1]ABSENCE!$B$5:$AK$76,36,0))</f>
        <v>0</v>
      </c>
      <c r="O4" s="31">
        <f>IF(ISNA(VLOOKUP($A4,[1]HS!$B$5:$T$122,3,0))=TRUE,0,VLOOKUP($A4,[1]HS!$B$5:$T$122,3,0))</f>
        <v>2723.1292909479025</v>
      </c>
      <c r="P4" s="32"/>
      <c r="Q4" s="33"/>
      <c r="R4" s="32"/>
      <c r="S4" s="33"/>
      <c r="T4" s="32"/>
      <c r="U4" s="33"/>
      <c r="V4" s="32"/>
      <c r="W4" s="33"/>
      <c r="X4" s="32"/>
      <c r="Y4" s="33"/>
      <c r="Z4" s="34">
        <f t="shared" si="1"/>
        <v>0</v>
      </c>
      <c r="AA4" s="31">
        <f>+VLOOKUP(A4,[1]CONGE!$A$2:$W$113,20,0)</f>
        <v>0</v>
      </c>
      <c r="AB4" s="31">
        <f>+VLOOKUP(A4,[1]CONGE!$A$2:$W$113,21,0)</f>
        <v>0</v>
      </c>
      <c r="AC4" s="33">
        <f>IF(ISNA(VLOOKUP(A4,'[1]REPAS+DEPL'!$A$6:$M$1028,13,0))=TRUE,0,VLOOKUP(A4,'[1]REPAS+DEPL'!$A$6:$M$1028,13,0))</f>
        <v>0</v>
      </c>
      <c r="AD4" s="35"/>
      <c r="AE4" s="33">
        <f>IF(ISNA(VLOOKUP(A4,[1]Préavis!$A$2:$E$98,5,0))=TRUE,0,(VLOOKUP(A4,[1]Préavis!$A$2:$E$98,5,0)))</f>
        <v>0</v>
      </c>
      <c r="AF4" s="31">
        <f>+VLOOKUP(A4,[1]CONGE!$A$2:$V$112,18,0)</f>
        <v>0</v>
      </c>
      <c r="AG4" s="33">
        <f>IF(ISNA(VLOOKUP($A4,[1]CONGE!$A$2:$S$134,19,0))=TRUE,0,VLOOKUP($A4,[1]CONGE!$A$2:$S$134,19,0))</f>
        <v>0</v>
      </c>
      <c r="AH4" s="31">
        <f>+VLOOKUP(A4,[1]CONGE!$A$2:$W$113,22,0)</f>
        <v>0</v>
      </c>
      <c r="AI4" s="31">
        <f>+VLOOKUP(A4,[1]CONGE!$A$2:$W$113,23,0)</f>
        <v>0</v>
      </c>
      <c r="AJ4" s="36">
        <f t="shared" si="2"/>
        <v>173066.66666666666</v>
      </c>
      <c r="AK4" s="33">
        <f>IF(ISNA(VLOOKUP(A4,[1]AVANTAGE!$A$5:$T$118,19,0))=TRUE,0,VLOOKUP(A4,[1]AVANTAGE!$A$5:$T$118,19,0))</f>
        <v>0</v>
      </c>
      <c r="AL4" s="33">
        <f>IF(ISNA(VLOOKUP(A4,[1]AVANTAGE!$A$5:$T$118,20,0))=TRUE,0,VLOOKUP(A4,[1]AVANTAGE!$A$5:$T$118,20,0))</f>
        <v>0</v>
      </c>
      <c r="AM4" s="37">
        <f t="shared" si="3"/>
        <v>173066.66666666666</v>
      </c>
      <c r="AN4" s="38">
        <f t="shared" si="4"/>
        <v>1730.6666666666665</v>
      </c>
      <c r="AO4" s="33">
        <f t="shared" si="5"/>
        <v>1730.6666666666665</v>
      </c>
      <c r="AP4" s="38"/>
      <c r="AQ4" s="38">
        <f t="shared" si="6"/>
        <v>169600</v>
      </c>
      <c r="AR4" s="39">
        <f t="shared" si="7"/>
        <v>0</v>
      </c>
      <c r="AS4" s="40">
        <f>VLOOKUP(A4,'[1]Liste personnel'!$B$3:$R$187,16,0)</f>
        <v>2</v>
      </c>
      <c r="AT4" s="38">
        <f t="shared" si="8"/>
        <v>4000</v>
      </c>
      <c r="AU4" s="38">
        <f t="shared" si="9"/>
        <v>0</v>
      </c>
      <c r="AV4" s="38">
        <f>IF(ISNA(VLOOKUP(A4,[1]AVANCE!$A$6:$E$122,4,0))=TRUE,0,VLOOKUP(A4,[1]AVANCE!$A$6:$E$122,4,0))</f>
        <v>0</v>
      </c>
      <c r="AW4" s="38">
        <f>IF(ISNA(VLOOKUP(A4,[1]AVANCE!$A$6:$E$122,5,0))=TRUE,0,VLOOKUP(A4,[1]AVANCE!$A$6:$E$122,5,0))</f>
        <v>0</v>
      </c>
      <c r="AX4" s="38">
        <f t="shared" si="10"/>
        <v>0</v>
      </c>
      <c r="AY4" s="57"/>
      <c r="AZ4" s="58">
        <f t="shared" si="11"/>
        <v>3461.333333333333</v>
      </c>
      <c r="BA4" s="38">
        <f t="shared" si="12"/>
        <v>169605.33333333331</v>
      </c>
      <c r="BB4" s="42"/>
      <c r="BC4" s="43"/>
      <c r="BD4" s="59">
        <f t="shared" si="13"/>
        <v>169605.33333333331</v>
      </c>
      <c r="BE4" s="60">
        <f>IF(BD4-INT(BD4/100)*100&gt;0,INT(BD4/100)*100+100,INT(BD4/100)*100)</f>
        <v>169700</v>
      </c>
      <c r="BF4" s="61"/>
      <c r="BG4" s="61"/>
      <c r="BH4" s="62">
        <f t="shared" si="14"/>
        <v>0</v>
      </c>
      <c r="BI4" s="62">
        <f t="shared" si="15"/>
        <v>0</v>
      </c>
      <c r="BJ4" s="62">
        <f t="shared" si="16"/>
        <v>0</v>
      </c>
      <c r="BK4" s="63">
        <f t="shared" si="17"/>
        <v>169605.33333333331</v>
      </c>
      <c r="BL4" s="48">
        <f t="shared" si="18"/>
        <v>173066.66666666666</v>
      </c>
      <c r="BN4" s="49"/>
      <c r="BO4" s="49"/>
    </row>
    <row r="5" spans="1:67" s="18" customFormat="1" ht="27.75" customHeight="1">
      <c r="A5" s="50" t="s">
        <v>65</v>
      </c>
      <c r="B5" s="51" t="s">
        <v>176</v>
      </c>
      <c r="C5" s="52"/>
      <c r="D5" s="53" t="s">
        <v>177</v>
      </c>
      <c r="E5" s="54">
        <v>40148</v>
      </c>
      <c r="F5" s="25">
        <v>42359</v>
      </c>
      <c r="G5" s="54" t="s">
        <v>178</v>
      </c>
      <c r="H5" s="55" t="s">
        <v>179</v>
      </c>
      <c r="I5" s="29">
        <v>693857</v>
      </c>
      <c r="J5" s="28">
        <v>42369</v>
      </c>
      <c r="K5" s="29">
        <v>11</v>
      </c>
      <c r="L5" s="29">
        <f t="shared" si="0"/>
        <v>254414.23333333334</v>
      </c>
      <c r="M5" s="56">
        <f>IF(ISNA(VLOOKUP(A5,[1]ABSENCE!$B$5:$AK$76,35,0))=TRUE,0,VLOOKUP(A5,[1]ABSENCE!$B$5:$AK$76,35,0))</f>
        <v>0</v>
      </c>
      <c r="N5" s="33">
        <f>IF(ISNA(VLOOKUP(A5,[1]ABSENCE!$B$5:$AK$76,36,0))=TRUE,0,VLOOKUP(A5,[1]ABSENCE!$B$5:$AK$76,36,0))</f>
        <v>0</v>
      </c>
      <c r="O5" s="31">
        <f>IF(ISNA(VLOOKUP($A5,[1]HS!$B$5:$T$122,3,0))=TRUE,0,VLOOKUP($A5,[1]HS!$B$5:$T$122,3,0))</f>
        <v>0</v>
      </c>
      <c r="P5" s="32"/>
      <c r="Q5" s="33"/>
      <c r="R5" s="32"/>
      <c r="S5" s="33"/>
      <c r="T5" s="32"/>
      <c r="U5" s="33"/>
      <c r="V5" s="32"/>
      <c r="W5" s="33"/>
      <c r="X5" s="32"/>
      <c r="Y5" s="33"/>
      <c r="Z5" s="34">
        <f t="shared" si="1"/>
        <v>0</v>
      </c>
      <c r="AA5" s="31">
        <f>+VLOOKUP(A5,[1]CONGE!$A$2:$W$113,20,0)</f>
        <v>0</v>
      </c>
      <c r="AB5" s="31">
        <f>+VLOOKUP(A5,[1]CONGE!$A$2:$W$113,21,0)</f>
        <v>0</v>
      </c>
      <c r="AC5" s="33">
        <f>IF(ISNA(VLOOKUP(A5,'[1]REPAS+DEPL'!$A$6:$M$1028,13,0))=TRUE,0,VLOOKUP(A5,'[1]REPAS+DEPL'!$A$6:$M$1028,13,0))</f>
        <v>0</v>
      </c>
      <c r="AD5" s="35"/>
      <c r="AE5" s="33">
        <f>IF(ISNA(VLOOKUP(A5,[1]Préavis!$A$2:$E$98,5,0))=TRUE,0,(VLOOKUP(A5,[1]Préavis!$A$2:$E$98,5,0)))</f>
        <v>0</v>
      </c>
      <c r="AF5" s="31">
        <f>+VLOOKUP(A5,[1]CONGE!$A$2:$V$112,18,0)</f>
        <v>0</v>
      </c>
      <c r="AG5" s="33">
        <f>IF(ISNA(VLOOKUP($A5,[1]CONGE!$A$2:$S$134,19,0))=TRUE,0,VLOOKUP($A5,[1]CONGE!$A$2:$S$134,19,0))</f>
        <v>0</v>
      </c>
      <c r="AH5" s="31">
        <f>+VLOOKUP(A5,[1]CONGE!$A$2:$W$113,22,0)</f>
        <v>0</v>
      </c>
      <c r="AI5" s="31">
        <f>+VLOOKUP(A5,[1]CONGE!$A$2:$W$113,23,0)</f>
        <v>0</v>
      </c>
      <c r="AJ5" s="36">
        <f t="shared" si="2"/>
        <v>254414.23333333334</v>
      </c>
      <c r="AK5" s="33">
        <f>IF(ISNA(VLOOKUP(A5,[1]AVANTAGE!$A$5:$T$118,19,0))=TRUE,0,VLOOKUP(A5,[1]AVANTAGE!$A$5:$T$118,19,0))</f>
        <v>0</v>
      </c>
      <c r="AL5" s="33">
        <f>IF(ISNA(VLOOKUP(A5,[1]AVANTAGE!$A$5:$T$118,20,0))=TRUE,0,VLOOKUP(A5,[1]AVANTAGE!$A$5:$T$118,20,0))</f>
        <v>0</v>
      </c>
      <c r="AM5" s="37">
        <f t="shared" si="3"/>
        <v>254414.23333333334</v>
      </c>
      <c r="AN5" s="38">
        <f t="shared" si="4"/>
        <v>2544.1423333333332</v>
      </c>
      <c r="AO5" s="33">
        <f t="shared" si="5"/>
        <v>2544.1423333333332</v>
      </c>
      <c r="AP5" s="38"/>
      <c r="AQ5" s="38">
        <f t="shared" si="6"/>
        <v>249300</v>
      </c>
      <c r="AR5" s="39">
        <f t="shared" si="7"/>
        <v>0</v>
      </c>
      <c r="AS5" s="40">
        <f>VLOOKUP(A5,'[1]Liste personnel'!$B$3:$R$187,16,0)</f>
        <v>3</v>
      </c>
      <c r="AT5" s="38">
        <f t="shared" si="8"/>
        <v>6000</v>
      </c>
      <c r="AU5" s="38">
        <f t="shared" si="9"/>
        <v>0</v>
      </c>
      <c r="AV5" s="38">
        <f>IF(ISNA(VLOOKUP(A5,[1]AVANCE!$A$6:$E$122,4,0))=TRUE,0,VLOOKUP(A5,[1]AVANCE!$A$6:$E$122,4,0))</f>
        <v>0</v>
      </c>
      <c r="AW5" s="38">
        <f>IF(ISNA(VLOOKUP(A5,[1]AVANCE!$A$6:$E$122,5,0))=TRUE,0,VLOOKUP(A5,[1]AVANCE!$A$6:$E$122,5,0))</f>
        <v>0</v>
      </c>
      <c r="AX5" s="38">
        <f t="shared" si="10"/>
        <v>0</v>
      </c>
      <c r="AY5" s="57"/>
      <c r="AZ5" s="58">
        <f t="shared" si="11"/>
        <v>5088.2846666666665</v>
      </c>
      <c r="BA5" s="38">
        <f t="shared" si="12"/>
        <v>249325.94866666666</v>
      </c>
      <c r="BB5" s="42"/>
      <c r="BC5" s="43"/>
      <c r="BD5" s="59">
        <f t="shared" si="13"/>
        <v>249325.94866666666</v>
      </c>
      <c r="BE5" s="60">
        <f>IF(BD5-INT(BD5/100)*100&gt;0,INT(BD5/100)*100+100,INT(BD5/100)*100)</f>
        <v>249400</v>
      </c>
      <c r="BF5" s="61"/>
      <c r="BG5" s="61"/>
      <c r="BH5" s="62">
        <f t="shared" si="14"/>
        <v>0</v>
      </c>
      <c r="BI5" s="62">
        <f t="shared" si="15"/>
        <v>0</v>
      </c>
      <c r="BJ5" s="62">
        <f t="shared" si="16"/>
        <v>0</v>
      </c>
      <c r="BK5" s="63">
        <f t="shared" si="17"/>
        <v>249325.94866666666</v>
      </c>
      <c r="BL5" s="48">
        <f t="shared" si="18"/>
        <v>254414.23333333334</v>
      </c>
      <c r="BN5" s="49"/>
      <c r="BO5" s="49"/>
    </row>
    <row r="6" spans="1:67" s="18" customFormat="1" ht="27.75" customHeight="1">
      <c r="A6" s="50" t="s">
        <v>66</v>
      </c>
      <c r="B6" s="51" t="s">
        <v>180</v>
      </c>
      <c r="C6" s="52"/>
      <c r="D6" s="53" t="s">
        <v>181</v>
      </c>
      <c r="E6" s="54">
        <v>40148</v>
      </c>
      <c r="F6" s="25">
        <v>42359</v>
      </c>
      <c r="G6" s="54" t="s">
        <v>182</v>
      </c>
      <c r="H6" s="55" t="s">
        <v>183</v>
      </c>
      <c r="I6" s="29">
        <v>275000</v>
      </c>
      <c r="J6" s="28">
        <v>42369</v>
      </c>
      <c r="K6" s="29">
        <v>11</v>
      </c>
      <c r="L6" s="29">
        <f t="shared" si="0"/>
        <v>100833.33333333333</v>
      </c>
      <c r="M6" s="56">
        <f>IF(ISNA(VLOOKUP(A6,[1]ABSENCE!$B$5:$AK$76,35,0))=TRUE,0,VLOOKUP(A6,[1]ABSENCE!$B$5:$AK$76,35,0))</f>
        <v>0</v>
      </c>
      <c r="N6" s="33">
        <f>IF(ISNA(VLOOKUP(A6,[1]ABSENCE!$B$5:$AK$76,36,0))=TRUE,0,VLOOKUP(A6,[1]ABSENCE!$B$5:$AK$76,36,0))</f>
        <v>0</v>
      </c>
      <c r="O6" s="31">
        <f>IF(ISNA(VLOOKUP($A6,[1]HS!$B$5:$T$122,3,0))=TRUE,0,VLOOKUP($A6,[1]HS!$B$5:$T$122,3,0))</f>
        <v>1586.5689724802398</v>
      </c>
      <c r="P6" s="32"/>
      <c r="Q6" s="33"/>
      <c r="R6" s="32"/>
      <c r="S6" s="33"/>
      <c r="T6" s="32"/>
      <c r="U6" s="33"/>
      <c r="V6" s="32"/>
      <c r="W6" s="33"/>
      <c r="X6" s="32"/>
      <c r="Y6" s="33"/>
      <c r="Z6" s="34">
        <f t="shared" si="1"/>
        <v>0</v>
      </c>
      <c r="AA6" s="31">
        <f>+VLOOKUP(A6,[1]CONGE!$A$2:$W$113,20,0)</f>
        <v>0</v>
      </c>
      <c r="AB6" s="31">
        <f>+VLOOKUP(A6,[1]CONGE!$A$2:$W$113,21,0)</f>
        <v>0</v>
      </c>
      <c r="AC6" s="33">
        <f>IF(ISNA(VLOOKUP(A6,'[1]REPAS+DEPL'!$A$6:$M$1028,13,0))=TRUE,0,VLOOKUP(A6,'[1]REPAS+DEPL'!$A$6:$M$1028,13,0))</f>
        <v>0</v>
      </c>
      <c r="AD6" s="35"/>
      <c r="AE6" s="33">
        <f>IF(ISNA(VLOOKUP(A6,[1]Préavis!$A$2:$E$98,5,0))=TRUE,0,(VLOOKUP(A6,[1]Préavis!$A$2:$E$98,5,0)))</f>
        <v>0</v>
      </c>
      <c r="AF6" s="31">
        <f>+VLOOKUP(A6,[1]CONGE!$A$2:$V$112,18,0)</f>
        <v>0</v>
      </c>
      <c r="AG6" s="33">
        <f>IF(ISNA(VLOOKUP($A6,[1]CONGE!$A$2:$S$134,19,0))=TRUE,0,VLOOKUP($A6,[1]CONGE!$A$2:$S$134,19,0))</f>
        <v>0</v>
      </c>
      <c r="AH6" s="31">
        <f>+VLOOKUP(A6,[1]CONGE!$A$2:$W$113,22,0)</f>
        <v>0</v>
      </c>
      <c r="AI6" s="31">
        <f>+VLOOKUP(A6,[1]CONGE!$A$2:$W$113,23,0)</f>
        <v>0</v>
      </c>
      <c r="AJ6" s="36">
        <f t="shared" si="2"/>
        <v>100833.33333333333</v>
      </c>
      <c r="AK6" s="33">
        <f>IF(ISNA(VLOOKUP(A6,[1]AVANTAGE!$A$5:$T$118,19,0))=TRUE,0,VLOOKUP(A6,[1]AVANTAGE!$A$5:$T$118,19,0))</f>
        <v>0</v>
      </c>
      <c r="AL6" s="33">
        <f>IF(ISNA(VLOOKUP(A6,[1]AVANTAGE!$A$5:$T$118,20,0))=TRUE,0,VLOOKUP(A6,[1]AVANTAGE!$A$5:$T$118,20,0))</f>
        <v>0</v>
      </c>
      <c r="AM6" s="37">
        <f t="shared" si="3"/>
        <v>100833.33333333333</v>
      </c>
      <c r="AN6" s="38">
        <f t="shared" si="4"/>
        <v>1008.3333333333333</v>
      </c>
      <c r="AO6" s="33">
        <f t="shared" si="5"/>
        <v>1008.3333333333333</v>
      </c>
      <c r="AP6" s="38"/>
      <c r="AQ6" s="38">
        <f t="shared" si="6"/>
        <v>98800</v>
      </c>
      <c r="AR6" s="39">
        <f t="shared" si="7"/>
        <v>0</v>
      </c>
      <c r="AS6" s="40">
        <f>VLOOKUP(A6,'[1]Liste personnel'!$B$3:$R$187,16,0)</f>
        <v>0</v>
      </c>
      <c r="AT6" s="38">
        <f t="shared" si="8"/>
        <v>0</v>
      </c>
      <c r="AU6" s="38">
        <f t="shared" si="9"/>
        <v>0</v>
      </c>
      <c r="AV6" s="38">
        <f>IF(ISNA(VLOOKUP(A6,[1]AVANCE!$A$6:$E$122,4,0))=TRUE,0,VLOOKUP(A6,[1]AVANCE!$A$6:$E$122,4,0))</f>
        <v>0</v>
      </c>
      <c r="AW6" s="38">
        <f>IF(ISNA(VLOOKUP(A6,[1]AVANCE!$A$6:$E$122,5,0))=TRUE,0,VLOOKUP(A6,[1]AVANCE!$A$6:$E$122,5,0))</f>
        <v>0</v>
      </c>
      <c r="AX6" s="38">
        <f t="shared" si="10"/>
        <v>0</v>
      </c>
      <c r="AY6" s="57"/>
      <c r="AZ6" s="58">
        <f t="shared" si="11"/>
        <v>2016.6666666666665</v>
      </c>
      <c r="BA6" s="38">
        <f t="shared" si="12"/>
        <v>98816.666666666657</v>
      </c>
      <c r="BB6" s="42"/>
      <c r="BC6" s="43"/>
      <c r="BD6" s="59">
        <f t="shared" si="13"/>
        <v>98816.666666666657</v>
      </c>
      <c r="BE6" s="60">
        <f t="shared" ref="BE6:BE30" si="19">IF(BD6-INT(BD6/100)*100&gt;0,INT(BD6/100)*100+100,INT(BD6/100)*100)</f>
        <v>98900</v>
      </c>
      <c r="BF6" s="61"/>
      <c r="BG6" s="61"/>
      <c r="BH6" s="62">
        <f t="shared" si="14"/>
        <v>0</v>
      </c>
      <c r="BI6" s="62">
        <f t="shared" si="15"/>
        <v>0</v>
      </c>
      <c r="BJ6" s="62">
        <f t="shared" si="16"/>
        <v>0</v>
      </c>
      <c r="BK6" s="63">
        <f t="shared" si="17"/>
        <v>98816.666666666657</v>
      </c>
      <c r="BL6" s="48">
        <f t="shared" si="18"/>
        <v>100833.33333333333</v>
      </c>
      <c r="BN6" s="49"/>
      <c r="BO6" s="49"/>
    </row>
    <row r="7" spans="1:67" s="18" customFormat="1" ht="27.75" customHeight="1">
      <c r="A7" s="50" t="s">
        <v>67</v>
      </c>
      <c r="B7" s="51" t="s">
        <v>184</v>
      </c>
      <c r="C7" s="52"/>
      <c r="D7" s="53" t="s">
        <v>185</v>
      </c>
      <c r="E7" s="54">
        <v>40148</v>
      </c>
      <c r="F7" s="25">
        <v>42359</v>
      </c>
      <c r="G7" s="54" t="s">
        <v>186</v>
      </c>
      <c r="H7" s="55" t="s">
        <v>187</v>
      </c>
      <c r="I7" s="29">
        <v>170000</v>
      </c>
      <c r="J7" s="28">
        <v>42369</v>
      </c>
      <c r="K7" s="29">
        <v>11</v>
      </c>
      <c r="L7" s="29">
        <f t="shared" si="0"/>
        <v>62333.333333333336</v>
      </c>
      <c r="M7" s="56">
        <f>IF(ISNA(VLOOKUP(A7,[1]ABSENCE!$B$5:$AK$76,35,0))=TRUE,0,VLOOKUP(A7,[1]ABSENCE!$B$5:$AK$76,35,0))</f>
        <v>0</v>
      </c>
      <c r="N7" s="33">
        <f>IF(ISNA(VLOOKUP(A7,[1]ABSENCE!$B$5:$AK$76,36,0))=TRUE,0,VLOOKUP(A7,[1]ABSENCE!$B$5:$AK$76,36,0))</f>
        <v>0</v>
      </c>
      <c r="O7" s="31">
        <f>IF(ISNA(VLOOKUP($A7,[1]HS!$B$5:$T$122,3,0))=TRUE,0,VLOOKUP($A7,[1]HS!$B$5:$T$122,3,0))</f>
        <v>980.78809207869369</v>
      </c>
      <c r="P7" s="32"/>
      <c r="Q7" s="33"/>
      <c r="R7" s="32"/>
      <c r="S7" s="33"/>
      <c r="T7" s="32"/>
      <c r="U7" s="33"/>
      <c r="V7" s="32"/>
      <c r="W7" s="33"/>
      <c r="X7" s="32"/>
      <c r="Y7" s="33"/>
      <c r="Z7" s="34">
        <f t="shared" si="1"/>
        <v>0</v>
      </c>
      <c r="AA7" s="31">
        <f>+VLOOKUP(A7,[1]CONGE!$A$2:$W$113,20,0)</f>
        <v>0</v>
      </c>
      <c r="AB7" s="31">
        <f>+VLOOKUP(A7,[1]CONGE!$A$2:$W$113,21,0)</f>
        <v>0</v>
      </c>
      <c r="AC7" s="33">
        <f>IF(ISNA(VLOOKUP(A7,'[1]REPAS+DEPL'!$A$6:$M$1028,13,0))=TRUE,0,VLOOKUP(A7,'[1]REPAS+DEPL'!$A$6:$M$1028,13,0))</f>
        <v>0</v>
      </c>
      <c r="AD7" s="35"/>
      <c r="AE7" s="33">
        <f>IF(ISNA(VLOOKUP(A7,[1]Préavis!$A$2:$E$98,5,0))=TRUE,0,(VLOOKUP(A7,[1]Préavis!$A$2:$E$98,5,0)))</f>
        <v>0</v>
      </c>
      <c r="AF7" s="31">
        <f>+VLOOKUP(A7,[1]CONGE!$A$2:$V$112,18,0)</f>
        <v>0</v>
      </c>
      <c r="AG7" s="33">
        <f>IF(ISNA(VLOOKUP($A7,[1]CONGE!$A$2:$S$134,19,0))=TRUE,0,VLOOKUP($A7,[1]CONGE!$A$2:$S$134,19,0))</f>
        <v>0</v>
      </c>
      <c r="AH7" s="31">
        <f>+VLOOKUP(A7,[1]CONGE!$A$2:$W$113,22,0)</f>
        <v>0</v>
      </c>
      <c r="AI7" s="31">
        <f>+VLOOKUP(A7,[1]CONGE!$A$2:$W$113,23,0)</f>
        <v>0</v>
      </c>
      <c r="AJ7" s="36">
        <f t="shared" si="2"/>
        <v>62333.333333333336</v>
      </c>
      <c r="AK7" s="33">
        <f>IF(ISNA(VLOOKUP(A7,[1]AVANTAGE!$A$5:$T$118,19,0))=TRUE,0,VLOOKUP(A7,[1]AVANTAGE!$A$5:$T$118,19,0))</f>
        <v>0</v>
      </c>
      <c r="AL7" s="33">
        <f>IF(ISNA(VLOOKUP(A7,[1]AVANTAGE!$A$5:$T$118,20,0))=TRUE,0,VLOOKUP(A7,[1]AVANTAGE!$A$5:$T$118,20,0))</f>
        <v>0</v>
      </c>
      <c r="AM7" s="37">
        <f t="shared" si="3"/>
        <v>62333.333333333336</v>
      </c>
      <c r="AN7" s="38">
        <f t="shared" si="4"/>
        <v>623.33333333333337</v>
      </c>
      <c r="AO7" s="33">
        <f t="shared" si="5"/>
        <v>623.33333333333337</v>
      </c>
      <c r="AP7" s="38"/>
      <c r="AQ7" s="38">
        <f t="shared" si="6"/>
        <v>61000</v>
      </c>
      <c r="AR7" s="39">
        <f t="shared" si="7"/>
        <v>0</v>
      </c>
      <c r="AS7" s="40">
        <f>VLOOKUP(A7,'[1]Liste personnel'!$B$3:$R$187,16,0)</f>
        <v>0</v>
      </c>
      <c r="AT7" s="38">
        <f t="shared" si="8"/>
        <v>0</v>
      </c>
      <c r="AU7" s="38">
        <f t="shared" si="9"/>
        <v>0</v>
      </c>
      <c r="AV7" s="38">
        <f>IF(ISNA(VLOOKUP(A7,[1]AVANCE!$A$6:$E$122,4,0))=TRUE,0,VLOOKUP(A7,[1]AVANCE!$A$6:$E$122,4,0))</f>
        <v>0</v>
      </c>
      <c r="AW7" s="38">
        <f>IF(ISNA(VLOOKUP(A7,[1]AVANCE!$A$6:$E$122,5,0))=TRUE,0,VLOOKUP(A7,[1]AVANCE!$A$6:$E$122,5,0))</f>
        <v>0</v>
      </c>
      <c r="AX7" s="38">
        <f t="shared" si="10"/>
        <v>0</v>
      </c>
      <c r="AY7" s="57"/>
      <c r="AZ7" s="58">
        <f t="shared" si="11"/>
        <v>1246.6666666666667</v>
      </c>
      <c r="BA7" s="38">
        <f t="shared" si="12"/>
        <v>61086.666666666672</v>
      </c>
      <c r="BB7" s="42"/>
      <c r="BC7" s="43"/>
      <c r="BD7" s="59">
        <f t="shared" si="13"/>
        <v>61086.666666666672</v>
      </c>
      <c r="BE7" s="60">
        <f t="shared" si="19"/>
        <v>61100</v>
      </c>
      <c r="BF7" s="61"/>
      <c r="BG7" s="61"/>
      <c r="BH7" s="62">
        <f t="shared" si="14"/>
        <v>0</v>
      </c>
      <c r="BI7" s="62">
        <f t="shared" si="15"/>
        <v>0</v>
      </c>
      <c r="BJ7" s="62">
        <f t="shared" si="16"/>
        <v>0</v>
      </c>
      <c r="BK7" s="63">
        <f t="shared" si="17"/>
        <v>61086.666666666672</v>
      </c>
      <c r="BL7" s="48">
        <f t="shared" si="18"/>
        <v>62333.333333333336</v>
      </c>
      <c r="BN7" s="49"/>
      <c r="BO7" s="49"/>
    </row>
    <row r="8" spans="1:67" s="18" customFormat="1" ht="27.75" customHeight="1">
      <c r="A8" s="50" t="s">
        <v>68</v>
      </c>
      <c r="B8" s="51" t="s">
        <v>188</v>
      </c>
      <c r="C8" s="52"/>
      <c r="D8" s="53" t="s">
        <v>189</v>
      </c>
      <c r="E8" s="54">
        <v>40148</v>
      </c>
      <c r="F8" s="25">
        <v>42359</v>
      </c>
      <c r="G8" s="54" t="s">
        <v>182</v>
      </c>
      <c r="H8" s="55" t="s">
        <v>183</v>
      </c>
      <c r="I8" s="29">
        <v>300000</v>
      </c>
      <c r="J8" s="28">
        <v>42369</v>
      </c>
      <c r="K8" s="29">
        <v>11</v>
      </c>
      <c r="L8" s="29">
        <f t="shared" si="0"/>
        <v>110000</v>
      </c>
      <c r="M8" s="56">
        <f>IF(ISNA(VLOOKUP(A8,[1]ABSENCE!$B$5:$AK$76,35,0))=TRUE,0,VLOOKUP(A8,[1]ABSENCE!$B$5:$AK$76,35,0))</f>
        <v>0</v>
      </c>
      <c r="N8" s="33">
        <f>IF(ISNA(VLOOKUP(A8,[1]ABSENCE!$B$5:$AK$76,36,0))=TRUE,0,VLOOKUP(A8,[1]ABSENCE!$B$5:$AK$76,36,0))</f>
        <v>0</v>
      </c>
      <c r="O8" s="31">
        <f>IF(ISNA(VLOOKUP($A8,[1]HS!$B$5:$T$122,3,0))=TRUE,0,VLOOKUP($A8,[1]HS!$B$5:$T$122,3,0))</f>
        <v>1730.8025154329889</v>
      </c>
      <c r="P8" s="32"/>
      <c r="Q8" s="33"/>
      <c r="R8" s="32"/>
      <c r="S8" s="33"/>
      <c r="T8" s="32"/>
      <c r="U8" s="33"/>
      <c r="V8" s="32"/>
      <c r="W8" s="33"/>
      <c r="X8" s="32"/>
      <c r="Y8" s="33"/>
      <c r="Z8" s="34">
        <f t="shared" si="1"/>
        <v>0</v>
      </c>
      <c r="AA8" s="31">
        <f>+VLOOKUP(A8,[1]CONGE!$A$2:$W$113,20,0)</f>
        <v>0</v>
      </c>
      <c r="AB8" s="31">
        <f>+VLOOKUP(A8,[1]CONGE!$A$2:$W$113,21,0)</f>
        <v>0</v>
      </c>
      <c r="AC8" s="33">
        <f>IF(ISNA(VLOOKUP(A8,'[1]REPAS+DEPL'!$A$6:$M$1028,13,0))=TRUE,0,VLOOKUP(A8,'[1]REPAS+DEPL'!$A$6:$M$1028,13,0))</f>
        <v>0</v>
      </c>
      <c r="AD8" s="35"/>
      <c r="AE8" s="33">
        <f>IF(ISNA(VLOOKUP(A8,[1]Préavis!$A$2:$E$98,5,0))=TRUE,0,(VLOOKUP(A8,[1]Préavis!$A$2:$E$98,5,0)))</f>
        <v>0</v>
      </c>
      <c r="AF8" s="31">
        <f>+VLOOKUP(A8,[1]CONGE!$A$2:$V$112,18,0)</f>
        <v>0</v>
      </c>
      <c r="AG8" s="33">
        <f>IF(ISNA(VLOOKUP($A8,[1]CONGE!$A$2:$S$134,19,0))=TRUE,0,VLOOKUP($A8,[1]CONGE!$A$2:$S$134,19,0))</f>
        <v>0</v>
      </c>
      <c r="AH8" s="31">
        <f>+VLOOKUP(A8,[1]CONGE!$A$2:$W$113,22,0)</f>
        <v>0</v>
      </c>
      <c r="AI8" s="31">
        <f>+VLOOKUP(A8,[1]CONGE!$A$2:$W$113,23,0)</f>
        <v>0</v>
      </c>
      <c r="AJ8" s="36">
        <f t="shared" si="2"/>
        <v>110000</v>
      </c>
      <c r="AK8" s="33">
        <f>IF(ISNA(VLOOKUP(A8,[1]AVANTAGE!$A$5:$T$118,19,0))=TRUE,0,VLOOKUP(A8,[1]AVANTAGE!$A$5:$T$118,19,0))</f>
        <v>0</v>
      </c>
      <c r="AL8" s="33">
        <f>IF(ISNA(VLOOKUP(A8,[1]AVANTAGE!$A$5:$T$118,20,0))=TRUE,0,VLOOKUP(A8,[1]AVANTAGE!$A$5:$T$118,20,0))</f>
        <v>0</v>
      </c>
      <c r="AM8" s="37">
        <f t="shared" si="3"/>
        <v>110000</v>
      </c>
      <c r="AN8" s="38">
        <f t="shared" si="4"/>
        <v>1100</v>
      </c>
      <c r="AO8" s="33">
        <f t="shared" si="5"/>
        <v>1100</v>
      </c>
      <c r="AP8" s="38"/>
      <c r="AQ8" s="38">
        <f t="shared" si="6"/>
        <v>107800</v>
      </c>
      <c r="AR8" s="39">
        <f t="shared" si="7"/>
        <v>0</v>
      </c>
      <c r="AS8" s="40">
        <f>VLOOKUP(A8,'[1]Liste personnel'!$B$3:$R$187,16,0)</f>
        <v>3</v>
      </c>
      <c r="AT8" s="38">
        <f t="shared" si="8"/>
        <v>6000</v>
      </c>
      <c r="AU8" s="38">
        <f t="shared" si="9"/>
        <v>0</v>
      </c>
      <c r="AV8" s="38">
        <f>IF(ISNA(VLOOKUP(A8,[1]AVANCE!$A$6:$E$122,4,0))=TRUE,0,VLOOKUP(A8,[1]AVANCE!$A$6:$E$122,4,0))</f>
        <v>0</v>
      </c>
      <c r="AW8" s="38">
        <f>IF(ISNA(VLOOKUP(A8,[1]AVANCE!$A$6:$E$122,5,0))=TRUE,0,VLOOKUP(A8,[1]AVANCE!$A$6:$E$122,5,0))</f>
        <v>0</v>
      </c>
      <c r="AX8" s="38">
        <f t="shared" si="10"/>
        <v>0</v>
      </c>
      <c r="AY8" s="57"/>
      <c r="AZ8" s="58">
        <f t="shared" si="11"/>
        <v>2200</v>
      </c>
      <c r="BA8" s="38">
        <f t="shared" si="12"/>
        <v>107800</v>
      </c>
      <c r="BB8" s="42"/>
      <c r="BC8" s="43"/>
      <c r="BD8" s="59">
        <f t="shared" si="13"/>
        <v>107800</v>
      </c>
      <c r="BE8" s="60">
        <f t="shared" si="19"/>
        <v>107800</v>
      </c>
      <c r="BF8" s="61"/>
      <c r="BG8" s="61"/>
      <c r="BH8" s="62">
        <f t="shared" si="14"/>
        <v>0</v>
      </c>
      <c r="BI8" s="62">
        <f t="shared" si="15"/>
        <v>0</v>
      </c>
      <c r="BJ8" s="62">
        <f t="shared" si="16"/>
        <v>0</v>
      </c>
      <c r="BK8" s="63">
        <f t="shared" si="17"/>
        <v>107800</v>
      </c>
      <c r="BL8" s="48">
        <f t="shared" si="18"/>
        <v>110000</v>
      </c>
      <c r="BN8" s="49"/>
      <c r="BO8" s="49"/>
    </row>
    <row r="9" spans="1:67" s="18" customFormat="1" ht="27.75" customHeight="1">
      <c r="A9" s="50" t="s">
        <v>69</v>
      </c>
      <c r="B9" s="51" t="s">
        <v>190</v>
      </c>
      <c r="C9" s="52"/>
      <c r="D9" s="53" t="s">
        <v>191</v>
      </c>
      <c r="E9" s="54">
        <v>40140</v>
      </c>
      <c r="F9" s="25">
        <v>42359</v>
      </c>
      <c r="G9" s="54" t="s">
        <v>192</v>
      </c>
      <c r="H9" s="55" t="s">
        <v>169</v>
      </c>
      <c r="I9" s="29">
        <v>300000</v>
      </c>
      <c r="J9" s="28">
        <v>42369</v>
      </c>
      <c r="K9" s="29">
        <v>11</v>
      </c>
      <c r="L9" s="29">
        <f t="shared" si="0"/>
        <v>110000</v>
      </c>
      <c r="M9" s="56">
        <f>IF(ISNA(VLOOKUP(A9,[1]ABSENCE!$B$5:$AK$76,35,0))=TRUE,0,VLOOKUP(A9,[1]ABSENCE!$B$5:$AK$76,35,0))</f>
        <v>0</v>
      </c>
      <c r="N9" s="33">
        <f>IF(ISNA(VLOOKUP(A9,[1]ABSENCE!$B$5:$AK$76,36,0))=TRUE,0,VLOOKUP(A9,[1]ABSENCE!$B$5:$AK$76,36,0))</f>
        <v>0</v>
      </c>
      <c r="O9" s="31">
        <f>IF(ISNA(VLOOKUP($A9,[1]HS!$B$5:$T$122,3,0))=TRUE,0,VLOOKUP($A9,[1]HS!$B$5:$T$122,3,0))</f>
        <v>1730.8025154329889</v>
      </c>
      <c r="P9" s="32"/>
      <c r="Q9" s="33"/>
      <c r="R9" s="32"/>
      <c r="S9" s="33"/>
      <c r="T9" s="32"/>
      <c r="U9" s="33"/>
      <c r="V9" s="32"/>
      <c r="W9" s="33"/>
      <c r="X9" s="32"/>
      <c r="Y9" s="33"/>
      <c r="Z9" s="34">
        <f t="shared" si="1"/>
        <v>0</v>
      </c>
      <c r="AA9" s="31">
        <f>+VLOOKUP(A9,[1]CONGE!$A$2:$W$113,20,0)</f>
        <v>0</v>
      </c>
      <c r="AB9" s="31">
        <f>+VLOOKUP(A9,[1]CONGE!$A$2:$W$113,21,0)</f>
        <v>0</v>
      </c>
      <c r="AC9" s="33">
        <f>IF(ISNA(VLOOKUP(A9,'[1]REPAS+DEPL'!$A$6:$M$1028,13,0))=TRUE,0,VLOOKUP(A9,'[1]REPAS+DEPL'!$A$6:$M$1028,13,0))</f>
        <v>0</v>
      </c>
      <c r="AD9" s="35"/>
      <c r="AE9" s="33">
        <f>IF(ISNA(VLOOKUP(A9,[1]Préavis!$A$2:$E$98,5,0))=TRUE,0,(VLOOKUP(A9,[1]Préavis!$A$2:$E$98,5,0)))</f>
        <v>0</v>
      </c>
      <c r="AF9" s="31">
        <f>+VLOOKUP(A9,[1]CONGE!$A$2:$V$112,18,0)</f>
        <v>0</v>
      </c>
      <c r="AG9" s="33">
        <f>IF(ISNA(VLOOKUP($A9,[1]CONGE!$A$2:$S$134,19,0))=TRUE,0,VLOOKUP($A9,[1]CONGE!$A$2:$S$134,19,0))</f>
        <v>0</v>
      </c>
      <c r="AH9" s="31">
        <f>+VLOOKUP(A9,[1]CONGE!$A$2:$W$113,22,0)</f>
        <v>0</v>
      </c>
      <c r="AI9" s="31">
        <f>+VLOOKUP(A9,[1]CONGE!$A$2:$W$113,23,0)</f>
        <v>0</v>
      </c>
      <c r="AJ9" s="36">
        <f t="shared" si="2"/>
        <v>110000</v>
      </c>
      <c r="AK9" s="33">
        <f>IF(ISNA(VLOOKUP(A9,[1]AVANTAGE!$A$5:$T$118,19,0))=TRUE,0,VLOOKUP(A9,[1]AVANTAGE!$A$5:$T$118,19,0))</f>
        <v>0</v>
      </c>
      <c r="AL9" s="33">
        <f>IF(ISNA(VLOOKUP(A9,[1]AVANTAGE!$A$5:$T$118,20,0))=TRUE,0,VLOOKUP(A9,[1]AVANTAGE!$A$5:$T$118,20,0))</f>
        <v>0</v>
      </c>
      <c r="AM9" s="37">
        <f t="shared" si="3"/>
        <v>110000</v>
      </c>
      <c r="AN9" s="38">
        <f t="shared" si="4"/>
        <v>1100</v>
      </c>
      <c r="AO9" s="33">
        <f t="shared" si="5"/>
        <v>1100</v>
      </c>
      <c r="AP9" s="38"/>
      <c r="AQ9" s="38">
        <f t="shared" si="6"/>
        <v>107800</v>
      </c>
      <c r="AR9" s="39">
        <f t="shared" si="7"/>
        <v>0</v>
      </c>
      <c r="AS9" s="40">
        <f>VLOOKUP(A9,'[1]Liste personnel'!$B$3:$R$187,16,0)</f>
        <v>2</v>
      </c>
      <c r="AT9" s="38">
        <f t="shared" si="8"/>
        <v>4000</v>
      </c>
      <c r="AU9" s="38">
        <f t="shared" si="9"/>
        <v>0</v>
      </c>
      <c r="AV9" s="38">
        <f>IF(ISNA(VLOOKUP(A9,[1]AVANCE!$A$6:$E$122,4,0))=TRUE,0,VLOOKUP(A9,[1]AVANCE!$A$6:$E$122,4,0))</f>
        <v>0</v>
      </c>
      <c r="AW9" s="38">
        <f>IF(ISNA(VLOOKUP(A9,[1]AVANCE!$A$6:$E$122,5,0))=TRUE,0,VLOOKUP(A9,[1]AVANCE!$A$6:$E$122,5,0))</f>
        <v>0</v>
      </c>
      <c r="AX9" s="38">
        <f t="shared" si="10"/>
        <v>0</v>
      </c>
      <c r="AY9" s="57"/>
      <c r="AZ9" s="58">
        <f t="shared" si="11"/>
        <v>2200</v>
      </c>
      <c r="BA9" s="38">
        <f t="shared" si="12"/>
        <v>107800</v>
      </c>
      <c r="BB9" s="42"/>
      <c r="BC9" s="43"/>
      <c r="BD9" s="59">
        <f t="shared" si="13"/>
        <v>107800</v>
      </c>
      <c r="BE9" s="60">
        <f t="shared" si="19"/>
        <v>107800</v>
      </c>
      <c r="BF9" s="61"/>
      <c r="BG9" s="61"/>
      <c r="BH9" s="62">
        <f t="shared" si="14"/>
        <v>0</v>
      </c>
      <c r="BI9" s="62">
        <f t="shared" si="15"/>
        <v>0</v>
      </c>
      <c r="BJ9" s="62">
        <f t="shared" si="16"/>
        <v>0</v>
      </c>
      <c r="BK9" s="63">
        <f t="shared" si="17"/>
        <v>107800</v>
      </c>
      <c r="BL9" s="48">
        <f t="shared" si="18"/>
        <v>110000</v>
      </c>
      <c r="BN9" s="49"/>
      <c r="BO9" s="49"/>
    </row>
    <row r="10" spans="1:67" s="18" customFormat="1" ht="27.75" customHeight="1">
      <c r="A10" s="50" t="s">
        <v>70</v>
      </c>
      <c r="B10" s="51" t="s">
        <v>193</v>
      </c>
      <c r="C10" s="52"/>
      <c r="D10" s="53" t="s">
        <v>194</v>
      </c>
      <c r="E10" s="54">
        <v>40262</v>
      </c>
      <c r="F10" s="25">
        <v>42359</v>
      </c>
      <c r="G10" s="54" t="s">
        <v>186</v>
      </c>
      <c r="H10" s="55" t="s">
        <v>187</v>
      </c>
      <c r="I10" s="29">
        <v>170000</v>
      </c>
      <c r="J10" s="28">
        <v>42369</v>
      </c>
      <c r="K10" s="29">
        <v>11</v>
      </c>
      <c r="L10" s="29">
        <f t="shared" si="0"/>
        <v>62333.333333333336</v>
      </c>
      <c r="M10" s="56">
        <f>IF(ISNA(VLOOKUP(A10,[1]ABSENCE!$B$5:$AK$76,35,0))=TRUE,0,VLOOKUP(A10,[1]ABSENCE!$B$5:$AK$76,35,0))</f>
        <v>0</v>
      </c>
      <c r="N10" s="33">
        <f>IF(ISNA(VLOOKUP(A10,[1]ABSENCE!$B$5:$AK$76,36,0))=TRUE,0,VLOOKUP(A10,[1]ABSENCE!$B$5:$AK$76,36,0))</f>
        <v>0</v>
      </c>
      <c r="O10" s="31">
        <f>IF(ISNA(VLOOKUP($A10,[1]HS!$B$5:$T$122,3,0))=TRUE,0,VLOOKUP($A10,[1]HS!$B$5:$T$122,3,0))</f>
        <v>980.78809207869369</v>
      </c>
      <c r="P10" s="32"/>
      <c r="Q10" s="33"/>
      <c r="R10" s="32"/>
      <c r="S10" s="33"/>
      <c r="T10" s="32"/>
      <c r="U10" s="33"/>
      <c r="V10" s="32"/>
      <c r="W10" s="33"/>
      <c r="X10" s="32"/>
      <c r="Y10" s="33"/>
      <c r="Z10" s="34">
        <f t="shared" si="1"/>
        <v>0</v>
      </c>
      <c r="AA10" s="31">
        <f>+VLOOKUP(A10,[1]CONGE!$A$2:$W$113,20,0)</f>
        <v>0</v>
      </c>
      <c r="AB10" s="31">
        <f>+VLOOKUP(A10,[1]CONGE!$A$2:$W$113,21,0)</f>
        <v>0</v>
      </c>
      <c r="AC10" s="33">
        <f>IF(ISNA(VLOOKUP(A10,'[1]REPAS+DEPL'!$A$6:$M$1028,13,0))=TRUE,0,VLOOKUP(A10,'[1]REPAS+DEPL'!$A$6:$M$1028,13,0))</f>
        <v>0</v>
      </c>
      <c r="AD10" s="35"/>
      <c r="AE10" s="33">
        <f>IF(ISNA(VLOOKUP(A10,[1]Préavis!$A$2:$E$98,5,0))=TRUE,0,(VLOOKUP(A10,[1]Préavis!$A$2:$E$98,5,0)))</f>
        <v>0</v>
      </c>
      <c r="AF10" s="31">
        <f>+VLOOKUP(A10,[1]CONGE!$A$2:$V$112,18,0)</f>
        <v>0</v>
      </c>
      <c r="AG10" s="33">
        <f>IF(ISNA(VLOOKUP($A10,[1]CONGE!$A$2:$S$134,19,0))=TRUE,0,VLOOKUP($A10,[1]CONGE!$A$2:$S$134,19,0))</f>
        <v>0</v>
      </c>
      <c r="AH10" s="31">
        <f>+VLOOKUP(A10,[1]CONGE!$A$2:$W$113,22,0)</f>
        <v>0</v>
      </c>
      <c r="AI10" s="31">
        <f>+VLOOKUP(A10,[1]CONGE!$A$2:$W$113,23,0)</f>
        <v>0</v>
      </c>
      <c r="AJ10" s="36">
        <f t="shared" si="2"/>
        <v>62333.333333333336</v>
      </c>
      <c r="AK10" s="33">
        <f>IF(ISNA(VLOOKUP(A10,[1]AVANTAGE!$A$5:$T$118,19,0))=TRUE,0,VLOOKUP(A10,[1]AVANTAGE!$A$5:$T$118,19,0))</f>
        <v>0</v>
      </c>
      <c r="AL10" s="33">
        <f>IF(ISNA(VLOOKUP(A10,[1]AVANTAGE!$A$5:$T$118,20,0))=TRUE,0,VLOOKUP(A10,[1]AVANTAGE!$A$5:$T$118,20,0))</f>
        <v>0</v>
      </c>
      <c r="AM10" s="37">
        <f t="shared" si="3"/>
        <v>62333.333333333336</v>
      </c>
      <c r="AN10" s="38">
        <f t="shared" si="4"/>
        <v>623.33333333333337</v>
      </c>
      <c r="AO10" s="33">
        <f t="shared" si="5"/>
        <v>623.33333333333337</v>
      </c>
      <c r="AP10" s="38"/>
      <c r="AQ10" s="38">
        <f t="shared" si="6"/>
        <v>61000</v>
      </c>
      <c r="AR10" s="39">
        <f t="shared" si="7"/>
        <v>0</v>
      </c>
      <c r="AS10" s="40">
        <f>VLOOKUP(A10,'[1]Liste personnel'!$B$3:$R$187,16,0)</f>
        <v>0</v>
      </c>
      <c r="AT10" s="38">
        <f t="shared" si="8"/>
        <v>0</v>
      </c>
      <c r="AU10" s="38">
        <f t="shared" si="9"/>
        <v>0</v>
      </c>
      <c r="AV10" s="38">
        <f>IF(ISNA(VLOOKUP(A10,[1]AVANCE!$A$6:$E$122,4,0))=TRUE,0,VLOOKUP(A10,[1]AVANCE!$A$6:$E$122,4,0))</f>
        <v>0</v>
      </c>
      <c r="AW10" s="38">
        <f>IF(ISNA(VLOOKUP(A10,[1]AVANCE!$A$6:$E$122,5,0))=TRUE,0,VLOOKUP(A10,[1]AVANCE!$A$6:$E$122,5,0))</f>
        <v>0</v>
      </c>
      <c r="AX10" s="38">
        <f t="shared" si="10"/>
        <v>0</v>
      </c>
      <c r="AY10" s="57"/>
      <c r="AZ10" s="58">
        <f t="shared" si="11"/>
        <v>1246.6666666666667</v>
      </c>
      <c r="BA10" s="38">
        <f t="shared" si="12"/>
        <v>61086.666666666672</v>
      </c>
      <c r="BB10" s="42"/>
      <c r="BC10" s="43"/>
      <c r="BD10" s="59">
        <f t="shared" si="13"/>
        <v>61086.666666666672</v>
      </c>
      <c r="BE10" s="60">
        <f t="shared" si="19"/>
        <v>61100</v>
      </c>
      <c r="BF10" s="61"/>
      <c r="BG10" s="61"/>
      <c r="BH10" s="62">
        <f t="shared" si="14"/>
        <v>0</v>
      </c>
      <c r="BI10" s="62">
        <f t="shared" si="15"/>
        <v>0</v>
      </c>
      <c r="BJ10" s="62">
        <f t="shared" si="16"/>
        <v>0</v>
      </c>
      <c r="BK10" s="63">
        <f t="shared" si="17"/>
        <v>61086.666666666672</v>
      </c>
      <c r="BL10" s="48">
        <f t="shared" si="18"/>
        <v>62333.333333333336</v>
      </c>
      <c r="BN10" s="49"/>
      <c r="BO10" s="49"/>
    </row>
    <row r="11" spans="1:67" s="18" customFormat="1" ht="27.75" customHeight="1">
      <c r="A11" s="50" t="s">
        <v>71</v>
      </c>
      <c r="B11" s="51" t="s">
        <v>195</v>
      </c>
      <c r="C11" s="52"/>
      <c r="D11" s="53" t="s">
        <v>196</v>
      </c>
      <c r="E11" s="54">
        <v>40263</v>
      </c>
      <c r="F11" s="25">
        <v>42359</v>
      </c>
      <c r="G11" s="54" t="s">
        <v>186</v>
      </c>
      <c r="H11" s="55" t="s">
        <v>187</v>
      </c>
      <c r="I11" s="29">
        <v>170000</v>
      </c>
      <c r="J11" s="28">
        <v>42369</v>
      </c>
      <c r="K11" s="29">
        <v>11</v>
      </c>
      <c r="L11" s="29">
        <f t="shared" si="0"/>
        <v>62333.333333333336</v>
      </c>
      <c r="M11" s="56">
        <f>IF(ISNA(VLOOKUP(A11,[1]ABSENCE!$B$5:$AK$76,35,0))=TRUE,0,VLOOKUP(A11,[1]ABSENCE!$B$5:$AK$76,35,0))</f>
        <v>0</v>
      </c>
      <c r="N11" s="33">
        <f>IF(ISNA(VLOOKUP(A11,[1]ABSENCE!$B$5:$AK$76,36,0))=TRUE,0,VLOOKUP(A11,[1]ABSENCE!$B$5:$AK$76,36,0))</f>
        <v>0</v>
      </c>
      <c r="O11" s="31">
        <f>IF(ISNA(VLOOKUP($A11,[1]HS!$B$5:$T$122,3,0))=TRUE,0,VLOOKUP($A11,[1]HS!$B$5:$T$122,3,0))</f>
        <v>980.78809207869369</v>
      </c>
      <c r="P11" s="32"/>
      <c r="Q11" s="33"/>
      <c r="R11" s="32"/>
      <c r="S11" s="33"/>
      <c r="T11" s="32"/>
      <c r="U11" s="33"/>
      <c r="V11" s="32"/>
      <c r="W11" s="33"/>
      <c r="X11" s="32"/>
      <c r="Y11" s="33"/>
      <c r="Z11" s="34">
        <f t="shared" si="1"/>
        <v>0</v>
      </c>
      <c r="AA11" s="31">
        <f>+VLOOKUP(A11,[1]CONGE!$A$2:$W$113,20,0)</f>
        <v>0</v>
      </c>
      <c r="AB11" s="31">
        <f>+VLOOKUP(A11,[1]CONGE!$A$2:$W$113,21,0)</f>
        <v>0</v>
      </c>
      <c r="AC11" s="33">
        <f>IF(ISNA(VLOOKUP(A11,'[1]REPAS+DEPL'!$A$6:$M$1028,13,0))=TRUE,0,VLOOKUP(A11,'[1]REPAS+DEPL'!$A$6:$M$1028,13,0))</f>
        <v>0</v>
      </c>
      <c r="AD11" s="35"/>
      <c r="AE11" s="33">
        <f>IF(ISNA(VLOOKUP(A11,[1]Préavis!$A$2:$E$98,5,0))=TRUE,0,(VLOOKUP(A11,[1]Préavis!$A$2:$E$98,5,0)))</f>
        <v>0</v>
      </c>
      <c r="AF11" s="31">
        <f>+VLOOKUP(A11,[1]CONGE!$A$2:$V$112,18,0)</f>
        <v>0</v>
      </c>
      <c r="AG11" s="33">
        <f>IF(ISNA(VLOOKUP($A11,[1]CONGE!$A$2:$S$134,19,0))=TRUE,0,VLOOKUP($A11,[1]CONGE!$A$2:$S$134,19,0))</f>
        <v>0</v>
      </c>
      <c r="AH11" s="31">
        <f>+VLOOKUP(A11,[1]CONGE!$A$2:$W$113,22,0)</f>
        <v>0</v>
      </c>
      <c r="AI11" s="31">
        <f>+VLOOKUP(A11,[1]CONGE!$A$2:$W$113,23,0)</f>
        <v>0</v>
      </c>
      <c r="AJ11" s="36">
        <f t="shared" si="2"/>
        <v>62333.333333333336</v>
      </c>
      <c r="AK11" s="33">
        <f>IF(ISNA(VLOOKUP(A11,[1]AVANTAGE!$A$5:$T$118,19,0))=TRUE,0,VLOOKUP(A11,[1]AVANTAGE!$A$5:$T$118,19,0))</f>
        <v>0</v>
      </c>
      <c r="AL11" s="33">
        <f>IF(ISNA(VLOOKUP(A11,[1]AVANTAGE!$A$5:$T$118,20,0))=TRUE,0,VLOOKUP(A11,[1]AVANTAGE!$A$5:$T$118,20,0))</f>
        <v>0</v>
      </c>
      <c r="AM11" s="37">
        <f t="shared" si="3"/>
        <v>62333.333333333336</v>
      </c>
      <c r="AN11" s="38">
        <f t="shared" si="4"/>
        <v>623.33333333333337</v>
      </c>
      <c r="AO11" s="33">
        <f t="shared" si="5"/>
        <v>623.33333333333337</v>
      </c>
      <c r="AP11" s="38"/>
      <c r="AQ11" s="38">
        <f t="shared" si="6"/>
        <v>61000</v>
      </c>
      <c r="AR11" s="39">
        <f t="shared" si="7"/>
        <v>0</v>
      </c>
      <c r="AS11" s="40">
        <f>VLOOKUP(A11,'[1]Liste personnel'!$B$3:$R$187,16,0)</f>
        <v>0</v>
      </c>
      <c r="AT11" s="38">
        <f t="shared" si="8"/>
        <v>0</v>
      </c>
      <c r="AU11" s="38">
        <f t="shared" si="9"/>
        <v>0</v>
      </c>
      <c r="AV11" s="38">
        <f>IF(ISNA(VLOOKUP(A11,[1]AVANCE!$A$6:$E$122,4,0))=TRUE,0,VLOOKUP(A11,[1]AVANCE!$A$6:$E$122,4,0))</f>
        <v>0</v>
      </c>
      <c r="AW11" s="38">
        <f>IF(ISNA(VLOOKUP(A11,[1]AVANCE!$A$6:$E$122,5,0))=TRUE,0,VLOOKUP(A11,[1]AVANCE!$A$6:$E$122,5,0))</f>
        <v>0</v>
      </c>
      <c r="AX11" s="38">
        <f t="shared" si="10"/>
        <v>0</v>
      </c>
      <c r="AY11" s="57"/>
      <c r="AZ11" s="58">
        <f t="shared" si="11"/>
        <v>1246.6666666666667</v>
      </c>
      <c r="BA11" s="38">
        <f t="shared" si="12"/>
        <v>61086.666666666672</v>
      </c>
      <c r="BB11" s="42"/>
      <c r="BC11" s="43"/>
      <c r="BD11" s="59">
        <f t="shared" si="13"/>
        <v>61086.666666666672</v>
      </c>
      <c r="BE11" s="60">
        <f t="shared" si="19"/>
        <v>61100</v>
      </c>
      <c r="BF11" s="61"/>
      <c r="BG11" s="61"/>
      <c r="BH11" s="62">
        <f t="shared" si="14"/>
        <v>0</v>
      </c>
      <c r="BI11" s="62">
        <f t="shared" si="15"/>
        <v>0</v>
      </c>
      <c r="BJ11" s="62">
        <f t="shared" si="16"/>
        <v>0</v>
      </c>
      <c r="BK11" s="63">
        <f t="shared" si="17"/>
        <v>61086.666666666672</v>
      </c>
      <c r="BL11" s="48">
        <f t="shared" si="18"/>
        <v>62333.333333333336</v>
      </c>
      <c r="BN11" s="49"/>
      <c r="BO11" s="49"/>
    </row>
    <row r="12" spans="1:67" s="18" customFormat="1" ht="27.75" customHeight="1">
      <c r="A12" s="50" t="s">
        <v>72</v>
      </c>
      <c r="B12" s="51" t="s">
        <v>197</v>
      </c>
      <c r="C12" s="52"/>
      <c r="D12" s="53" t="s">
        <v>198</v>
      </c>
      <c r="E12" s="54">
        <v>40289</v>
      </c>
      <c r="F12" s="25">
        <v>42359</v>
      </c>
      <c r="G12" s="54" t="s">
        <v>168</v>
      </c>
      <c r="H12" s="55" t="s">
        <v>183</v>
      </c>
      <c r="I12" s="29">
        <v>380000</v>
      </c>
      <c r="J12" s="28">
        <v>42369</v>
      </c>
      <c r="K12" s="29">
        <v>11</v>
      </c>
      <c r="L12" s="29">
        <f t="shared" si="0"/>
        <v>139333.33333333334</v>
      </c>
      <c r="M12" s="56">
        <f>IF(ISNA(VLOOKUP(A12,[1]ABSENCE!$B$5:$AK$76,35,0))=TRUE,0,VLOOKUP(A12,[1]ABSENCE!$B$5:$AK$76,35,0))</f>
        <v>0</v>
      </c>
      <c r="N12" s="33">
        <f>IF(ISNA(VLOOKUP(A12,[1]ABSENCE!$B$5:$AK$76,36,0))=TRUE,0,VLOOKUP(A12,[1]ABSENCE!$B$5:$AK$76,36,0))</f>
        <v>0</v>
      </c>
      <c r="O12" s="31">
        <f>IF(ISNA(VLOOKUP($A12,[1]HS!$B$5:$T$122,3,0))=TRUE,0,VLOOKUP($A12,[1]HS!$B$5:$T$122,3,0))</f>
        <v>2192.3498528817859</v>
      </c>
      <c r="P12" s="32"/>
      <c r="Q12" s="33"/>
      <c r="R12" s="32"/>
      <c r="S12" s="33"/>
      <c r="T12" s="32"/>
      <c r="U12" s="33"/>
      <c r="V12" s="32"/>
      <c r="W12" s="33"/>
      <c r="X12" s="32"/>
      <c r="Y12" s="33"/>
      <c r="Z12" s="34">
        <f t="shared" si="1"/>
        <v>0</v>
      </c>
      <c r="AA12" s="31">
        <f>+VLOOKUP(A12,[1]CONGE!$A$2:$W$113,20,0)</f>
        <v>0</v>
      </c>
      <c r="AB12" s="31">
        <f>+VLOOKUP(A12,[1]CONGE!$A$2:$W$113,21,0)</f>
        <v>0</v>
      </c>
      <c r="AC12" s="33">
        <f>IF(ISNA(VLOOKUP(A12,'[1]REPAS+DEPL'!$A$6:$M$1028,13,0))=TRUE,0,VLOOKUP(A12,'[1]REPAS+DEPL'!$A$6:$M$1028,13,0))</f>
        <v>0</v>
      </c>
      <c r="AD12" s="35"/>
      <c r="AE12" s="33">
        <f>IF(ISNA(VLOOKUP(A12,[1]Préavis!$A$2:$E$98,5,0))=TRUE,0,(VLOOKUP(A12,[1]Préavis!$A$2:$E$98,5,0)))</f>
        <v>0</v>
      </c>
      <c r="AF12" s="31">
        <f>+VLOOKUP(A12,[1]CONGE!$A$2:$V$112,18,0)</f>
        <v>0</v>
      </c>
      <c r="AG12" s="33">
        <f>IF(ISNA(VLOOKUP($A12,[1]CONGE!$A$2:$S$134,19,0))=TRUE,0,VLOOKUP($A12,[1]CONGE!$A$2:$S$134,19,0))</f>
        <v>0</v>
      </c>
      <c r="AH12" s="31">
        <f>+VLOOKUP(A12,[1]CONGE!$A$2:$W$113,22,0)</f>
        <v>0</v>
      </c>
      <c r="AI12" s="31">
        <f>+VLOOKUP(A12,[1]CONGE!$A$2:$W$113,23,0)</f>
        <v>0</v>
      </c>
      <c r="AJ12" s="36">
        <f t="shared" si="2"/>
        <v>139333.33333333334</v>
      </c>
      <c r="AK12" s="33">
        <f>IF(ISNA(VLOOKUP(A12,[1]AVANTAGE!$A$5:$T$118,19,0))=TRUE,0,VLOOKUP(A12,[1]AVANTAGE!$A$5:$T$118,19,0))</f>
        <v>0</v>
      </c>
      <c r="AL12" s="33">
        <f>IF(ISNA(VLOOKUP(A12,[1]AVANTAGE!$A$5:$T$118,20,0))=TRUE,0,VLOOKUP(A12,[1]AVANTAGE!$A$5:$T$118,20,0))</f>
        <v>0</v>
      </c>
      <c r="AM12" s="37">
        <f t="shared" si="3"/>
        <v>139333.33333333334</v>
      </c>
      <c r="AN12" s="38">
        <f t="shared" si="4"/>
        <v>1393.3333333333335</v>
      </c>
      <c r="AO12" s="33">
        <f t="shared" si="5"/>
        <v>1393.3333333333335</v>
      </c>
      <c r="AP12" s="38"/>
      <c r="AQ12" s="38">
        <f t="shared" si="6"/>
        <v>136500</v>
      </c>
      <c r="AR12" s="39">
        <f t="shared" si="7"/>
        <v>0</v>
      </c>
      <c r="AS12" s="40">
        <f>VLOOKUP(A12,'[1]Liste personnel'!$B$3:$R$187,16,0)</f>
        <v>0</v>
      </c>
      <c r="AT12" s="38">
        <f t="shared" si="8"/>
        <v>0</v>
      </c>
      <c r="AU12" s="38">
        <f t="shared" si="9"/>
        <v>0</v>
      </c>
      <c r="AV12" s="38">
        <f>IF(ISNA(VLOOKUP(A12,[1]AVANCE!$A$6:$E$122,4,0))=TRUE,0,VLOOKUP(A12,[1]AVANCE!$A$6:$E$122,4,0))</f>
        <v>0</v>
      </c>
      <c r="AW12" s="38">
        <f>IF(ISNA(VLOOKUP(A12,[1]AVANCE!$A$6:$E$122,5,0))=TRUE,0,VLOOKUP(A12,[1]AVANCE!$A$6:$E$122,5,0))</f>
        <v>0</v>
      </c>
      <c r="AX12" s="38">
        <f t="shared" si="10"/>
        <v>0</v>
      </c>
      <c r="AY12" s="57"/>
      <c r="AZ12" s="58">
        <f t="shared" si="11"/>
        <v>2786.666666666667</v>
      </c>
      <c r="BA12" s="38">
        <f t="shared" si="12"/>
        <v>136546.66666666669</v>
      </c>
      <c r="BB12" s="42"/>
      <c r="BC12" s="43"/>
      <c r="BD12" s="59">
        <f t="shared" si="13"/>
        <v>136546.66666666669</v>
      </c>
      <c r="BE12" s="60">
        <f t="shared" si="19"/>
        <v>136600</v>
      </c>
      <c r="BF12" s="61"/>
      <c r="BG12" s="61"/>
      <c r="BH12" s="62">
        <f t="shared" si="14"/>
        <v>0</v>
      </c>
      <c r="BI12" s="62">
        <f t="shared" si="15"/>
        <v>0</v>
      </c>
      <c r="BJ12" s="62">
        <f t="shared" si="16"/>
        <v>0</v>
      </c>
      <c r="BK12" s="63">
        <f t="shared" si="17"/>
        <v>136546.66666666669</v>
      </c>
      <c r="BL12" s="48">
        <f t="shared" si="18"/>
        <v>139333.33333333334</v>
      </c>
      <c r="BN12" s="49"/>
      <c r="BO12" s="49"/>
    </row>
    <row r="13" spans="1:67" s="18" customFormat="1" ht="27.75" customHeight="1">
      <c r="A13" s="50" t="s">
        <v>73</v>
      </c>
      <c r="B13" s="51" t="s">
        <v>199</v>
      </c>
      <c r="C13" s="52"/>
      <c r="D13" s="53" t="s">
        <v>200</v>
      </c>
      <c r="E13" s="54">
        <v>40297</v>
      </c>
      <c r="F13" s="25">
        <v>42359</v>
      </c>
      <c r="G13" s="54" t="s">
        <v>201</v>
      </c>
      <c r="H13" s="55" t="s">
        <v>183</v>
      </c>
      <c r="I13" s="29">
        <v>220000</v>
      </c>
      <c r="J13" s="28">
        <v>42369</v>
      </c>
      <c r="K13" s="29">
        <v>11</v>
      </c>
      <c r="L13" s="29">
        <f t="shared" si="0"/>
        <v>80666.666666666672</v>
      </c>
      <c r="M13" s="56">
        <f>IF(ISNA(VLOOKUP(A13,[1]ABSENCE!$B$5:$AK$76,35,0))=TRUE,0,VLOOKUP(A13,[1]ABSENCE!$B$5:$AK$76,35,0))</f>
        <v>0</v>
      </c>
      <c r="N13" s="33">
        <f>IF(ISNA(VLOOKUP(A13,[1]ABSENCE!$B$5:$AK$76,36,0))=TRUE,0,VLOOKUP(A13,[1]ABSENCE!$B$5:$AK$76,36,0))</f>
        <v>0</v>
      </c>
      <c r="O13" s="31">
        <f>IF(ISNA(VLOOKUP($A13,[1]HS!$B$5:$T$122,3,0))=TRUE,0,VLOOKUP($A13,[1]HS!$B$5:$T$122,3,0))</f>
        <v>1269.255177984192</v>
      </c>
      <c r="P13" s="32"/>
      <c r="Q13" s="33"/>
      <c r="R13" s="32"/>
      <c r="S13" s="33"/>
      <c r="T13" s="32"/>
      <c r="U13" s="33"/>
      <c r="V13" s="32"/>
      <c r="W13" s="33"/>
      <c r="X13" s="32"/>
      <c r="Y13" s="33"/>
      <c r="Z13" s="34">
        <f t="shared" si="1"/>
        <v>0</v>
      </c>
      <c r="AA13" s="31">
        <f>+VLOOKUP(A13,[1]CONGE!$A$2:$W$113,20,0)</f>
        <v>0</v>
      </c>
      <c r="AB13" s="31">
        <f>+VLOOKUP(A13,[1]CONGE!$A$2:$W$113,21,0)</f>
        <v>0</v>
      </c>
      <c r="AC13" s="33">
        <f>IF(ISNA(VLOOKUP(A13,'[1]REPAS+DEPL'!$A$6:$M$1028,13,0))=TRUE,0,VLOOKUP(A13,'[1]REPAS+DEPL'!$A$6:$M$1028,13,0))</f>
        <v>0</v>
      </c>
      <c r="AD13" s="35"/>
      <c r="AE13" s="33">
        <f>IF(ISNA(VLOOKUP(A13,[1]Préavis!$A$2:$E$98,5,0))=TRUE,0,(VLOOKUP(A13,[1]Préavis!$A$2:$E$98,5,0)))</f>
        <v>0</v>
      </c>
      <c r="AF13" s="31">
        <f>+VLOOKUP(A13,[1]CONGE!$A$2:$V$112,18,0)</f>
        <v>0</v>
      </c>
      <c r="AG13" s="33">
        <f>IF(ISNA(VLOOKUP($A13,[1]CONGE!$A$2:$S$134,19,0))=TRUE,0,VLOOKUP($A13,[1]CONGE!$A$2:$S$134,19,0))</f>
        <v>0</v>
      </c>
      <c r="AH13" s="31">
        <f>+VLOOKUP(A13,[1]CONGE!$A$2:$W$113,22,0)</f>
        <v>0</v>
      </c>
      <c r="AI13" s="31">
        <f>+VLOOKUP(A13,[1]CONGE!$A$2:$W$113,23,0)</f>
        <v>0</v>
      </c>
      <c r="AJ13" s="36">
        <f t="shared" si="2"/>
        <v>80666.666666666672</v>
      </c>
      <c r="AK13" s="33">
        <f>IF(ISNA(VLOOKUP(A13,[1]AVANTAGE!$A$5:$T$118,19,0))=TRUE,0,VLOOKUP(A13,[1]AVANTAGE!$A$5:$T$118,19,0))</f>
        <v>0</v>
      </c>
      <c r="AL13" s="33">
        <f>IF(ISNA(VLOOKUP(A13,[1]AVANTAGE!$A$5:$T$118,20,0))=TRUE,0,VLOOKUP(A13,[1]AVANTAGE!$A$5:$T$118,20,0))</f>
        <v>0</v>
      </c>
      <c r="AM13" s="37">
        <f t="shared" si="3"/>
        <v>80666.666666666672</v>
      </c>
      <c r="AN13" s="38">
        <f t="shared" si="4"/>
        <v>806.66666666666674</v>
      </c>
      <c r="AO13" s="33">
        <f t="shared" si="5"/>
        <v>806.66666666666674</v>
      </c>
      <c r="AP13" s="38"/>
      <c r="AQ13" s="38">
        <f t="shared" si="6"/>
        <v>79000</v>
      </c>
      <c r="AR13" s="39">
        <f t="shared" si="7"/>
        <v>0</v>
      </c>
      <c r="AS13" s="40">
        <f>VLOOKUP(A13,'[1]Liste personnel'!$B$3:$R$187,16,0)</f>
        <v>0</v>
      </c>
      <c r="AT13" s="38">
        <f t="shared" si="8"/>
        <v>0</v>
      </c>
      <c r="AU13" s="38">
        <f t="shared" si="9"/>
        <v>0</v>
      </c>
      <c r="AV13" s="38">
        <f>IF(ISNA(VLOOKUP(A13,[1]AVANCE!$A$6:$E$122,4,0))=TRUE,0,VLOOKUP(A13,[1]AVANCE!$A$6:$E$122,4,0))</f>
        <v>0</v>
      </c>
      <c r="AW13" s="38">
        <f>IF(ISNA(VLOOKUP(A13,[1]AVANCE!$A$6:$E$122,5,0))=TRUE,0,VLOOKUP(A13,[1]AVANCE!$A$6:$E$122,5,0))</f>
        <v>0</v>
      </c>
      <c r="AX13" s="38">
        <f t="shared" si="10"/>
        <v>0</v>
      </c>
      <c r="AY13" s="57"/>
      <c r="AZ13" s="58">
        <f t="shared" si="11"/>
        <v>1613.3333333333335</v>
      </c>
      <c r="BA13" s="38">
        <f t="shared" si="12"/>
        <v>79053.333333333343</v>
      </c>
      <c r="BB13" s="42"/>
      <c r="BC13" s="43"/>
      <c r="BD13" s="59">
        <f t="shared" si="13"/>
        <v>79053.333333333343</v>
      </c>
      <c r="BE13" s="60">
        <f t="shared" si="19"/>
        <v>79100</v>
      </c>
      <c r="BF13" s="61"/>
      <c r="BG13" s="61"/>
      <c r="BH13" s="62">
        <f t="shared" si="14"/>
        <v>0</v>
      </c>
      <c r="BI13" s="62">
        <f t="shared" si="15"/>
        <v>0</v>
      </c>
      <c r="BJ13" s="62">
        <f t="shared" si="16"/>
        <v>0</v>
      </c>
      <c r="BK13" s="63">
        <f t="shared" si="17"/>
        <v>79053.333333333343</v>
      </c>
      <c r="BL13" s="48">
        <f t="shared" si="18"/>
        <v>80666.666666666672</v>
      </c>
      <c r="BN13" s="49"/>
      <c r="BO13" s="49"/>
    </row>
    <row r="14" spans="1:67" s="18" customFormat="1" ht="27.75" customHeight="1">
      <c r="A14" s="50" t="s">
        <v>74</v>
      </c>
      <c r="B14" s="51" t="s">
        <v>202</v>
      </c>
      <c r="C14" s="52"/>
      <c r="D14" s="53" t="s">
        <v>203</v>
      </c>
      <c r="E14" s="54">
        <v>40452</v>
      </c>
      <c r="F14" s="25">
        <v>42359</v>
      </c>
      <c r="G14" s="54" t="s">
        <v>201</v>
      </c>
      <c r="H14" s="55" t="s">
        <v>183</v>
      </c>
      <c r="I14" s="29">
        <v>220000</v>
      </c>
      <c r="J14" s="28">
        <v>42369</v>
      </c>
      <c r="K14" s="29">
        <v>11</v>
      </c>
      <c r="L14" s="29">
        <f t="shared" si="0"/>
        <v>80666.666666666672</v>
      </c>
      <c r="M14" s="56">
        <f>IF(ISNA(VLOOKUP(A14,[1]ABSENCE!$B$5:$AK$76,35,0))=TRUE,0,VLOOKUP(A14,[1]ABSENCE!$B$5:$AK$76,35,0))</f>
        <v>0</v>
      </c>
      <c r="N14" s="33">
        <f>IF(ISNA(VLOOKUP(A14,[1]ABSENCE!$B$5:$AK$76,36,0))=TRUE,0,VLOOKUP(A14,[1]ABSENCE!$B$5:$AK$76,36,0))</f>
        <v>0</v>
      </c>
      <c r="O14" s="31">
        <f>IF(ISNA(VLOOKUP($A14,[1]HS!$B$5:$T$122,3,0))=TRUE,0,VLOOKUP($A14,[1]HS!$B$5:$T$122,3,0))</f>
        <v>1269.255177984192</v>
      </c>
      <c r="P14" s="32"/>
      <c r="Q14" s="33"/>
      <c r="R14" s="32"/>
      <c r="S14" s="33"/>
      <c r="T14" s="32"/>
      <c r="U14" s="33"/>
      <c r="V14" s="32"/>
      <c r="W14" s="33"/>
      <c r="X14" s="32"/>
      <c r="Y14" s="33"/>
      <c r="Z14" s="34">
        <f t="shared" si="1"/>
        <v>0</v>
      </c>
      <c r="AA14" s="31">
        <f>+VLOOKUP(A14,[1]CONGE!$A$2:$W$113,20,0)</f>
        <v>0</v>
      </c>
      <c r="AB14" s="31">
        <f>+VLOOKUP(A14,[1]CONGE!$A$2:$W$113,21,0)</f>
        <v>0</v>
      </c>
      <c r="AC14" s="33">
        <f>IF(ISNA(VLOOKUP(A14,'[1]REPAS+DEPL'!$A$6:$M$1028,13,0))=TRUE,0,VLOOKUP(A14,'[1]REPAS+DEPL'!$A$6:$M$1028,13,0))</f>
        <v>0</v>
      </c>
      <c r="AD14" s="35"/>
      <c r="AE14" s="33">
        <f>IF(ISNA(VLOOKUP(A14,[1]Préavis!$A$2:$E$98,5,0))=TRUE,0,(VLOOKUP(A14,[1]Préavis!$A$2:$E$98,5,0)))</f>
        <v>0</v>
      </c>
      <c r="AF14" s="31">
        <f>+VLOOKUP(A14,[1]CONGE!$A$2:$V$112,18,0)</f>
        <v>0</v>
      </c>
      <c r="AG14" s="33">
        <f>IF(ISNA(VLOOKUP($A14,[1]CONGE!$A$2:$S$134,19,0))=TRUE,0,VLOOKUP($A14,[1]CONGE!$A$2:$S$134,19,0))</f>
        <v>0</v>
      </c>
      <c r="AH14" s="31">
        <f>+VLOOKUP(A14,[1]CONGE!$A$2:$W$113,22,0)</f>
        <v>0</v>
      </c>
      <c r="AI14" s="31">
        <f>+VLOOKUP(A14,[1]CONGE!$A$2:$W$113,23,0)</f>
        <v>0</v>
      </c>
      <c r="AJ14" s="36">
        <f t="shared" si="2"/>
        <v>80666.666666666672</v>
      </c>
      <c r="AK14" s="33">
        <f>IF(ISNA(VLOOKUP(A14,[1]AVANTAGE!$A$5:$T$118,19,0))=TRUE,0,VLOOKUP(A14,[1]AVANTAGE!$A$5:$T$118,19,0))</f>
        <v>0</v>
      </c>
      <c r="AL14" s="33">
        <f>IF(ISNA(VLOOKUP(A14,[1]AVANTAGE!$A$5:$T$118,20,0))=TRUE,0,VLOOKUP(A14,[1]AVANTAGE!$A$5:$T$118,20,0))</f>
        <v>0</v>
      </c>
      <c r="AM14" s="37">
        <f t="shared" si="3"/>
        <v>80666.666666666672</v>
      </c>
      <c r="AN14" s="38">
        <f t="shared" si="4"/>
        <v>806.66666666666674</v>
      </c>
      <c r="AO14" s="33">
        <f t="shared" si="5"/>
        <v>806.66666666666674</v>
      </c>
      <c r="AP14" s="38"/>
      <c r="AQ14" s="38">
        <f t="shared" si="6"/>
        <v>79000</v>
      </c>
      <c r="AR14" s="39">
        <f t="shared" si="7"/>
        <v>0</v>
      </c>
      <c r="AS14" s="40">
        <f>VLOOKUP(A14,'[1]Liste personnel'!$B$3:$R$187,16,0)</f>
        <v>0</v>
      </c>
      <c r="AT14" s="38">
        <f>+AS14*2000</f>
        <v>0</v>
      </c>
      <c r="AU14" s="38">
        <f t="shared" si="9"/>
        <v>0</v>
      </c>
      <c r="AV14" s="38">
        <f>IF(ISNA(VLOOKUP(A14,[1]AVANCE!$A$6:$E$122,4,0))=TRUE,0,VLOOKUP(A14,[1]AVANCE!$A$6:$E$122,4,0))</f>
        <v>0</v>
      </c>
      <c r="AW14" s="38">
        <f>IF(ISNA(VLOOKUP(A14,[1]AVANCE!$A$6:$E$122,5,0))=TRUE,0,VLOOKUP(A14,[1]AVANCE!$A$6:$E$122,5,0))</f>
        <v>0</v>
      </c>
      <c r="AX14" s="38">
        <f t="shared" si="10"/>
        <v>0</v>
      </c>
      <c r="AY14" s="57"/>
      <c r="AZ14" s="58">
        <f t="shared" si="11"/>
        <v>1613.3333333333335</v>
      </c>
      <c r="BA14" s="38">
        <f t="shared" si="12"/>
        <v>79053.333333333343</v>
      </c>
      <c r="BB14" s="42"/>
      <c r="BC14" s="43"/>
      <c r="BD14" s="59">
        <f t="shared" si="13"/>
        <v>79053.333333333343</v>
      </c>
      <c r="BE14" s="60">
        <f t="shared" si="19"/>
        <v>79100</v>
      </c>
      <c r="BF14" s="61"/>
      <c r="BG14" s="61"/>
      <c r="BH14" s="62">
        <f t="shared" si="14"/>
        <v>0</v>
      </c>
      <c r="BI14" s="62">
        <f t="shared" si="15"/>
        <v>0</v>
      </c>
      <c r="BJ14" s="62">
        <f t="shared" si="16"/>
        <v>0</v>
      </c>
      <c r="BK14" s="63">
        <f t="shared" si="17"/>
        <v>79053.333333333343</v>
      </c>
      <c r="BL14" s="48">
        <f t="shared" si="18"/>
        <v>80666.666666666672</v>
      </c>
      <c r="BM14" s="64"/>
      <c r="BN14" s="49"/>
      <c r="BO14" s="49"/>
    </row>
    <row r="15" spans="1:67" s="18" customFormat="1" ht="27.75" customHeight="1">
      <c r="A15" s="50" t="s">
        <v>75</v>
      </c>
      <c r="B15" s="51" t="s">
        <v>204</v>
      </c>
      <c r="C15" s="52"/>
      <c r="D15" s="53" t="s">
        <v>205</v>
      </c>
      <c r="E15" s="54">
        <v>40452</v>
      </c>
      <c r="F15" s="25">
        <v>42359</v>
      </c>
      <c r="G15" s="54" t="s">
        <v>206</v>
      </c>
      <c r="H15" s="55" t="s">
        <v>207</v>
      </c>
      <c r="I15" s="29">
        <v>3200000</v>
      </c>
      <c r="J15" s="28">
        <v>42369</v>
      </c>
      <c r="K15" s="29">
        <v>11</v>
      </c>
      <c r="L15" s="29">
        <f t="shared" si="0"/>
        <v>1173333.3333333333</v>
      </c>
      <c r="M15" s="56">
        <f>IF(ISNA(VLOOKUP(A15,[1]ABSENCE!$B$5:$AK$76,35,0))=TRUE,0,VLOOKUP(A15,[1]ABSENCE!$B$5:$AK$76,35,0))</f>
        <v>0</v>
      </c>
      <c r="N15" s="33">
        <f>IF(ISNA(VLOOKUP(A15,[1]ABSENCE!$B$5:$AK$76,36,0))=TRUE,0,VLOOKUP(A15,[1]ABSENCE!$B$5:$AK$76,36,0))</f>
        <v>0</v>
      </c>
      <c r="O15" s="31">
        <f>IF(ISNA(VLOOKUP($A15,[1]HS!$B$5:$T$122,3,0))=TRUE,0,VLOOKUP($A15,[1]HS!$B$5:$T$122,3,0))</f>
        <v>0</v>
      </c>
      <c r="P15" s="32"/>
      <c r="Q15" s="33"/>
      <c r="R15" s="32"/>
      <c r="S15" s="33"/>
      <c r="T15" s="32"/>
      <c r="U15" s="33"/>
      <c r="V15" s="32"/>
      <c r="W15" s="33"/>
      <c r="X15" s="32"/>
      <c r="Y15" s="33"/>
      <c r="Z15" s="34">
        <f t="shared" si="1"/>
        <v>0</v>
      </c>
      <c r="AA15" s="31">
        <f>+VLOOKUP(A15,[1]CONGE!$A$2:$W$113,20,0)</f>
        <v>0</v>
      </c>
      <c r="AB15" s="31">
        <f>+VLOOKUP(A15,[1]CONGE!$A$2:$W$113,21,0)</f>
        <v>0</v>
      </c>
      <c r="AC15" s="33">
        <f>IF(ISNA(VLOOKUP(A15,'[1]REPAS+DEPL'!$A$6:$M$1028,13,0))=TRUE,0,VLOOKUP(A15,'[1]REPAS+DEPL'!$A$6:$M$1028,13,0))</f>
        <v>0</v>
      </c>
      <c r="AD15" s="35"/>
      <c r="AE15" s="33">
        <f>IF(ISNA(VLOOKUP(A15,[1]Préavis!$A$2:$E$98,5,0))=TRUE,0,(VLOOKUP(A15,[1]Préavis!$A$2:$E$98,5,0)))</f>
        <v>0</v>
      </c>
      <c r="AF15" s="31">
        <f>+VLOOKUP(A15,[1]CONGE!$A$2:$V$112,18,0)</f>
        <v>0</v>
      </c>
      <c r="AG15" s="33">
        <f>IF(ISNA(VLOOKUP($A15,[1]CONGE!$A$2:$S$134,19,0))=TRUE,0,VLOOKUP($A15,[1]CONGE!$A$2:$S$134,19,0))</f>
        <v>0</v>
      </c>
      <c r="AH15" s="31">
        <f>+VLOOKUP(A15,[1]CONGE!$A$2:$W$113,22,0)</f>
        <v>0</v>
      </c>
      <c r="AI15" s="31">
        <f>+VLOOKUP(A15,[1]CONGE!$A$2:$W$113,23,0)</f>
        <v>0</v>
      </c>
      <c r="AJ15" s="36">
        <f t="shared" si="2"/>
        <v>1173333.3333333333</v>
      </c>
      <c r="AK15" s="33">
        <f>IF(ISNA(VLOOKUP(A15,[1]AVANTAGE!$A$5:$T$118,19,0))=TRUE,0,VLOOKUP(A15,[1]AVANTAGE!$A$5:$T$118,19,0))</f>
        <v>1584850</v>
      </c>
      <c r="AL15" s="33">
        <f>IF(ISNA(VLOOKUP(A15,[1]AVANTAGE!$A$5:$T$118,20,0))=TRUE,0,VLOOKUP(A15,[1]AVANTAGE!$A$5:$T$118,20,0))</f>
        <v>640000</v>
      </c>
      <c r="AM15" s="37">
        <f t="shared" si="3"/>
        <v>1813333.3333333333</v>
      </c>
      <c r="AN15" s="38">
        <f t="shared" si="4"/>
        <v>10641.07</v>
      </c>
      <c r="AO15" s="33"/>
      <c r="AP15" s="38"/>
      <c r="AQ15" s="38">
        <f t="shared" si="6"/>
        <v>1802600</v>
      </c>
      <c r="AR15" s="39">
        <f t="shared" si="7"/>
        <v>310520</v>
      </c>
      <c r="AS15" s="40">
        <f>VLOOKUP(A15,'[1]Liste personnel'!$B$3:$R$187,16,0)</f>
        <v>0</v>
      </c>
      <c r="AT15" s="38">
        <f>+AS15*2000</f>
        <v>0</v>
      </c>
      <c r="AU15" s="38">
        <f t="shared" si="9"/>
        <v>310520</v>
      </c>
      <c r="AV15" s="38">
        <f>IF(ISNA(VLOOKUP(A15,[1]AVANCE!$A$6:$E$122,4,0))=TRUE,0,VLOOKUP(A15,[1]AVANCE!$A$6:$E$122,4,0))</f>
        <v>0</v>
      </c>
      <c r="AW15" s="38">
        <f>IF(ISNA(VLOOKUP(A15,[1]AVANCE!$A$6:$E$122,5,0))=TRUE,0,VLOOKUP(A15,[1]AVANCE!$A$6:$E$122,5,0))</f>
        <v>0</v>
      </c>
      <c r="AX15" s="38">
        <f t="shared" si="10"/>
        <v>0</v>
      </c>
      <c r="AY15" s="57"/>
      <c r="AZ15" s="58">
        <f t="shared" si="11"/>
        <v>321161.07</v>
      </c>
      <c r="BA15" s="38">
        <f t="shared" si="12"/>
        <v>852172.26333333319</v>
      </c>
      <c r="BB15" s="42"/>
      <c r="BC15" s="43"/>
      <c r="BD15" s="59">
        <f t="shared" si="13"/>
        <v>852172.26333333319</v>
      </c>
      <c r="BE15" s="60">
        <f t="shared" si="19"/>
        <v>852200</v>
      </c>
      <c r="BF15" s="61"/>
      <c r="BG15" s="61"/>
      <c r="BH15" s="62">
        <f t="shared" si="14"/>
        <v>0</v>
      </c>
      <c r="BI15" s="62">
        <f t="shared" si="15"/>
        <v>0</v>
      </c>
      <c r="BJ15" s="62">
        <f t="shared" si="16"/>
        <v>0</v>
      </c>
      <c r="BK15" s="63">
        <f t="shared" si="17"/>
        <v>852172.26333333319</v>
      </c>
      <c r="BL15" s="48">
        <f t="shared" si="18"/>
        <v>1173333.3333333333</v>
      </c>
      <c r="BN15" s="49"/>
      <c r="BO15" s="49"/>
    </row>
    <row r="16" spans="1:67" s="18" customFormat="1" ht="27.75" customHeight="1">
      <c r="A16" s="50" t="s">
        <v>76</v>
      </c>
      <c r="B16" s="51" t="s">
        <v>208</v>
      </c>
      <c r="C16" s="52"/>
      <c r="D16" s="53" t="s">
        <v>209</v>
      </c>
      <c r="E16" s="54">
        <v>40548</v>
      </c>
      <c r="F16" s="25">
        <v>42359</v>
      </c>
      <c r="G16" s="54" t="s">
        <v>182</v>
      </c>
      <c r="H16" s="55" t="s">
        <v>183</v>
      </c>
      <c r="I16" s="29">
        <v>220000</v>
      </c>
      <c r="J16" s="28">
        <v>42369</v>
      </c>
      <c r="K16" s="29">
        <v>11</v>
      </c>
      <c r="L16" s="29">
        <f t="shared" si="0"/>
        <v>80666.666666666672</v>
      </c>
      <c r="M16" s="56">
        <f>IF(ISNA(VLOOKUP(A16,[1]ABSENCE!$B$5:$AK$76,35,0))=TRUE,0,VLOOKUP(A16,[1]ABSENCE!$B$5:$AK$76,35,0))</f>
        <v>0</v>
      </c>
      <c r="N16" s="33">
        <f>IF(ISNA(VLOOKUP(A16,[1]ABSENCE!$B$5:$AK$76,36,0))=TRUE,0,VLOOKUP(A16,[1]ABSENCE!$B$5:$AK$76,36,0))</f>
        <v>0</v>
      </c>
      <c r="O16" s="31">
        <f>IF(ISNA(VLOOKUP($A16,[1]HS!$B$5:$T$122,3,0))=TRUE,0,VLOOKUP($A16,[1]HS!$B$5:$T$122,3,0))</f>
        <v>1269.255177984192</v>
      </c>
      <c r="P16" s="32"/>
      <c r="Q16" s="33"/>
      <c r="R16" s="32"/>
      <c r="S16" s="33"/>
      <c r="T16" s="32"/>
      <c r="U16" s="33"/>
      <c r="V16" s="32"/>
      <c r="W16" s="33"/>
      <c r="X16" s="32"/>
      <c r="Y16" s="33"/>
      <c r="Z16" s="34">
        <f t="shared" si="1"/>
        <v>0</v>
      </c>
      <c r="AA16" s="31">
        <f>+VLOOKUP(A16,[1]CONGE!$A$2:$W$113,20,0)</f>
        <v>0</v>
      </c>
      <c r="AB16" s="31">
        <f>+VLOOKUP(A16,[1]CONGE!$A$2:$W$113,21,0)</f>
        <v>0</v>
      </c>
      <c r="AC16" s="33">
        <f>IF(ISNA(VLOOKUP(A16,'[1]REPAS+DEPL'!$A$6:$M$1028,13,0))=TRUE,0,VLOOKUP(A16,'[1]REPAS+DEPL'!$A$6:$M$1028,13,0))</f>
        <v>0</v>
      </c>
      <c r="AD16" s="35"/>
      <c r="AE16" s="33">
        <f>IF(ISNA(VLOOKUP(A16,[1]Préavis!$A$2:$E$98,5,0))=TRUE,0,(VLOOKUP(A16,[1]Préavis!$A$2:$E$98,5,0)))</f>
        <v>0</v>
      </c>
      <c r="AF16" s="31">
        <f>+VLOOKUP(A16,[1]CONGE!$A$2:$V$112,18,0)</f>
        <v>0</v>
      </c>
      <c r="AG16" s="33">
        <f>IF(ISNA(VLOOKUP($A16,[1]CONGE!$A$2:$S$134,19,0))=TRUE,0,VLOOKUP($A16,[1]CONGE!$A$2:$S$134,19,0))</f>
        <v>0</v>
      </c>
      <c r="AH16" s="31">
        <f>+VLOOKUP(A16,[1]CONGE!$A$2:$W$113,22,0)</f>
        <v>0</v>
      </c>
      <c r="AI16" s="31">
        <f>+VLOOKUP(A16,[1]CONGE!$A$2:$W$113,23,0)</f>
        <v>0</v>
      </c>
      <c r="AJ16" s="36">
        <f t="shared" si="2"/>
        <v>80666.666666666672</v>
      </c>
      <c r="AK16" s="33">
        <f>IF(ISNA(VLOOKUP(A16,[1]AVANTAGE!$A$5:$T$118,19,0))=TRUE,0,VLOOKUP(A16,[1]AVANTAGE!$A$5:$T$118,19,0))</f>
        <v>0</v>
      </c>
      <c r="AL16" s="33">
        <f>IF(ISNA(VLOOKUP(A16,[1]AVANTAGE!$A$5:$T$118,20,0))=TRUE,0,VLOOKUP(A16,[1]AVANTAGE!$A$5:$T$118,20,0))</f>
        <v>0</v>
      </c>
      <c r="AM16" s="37">
        <f t="shared" si="3"/>
        <v>80666.666666666672</v>
      </c>
      <c r="AN16" s="38">
        <f t="shared" si="4"/>
        <v>806.66666666666674</v>
      </c>
      <c r="AO16" s="33">
        <f t="shared" ref="AO16:AO44" si="20">IF(D16=0,0,(IF((AM16)*1%&gt;10641.07,10641.07,(AM16)*1%)))</f>
        <v>806.66666666666674</v>
      </c>
      <c r="AP16" s="38"/>
      <c r="AQ16" s="38">
        <f t="shared" si="6"/>
        <v>79000</v>
      </c>
      <c r="AR16" s="39">
        <f t="shared" si="7"/>
        <v>0</v>
      </c>
      <c r="AS16" s="40">
        <f>VLOOKUP(A16,'[1]Liste personnel'!$B$3:$R$187,16,0)</f>
        <v>1</v>
      </c>
      <c r="AT16" s="38">
        <f t="shared" ref="AT16:AT44" si="21">+AS16*2000</f>
        <v>2000</v>
      </c>
      <c r="AU16" s="38">
        <f t="shared" si="9"/>
        <v>0</v>
      </c>
      <c r="AV16" s="38">
        <f>IF(ISNA(VLOOKUP(A16,[1]AVANCE!$A$6:$E$122,4,0))=TRUE,0,VLOOKUP(A16,[1]AVANCE!$A$6:$E$122,4,0))</f>
        <v>0</v>
      </c>
      <c r="AW16" s="38">
        <f>IF(ISNA(VLOOKUP(A16,[1]AVANCE!$A$6:$E$122,5,0))=TRUE,0,VLOOKUP(A16,[1]AVANCE!$A$6:$E$122,5,0))</f>
        <v>0</v>
      </c>
      <c r="AX16" s="38">
        <f t="shared" si="10"/>
        <v>0</v>
      </c>
      <c r="AY16" s="57"/>
      <c r="AZ16" s="58">
        <f t="shared" si="11"/>
        <v>1613.3333333333335</v>
      </c>
      <c r="BA16" s="38">
        <f t="shared" si="12"/>
        <v>79053.333333333343</v>
      </c>
      <c r="BB16" s="42"/>
      <c r="BC16" s="43"/>
      <c r="BD16" s="59">
        <f t="shared" si="13"/>
        <v>79053.333333333343</v>
      </c>
      <c r="BE16" s="60">
        <f t="shared" si="19"/>
        <v>79100</v>
      </c>
      <c r="BF16" s="61"/>
      <c r="BG16" s="61"/>
      <c r="BH16" s="62">
        <f t="shared" si="14"/>
        <v>0</v>
      </c>
      <c r="BI16" s="62">
        <f t="shared" si="15"/>
        <v>0</v>
      </c>
      <c r="BJ16" s="62">
        <f>+BI16*BH16/30</f>
        <v>0</v>
      </c>
      <c r="BK16" s="63">
        <f>+BD16+AX16+AY16</f>
        <v>79053.333333333343</v>
      </c>
      <c r="BL16" s="48">
        <f t="shared" si="18"/>
        <v>80666.666666666672</v>
      </c>
      <c r="BN16" s="49"/>
      <c r="BO16" s="49"/>
    </row>
    <row r="17" spans="1:67" s="18" customFormat="1" ht="27.75" customHeight="1">
      <c r="A17" s="50" t="s">
        <v>77</v>
      </c>
      <c r="B17" s="51" t="s">
        <v>210</v>
      </c>
      <c r="C17" s="52"/>
      <c r="D17" s="53" t="s">
        <v>211</v>
      </c>
      <c r="E17" s="54">
        <v>40556</v>
      </c>
      <c r="F17" s="25">
        <v>42359</v>
      </c>
      <c r="G17" s="54" t="s">
        <v>212</v>
      </c>
      <c r="H17" s="55" t="s">
        <v>169</v>
      </c>
      <c r="I17" s="29">
        <v>380000</v>
      </c>
      <c r="J17" s="28">
        <v>42369</v>
      </c>
      <c r="K17" s="29">
        <v>11</v>
      </c>
      <c r="L17" s="29">
        <f t="shared" si="0"/>
        <v>139333.33333333334</v>
      </c>
      <c r="M17" s="56">
        <f>IF(ISNA(VLOOKUP(A17,[1]ABSENCE!$B$5:$AK$76,35,0))=TRUE,0,VLOOKUP(A17,[1]ABSENCE!$B$5:$AK$76,35,0))</f>
        <v>0</v>
      </c>
      <c r="N17" s="33">
        <f>IF(ISNA(VLOOKUP(A17,[1]ABSENCE!$B$5:$AK$76,36,0))=TRUE,0,VLOOKUP(A17,[1]ABSENCE!$B$5:$AK$76,36,0))</f>
        <v>0</v>
      </c>
      <c r="O17" s="31">
        <f>IF(ISNA(VLOOKUP($A17,[1]HS!$B$5:$T$122,3,0))=TRUE,0,VLOOKUP($A17,[1]HS!$B$5:$T$122,3,0))</f>
        <v>2192.3498528817859</v>
      </c>
      <c r="P17" s="32"/>
      <c r="Q17" s="33"/>
      <c r="R17" s="32"/>
      <c r="S17" s="33"/>
      <c r="T17" s="32"/>
      <c r="U17" s="33"/>
      <c r="V17" s="32"/>
      <c r="W17" s="33"/>
      <c r="X17" s="32"/>
      <c r="Y17" s="33"/>
      <c r="Z17" s="34">
        <f t="shared" si="1"/>
        <v>0</v>
      </c>
      <c r="AA17" s="31">
        <f>+VLOOKUP(A17,[1]CONGE!$A$2:$W$113,20,0)</f>
        <v>0</v>
      </c>
      <c r="AB17" s="31">
        <f>+VLOOKUP(A17,[1]CONGE!$A$2:$W$113,21,0)</f>
        <v>0</v>
      </c>
      <c r="AC17" s="33">
        <f>IF(ISNA(VLOOKUP(A17,'[1]REPAS+DEPL'!$A$6:$M$1028,13,0))=TRUE,0,VLOOKUP(A17,'[1]REPAS+DEPL'!$A$6:$M$1028,13,0))</f>
        <v>0</v>
      </c>
      <c r="AD17" s="35"/>
      <c r="AE17" s="33">
        <f>IF(ISNA(VLOOKUP(A17,[1]Préavis!$A$2:$E$98,5,0))=TRUE,0,(VLOOKUP(A17,[1]Préavis!$A$2:$E$98,5,0)))</f>
        <v>0</v>
      </c>
      <c r="AF17" s="31">
        <f>+VLOOKUP(A17,[1]CONGE!$A$2:$V$112,18,0)</f>
        <v>0</v>
      </c>
      <c r="AG17" s="33">
        <f>IF(ISNA(VLOOKUP($A17,[1]CONGE!$A$2:$S$134,19,0))=TRUE,0,VLOOKUP($A17,[1]CONGE!$A$2:$S$134,19,0))</f>
        <v>0</v>
      </c>
      <c r="AH17" s="31">
        <f>+VLOOKUP(A17,[1]CONGE!$A$2:$W$113,22,0)</f>
        <v>0</v>
      </c>
      <c r="AI17" s="31">
        <f>+VLOOKUP(A17,[1]CONGE!$A$2:$W$113,23,0)</f>
        <v>0</v>
      </c>
      <c r="AJ17" s="36">
        <f t="shared" si="2"/>
        <v>139333.33333333334</v>
      </c>
      <c r="AK17" s="33">
        <f>IF(ISNA(VLOOKUP(A17,[1]AVANTAGE!$A$5:$T$118,19,0))=TRUE,0,VLOOKUP(A17,[1]AVANTAGE!$A$5:$T$118,19,0))</f>
        <v>0</v>
      </c>
      <c r="AL17" s="33">
        <f>IF(ISNA(VLOOKUP(A17,[1]AVANTAGE!$A$5:$T$118,20,0))=TRUE,0,VLOOKUP(A17,[1]AVANTAGE!$A$5:$T$118,20,0))</f>
        <v>0</v>
      </c>
      <c r="AM17" s="37">
        <f t="shared" si="3"/>
        <v>139333.33333333334</v>
      </c>
      <c r="AN17" s="38">
        <f t="shared" si="4"/>
        <v>1393.3333333333335</v>
      </c>
      <c r="AO17" s="33">
        <f t="shared" si="20"/>
        <v>1393.3333333333335</v>
      </c>
      <c r="AP17" s="38"/>
      <c r="AQ17" s="38">
        <f t="shared" si="6"/>
        <v>136500</v>
      </c>
      <c r="AR17" s="39">
        <f t="shared" si="7"/>
        <v>0</v>
      </c>
      <c r="AS17" s="40">
        <f>VLOOKUP(A17,'[1]Liste personnel'!$B$3:$R$187,16,0)</f>
        <v>0</v>
      </c>
      <c r="AT17" s="38">
        <f t="shared" si="21"/>
        <v>0</v>
      </c>
      <c r="AU17" s="38">
        <f t="shared" si="9"/>
        <v>0</v>
      </c>
      <c r="AV17" s="38">
        <f>IF(ISNA(VLOOKUP(A17,[1]AVANCE!$A$6:$E$122,4,0))=TRUE,0,VLOOKUP(A17,[1]AVANCE!$A$6:$E$122,4,0))</f>
        <v>0</v>
      </c>
      <c r="AW17" s="38">
        <f>IF(ISNA(VLOOKUP(A17,[1]AVANCE!$A$6:$E$122,5,0))=TRUE,0,VLOOKUP(A17,[1]AVANCE!$A$6:$E$122,5,0))</f>
        <v>0</v>
      </c>
      <c r="AX17" s="38">
        <f t="shared" si="10"/>
        <v>0</v>
      </c>
      <c r="AY17" s="57"/>
      <c r="AZ17" s="58">
        <f t="shared" si="11"/>
        <v>2786.666666666667</v>
      </c>
      <c r="BA17" s="38">
        <f t="shared" si="12"/>
        <v>136546.66666666669</v>
      </c>
      <c r="BB17" s="42"/>
      <c r="BC17" s="43"/>
      <c r="BD17" s="59">
        <f t="shared" si="13"/>
        <v>136546.66666666669</v>
      </c>
      <c r="BE17" s="60">
        <f t="shared" si="19"/>
        <v>136600</v>
      </c>
      <c r="BF17" s="61"/>
      <c r="BG17" s="61"/>
      <c r="BH17" s="62">
        <f t="shared" si="14"/>
        <v>0</v>
      </c>
      <c r="BI17" s="62">
        <f t="shared" si="15"/>
        <v>0</v>
      </c>
      <c r="BJ17" s="62">
        <f>+BI17*BH17/30</f>
        <v>0</v>
      </c>
      <c r="BK17" s="63">
        <f>+BD17+AX17+AY17</f>
        <v>136546.66666666669</v>
      </c>
      <c r="BL17" s="48">
        <f t="shared" si="18"/>
        <v>139333.33333333334</v>
      </c>
      <c r="BN17" s="49"/>
      <c r="BO17" s="49"/>
    </row>
    <row r="18" spans="1:67" s="18" customFormat="1" ht="27.75" customHeight="1">
      <c r="A18" s="50" t="s">
        <v>78</v>
      </c>
      <c r="B18" s="51" t="s">
        <v>213</v>
      </c>
      <c r="C18" s="52"/>
      <c r="D18" s="53" t="s">
        <v>214</v>
      </c>
      <c r="E18" s="54">
        <v>40557</v>
      </c>
      <c r="F18" s="25">
        <v>42359</v>
      </c>
      <c r="G18" s="54" t="s">
        <v>215</v>
      </c>
      <c r="H18" s="55" t="s">
        <v>187</v>
      </c>
      <c r="I18" s="29">
        <v>150000</v>
      </c>
      <c r="J18" s="28">
        <v>42369</v>
      </c>
      <c r="K18" s="29">
        <v>11</v>
      </c>
      <c r="L18" s="29">
        <f t="shared" si="0"/>
        <v>55000</v>
      </c>
      <c r="M18" s="56">
        <f>IF(ISNA(VLOOKUP(A18,[1]ABSENCE!$B$5:$AK$76,35,0))=TRUE,0,VLOOKUP(A18,[1]ABSENCE!$B$5:$AK$76,35,0))</f>
        <v>0</v>
      </c>
      <c r="N18" s="33">
        <f>IF(ISNA(VLOOKUP(A18,[1]ABSENCE!$B$5:$AK$76,36,0))=TRUE,0,VLOOKUP(A18,[1]ABSENCE!$B$5:$AK$76,36,0))</f>
        <v>0</v>
      </c>
      <c r="O18" s="31">
        <f>IF(ISNA(VLOOKUP($A18,[1]HS!$B$5:$T$122,3,0))=TRUE,0,VLOOKUP($A18,[1]HS!$B$5:$T$122,3,0))</f>
        <v>865.40125771649446</v>
      </c>
      <c r="P18" s="32"/>
      <c r="Q18" s="33"/>
      <c r="R18" s="32"/>
      <c r="S18" s="33"/>
      <c r="T18" s="32"/>
      <c r="U18" s="33"/>
      <c r="V18" s="32"/>
      <c r="W18" s="33"/>
      <c r="X18" s="32"/>
      <c r="Y18" s="33"/>
      <c r="Z18" s="34">
        <f t="shared" si="1"/>
        <v>0</v>
      </c>
      <c r="AA18" s="31">
        <f>+VLOOKUP(A18,[1]CONGE!$A$2:$W$113,20,0)</f>
        <v>0</v>
      </c>
      <c r="AB18" s="31">
        <f>+VLOOKUP(A18,[1]CONGE!$A$2:$W$113,21,0)</f>
        <v>0</v>
      </c>
      <c r="AC18" s="33">
        <f>IF(ISNA(VLOOKUP(A18,'[1]REPAS+DEPL'!$A$6:$M$1028,13,0))=TRUE,0,VLOOKUP(A18,'[1]REPAS+DEPL'!$A$6:$M$1028,13,0))</f>
        <v>0</v>
      </c>
      <c r="AD18" s="35"/>
      <c r="AE18" s="33">
        <f>IF(ISNA(VLOOKUP(A18,[1]Préavis!$A$2:$E$98,5,0))=TRUE,0,(VLOOKUP(A18,[1]Préavis!$A$2:$E$98,5,0)))</f>
        <v>0</v>
      </c>
      <c r="AF18" s="31">
        <f>+VLOOKUP(A18,[1]CONGE!$A$2:$V$112,18,0)</f>
        <v>0</v>
      </c>
      <c r="AG18" s="33">
        <f>IF(ISNA(VLOOKUP($A18,[1]CONGE!$A$2:$S$134,19,0))=TRUE,0,VLOOKUP($A18,[1]CONGE!$A$2:$S$134,19,0))</f>
        <v>0</v>
      </c>
      <c r="AH18" s="31">
        <f>+VLOOKUP(A18,[1]CONGE!$A$2:$W$113,22,0)</f>
        <v>0</v>
      </c>
      <c r="AI18" s="31">
        <f>+VLOOKUP(A18,[1]CONGE!$A$2:$W$113,23,0)</f>
        <v>0</v>
      </c>
      <c r="AJ18" s="36">
        <f t="shared" si="2"/>
        <v>55000</v>
      </c>
      <c r="AK18" s="33">
        <f>IF(ISNA(VLOOKUP(A18,[1]AVANTAGE!$A$5:$T$118,19,0))=TRUE,0,VLOOKUP(A18,[1]AVANTAGE!$A$5:$T$118,19,0))</f>
        <v>0</v>
      </c>
      <c r="AL18" s="33">
        <f>IF(ISNA(VLOOKUP(A18,[1]AVANTAGE!$A$5:$T$118,20,0))=TRUE,0,VLOOKUP(A18,[1]AVANTAGE!$A$5:$T$118,20,0))</f>
        <v>0</v>
      </c>
      <c r="AM18" s="37">
        <f t="shared" si="3"/>
        <v>55000</v>
      </c>
      <c r="AN18" s="38">
        <f t="shared" si="4"/>
        <v>550</v>
      </c>
      <c r="AO18" s="33">
        <f t="shared" si="20"/>
        <v>550</v>
      </c>
      <c r="AP18" s="38"/>
      <c r="AQ18" s="38">
        <f t="shared" si="6"/>
        <v>53900</v>
      </c>
      <c r="AR18" s="39">
        <f t="shared" si="7"/>
        <v>0</v>
      </c>
      <c r="AS18" s="40">
        <f>VLOOKUP(A18,'[1]Liste personnel'!$B$3:$R$187,16,0)</f>
        <v>0</v>
      </c>
      <c r="AT18" s="38">
        <f t="shared" si="21"/>
        <v>0</v>
      </c>
      <c r="AU18" s="38">
        <f t="shared" si="9"/>
        <v>0</v>
      </c>
      <c r="AV18" s="38">
        <f>IF(ISNA(VLOOKUP(A18,[1]AVANCE!$A$6:$E$122,4,0))=TRUE,0,VLOOKUP(A18,[1]AVANCE!$A$6:$E$122,4,0))</f>
        <v>0</v>
      </c>
      <c r="AW18" s="38">
        <f>IF(ISNA(VLOOKUP(A18,[1]AVANCE!$A$6:$E$122,5,0))=TRUE,0,VLOOKUP(A18,[1]AVANCE!$A$6:$E$122,5,0))</f>
        <v>0</v>
      </c>
      <c r="AX18" s="38">
        <f t="shared" si="10"/>
        <v>0</v>
      </c>
      <c r="AY18" s="57"/>
      <c r="AZ18" s="58">
        <f t="shared" si="11"/>
        <v>1100</v>
      </c>
      <c r="BA18" s="38">
        <f t="shared" si="12"/>
        <v>53900</v>
      </c>
      <c r="BB18" s="42"/>
      <c r="BC18" s="43"/>
      <c r="BD18" s="59">
        <f t="shared" si="13"/>
        <v>53900</v>
      </c>
      <c r="BE18" s="60">
        <f t="shared" si="19"/>
        <v>53900</v>
      </c>
      <c r="BF18" s="61"/>
      <c r="BG18" s="61"/>
      <c r="BH18" s="62">
        <f t="shared" si="14"/>
        <v>0</v>
      </c>
      <c r="BI18" s="62">
        <f t="shared" si="15"/>
        <v>0</v>
      </c>
      <c r="BJ18" s="62">
        <f>+BI18*BH18/30</f>
        <v>0</v>
      </c>
      <c r="BK18" s="63">
        <f>+BD18+AX18+AY18</f>
        <v>53900</v>
      </c>
      <c r="BL18" s="48">
        <f t="shared" si="18"/>
        <v>55000</v>
      </c>
      <c r="BN18" s="49"/>
      <c r="BO18" s="49"/>
    </row>
    <row r="19" spans="1:67" s="18" customFormat="1" ht="27.75" customHeight="1">
      <c r="A19" s="50" t="s">
        <v>79</v>
      </c>
      <c r="B19" s="51" t="s">
        <v>216</v>
      </c>
      <c r="C19" s="52"/>
      <c r="D19" s="53" t="s">
        <v>217</v>
      </c>
      <c r="E19" s="54">
        <v>40557</v>
      </c>
      <c r="F19" s="25">
        <v>42359</v>
      </c>
      <c r="G19" s="54" t="s">
        <v>182</v>
      </c>
      <c r="H19" s="55" t="s">
        <v>183</v>
      </c>
      <c r="I19" s="29">
        <v>220000</v>
      </c>
      <c r="J19" s="28">
        <v>42369</v>
      </c>
      <c r="K19" s="29">
        <v>11</v>
      </c>
      <c r="L19" s="29">
        <f t="shared" si="0"/>
        <v>80666.666666666672</v>
      </c>
      <c r="M19" s="56">
        <f>IF(ISNA(VLOOKUP(A19,[1]ABSENCE!$B$5:$AK$76,35,0))=TRUE,0,VLOOKUP(A19,[1]ABSENCE!$B$5:$AK$76,35,0))</f>
        <v>0</v>
      </c>
      <c r="N19" s="33">
        <f>IF(ISNA(VLOOKUP(A19,[1]ABSENCE!$B$5:$AK$76,36,0))=TRUE,0,VLOOKUP(A19,[1]ABSENCE!$B$5:$AK$76,36,0))</f>
        <v>0</v>
      </c>
      <c r="O19" s="31">
        <f>IF(ISNA(VLOOKUP($A19,[1]HS!$B$5:$T$122,3,0))=TRUE,0,VLOOKUP($A19,[1]HS!$B$5:$T$122,3,0))</f>
        <v>1269.255177984192</v>
      </c>
      <c r="P19" s="32"/>
      <c r="Q19" s="33"/>
      <c r="R19" s="32"/>
      <c r="S19" s="33"/>
      <c r="T19" s="32"/>
      <c r="U19" s="33"/>
      <c r="V19" s="32"/>
      <c r="W19" s="33"/>
      <c r="X19" s="32"/>
      <c r="Y19" s="33"/>
      <c r="Z19" s="34">
        <f t="shared" si="1"/>
        <v>0</v>
      </c>
      <c r="AA19" s="31">
        <f>+VLOOKUP(A19,[1]CONGE!$A$2:$W$113,20,0)</f>
        <v>0</v>
      </c>
      <c r="AB19" s="31">
        <f>+VLOOKUP(A19,[1]CONGE!$A$2:$W$113,21,0)</f>
        <v>0</v>
      </c>
      <c r="AC19" s="33">
        <f>IF(ISNA(VLOOKUP(A19,'[1]REPAS+DEPL'!$A$6:$M$1028,13,0))=TRUE,0,VLOOKUP(A19,'[1]REPAS+DEPL'!$A$6:$M$1028,13,0))</f>
        <v>0</v>
      </c>
      <c r="AD19" s="35"/>
      <c r="AE19" s="33">
        <f>IF(ISNA(VLOOKUP(A19,[1]Préavis!$A$2:$E$98,5,0))=TRUE,0,(VLOOKUP(A19,[1]Préavis!$A$2:$E$98,5,0)))</f>
        <v>0</v>
      </c>
      <c r="AF19" s="31">
        <f>+VLOOKUP(A19,[1]CONGE!$A$2:$V$112,18,0)</f>
        <v>0</v>
      </c>
      <c r="AG19" s="33">
        <f>IF(ISNA(VLOOKUP($A19,[1]CONGE!$A$2:$S$134,19,0))=TRUE,0,VLOOKUP($A19,[1]CONGE!$A$2:$S$134,19,0))</f>
        <v>0</v>
      </c>
      <c r="AH19" s="31">
        <f>+VLOOKUP(A19,[1]CONGE!$A$2:$W$113,22,0)</f>
        <v>0</v>
      </c>
      <c r="AI19" s="31">
        <f>+VLOOKUP(A19,[1]CONGE!$A$2:$W$113,23,0)</f>
        <v>0</v>
      </c>
      <c r="AJ19" s="36">
        <f t="shared" si="2"/>
        <v>80666.666666666672</v>
      </c>
      <c r="AK19" s="33">
        <f>IF(ISNA(VLOOKUP(A19,[1]AVANTAGE!$A$5:$T$118,19,0))=TRUE,0,VLOOKUP(A19,[1]AVANTAGE!$A$5:$T$118,19,0))</f>
        <v>0</v>
      </c>
      <c r="AL19" s="33">
        <f>IF(ISNA(VLOOKUP(A19,[1]AVANTAGE!$A$5:$T$118,20,0))=TRUE,0,VLOOKUP(A19,[1]AVANTAGE!$A$5:$T$118,20,0))</f>
        <v>0</v>
      </c>
      <c r="AM19" s="37">
        <f t="shared" si="3"/>
        <v>80666.666666666672</v>
      </c>
      <c r="AN19" s="38">
        <f t="shared" si="4"/>
        <v>806.66666666666674</v>
      </c>
      <c r="AO19" s="33">
        <f t="shared" si="20"/>
        <v>806.66666666666674</v>
      </c>
      <c r="AP19" s="38"/>
      <c r="AQ19" s="38">
        <f t="shared" si="6"/>
        <v>79000</v>
      </c>
      <c r="AR19" s="39">
        <f t="shared" si="7"/>
        <v>0</v>
      </c>
      <c r="AS19" s="40">
        <f>VLOOKUP(A19,'[1]Liste personnel'!$B$3:$R$187,16,0)</f>
        <v>0</v>
      </c>
      <c r="AT19" s="38">
        <f t="shared" si="21"/>
        <v>0</v>
      </c>
      <c r="AU19" s="38">
        <f t="shared" si="9"/>
        <v>0</v>
      </c>
      <c r="AV19" s="38">
        <f>IF(ISNA(VLOOKUP(A19,[1]AVANCE!$A$6:$E$122,4,0))=TRUE,0,VLOOKUP(A19,[1]AVANCE!$A$6:$E$122,4,0))</f>
        <v>0</v>
      </c>
      <c r="AW19" s="38">
        <f>IF(ISNA(VLOOKUP(A19,[1]AVANCE!$A$6:$E$122,5,0))=TRUE,0,VLOOKUP(A19,[1]AVANCE!$A$6:$E$122,5,0))</f>
        <v>0</v>
      </c>
      <c r="AX19" s="38">
        <f t="shared" si="10"/>
        <v>0</v>
      </c>
      <c r="AY19" s="57"/>
      <c r="AZ19" s="58">
        <f t="shared" si="11"/>
        <v>1613.3333333333335</v>
      </c>
      <c r="BA19" s="38">
        <f t="shared" si="12"/>
        <v>79053.333333333343</v>
      </c>
      <c r="BB19" s="42"/>
      <c r="BC19" s="43"/>
      <c r="BD19" s="59">
        <f t="shared" si="13"/>
        <v>79053.333333333343</v>
      </c>
      <c r="BE19" s="60">
        <f t="shared" si="19"/>
        <v>79100</v>
      </c>
      <c r="BF19" s="61"/>
      <c r="BG19" s="61"/>
      <c r="BH19" s="62">
        <f t="shared" si="14"/>
        <v>0</v>
      </c>
      <c r="BI19" s="62">
        <f t="shared" si="15"/>
        <v>0</v>
      </c>
      <c r="BJ19" s="62">
        <f>+BI19*BH19/30</f>
        <v>0</v>
      </c>
      <c r="BK19" s="63">
        <f>+BD19+AX19+AY19</f>
        <v>79053.333333333343</v>
      </c>
      <c r="BL19" s="48">
        <f t="shared" si="18"/>
        <v>80666.666666666672</v>
      </c>
      <c r="BN19" s="49"/>
      <c r="BO19" s="49"/>
    </row>
    <row r="20" spans="1:67" s="18" customFormat="1" ht="27.75" customHeight="1">
      <c r="A20" s="50" t="s">
        <v>80</v>
      </c>
      <c r="B20" s="51" t="s">
        <v>218</v>
      </c>
      <c r="C20" s="52"/>
      <c r="D20" s="53" t="s">
        <v>219</v>
      </c>
      <c r="E20" s="54">
        <v>40567</v>
      </c>
      <c r="F20" s="25">
        <v>42359</v>
      </c>
      <c r="G20" s="54" t="s">
        <v>220</v>
      </c>
      <c r="H20" s="55" t="s">
        <v>187</v>
      </c>
      <c r="I20" s="29">
        <v>150000</v>
      </c>
      <c r="J20" s="28">
        <v>42369</v>
      </c>
      <c r="K20" s="29">
        <v>11</v>
      </c>
      <c r="L20" s="29">
        <f t="shared" si="0"/>
        <v>55000</v>
      </c>
      <c r="M20" s="56">
        <f>IF(ISNA(VLOOKUP(A20,[1]ABSENCE!$B$5:$AK$76,35,0))=TRUE,0,VLOOKUP(A20,[1]ABSENCE!$B$5:$AK$76,35,0))</f>
        <v>0</v>
      </c>
      <c r="N20" s="33">
        <f>IF(ISNA(VLOOKUP(A20,[1]ABSENCE!$B$5:$AK$76,36,0))=TRUE,0,VLOOKUP(A20,[1]ABSENCE!$B$5:$AK$76,36,0))</f>
        <v>0</v>
      </c>
      <c r="O20" s="31">
        <f>IF(ISNA(VLOOKUP($A20,[1]HS!$B$5:$T$122,3,0))=TRUE,0,VLOOKUP($A20,[1]HS!$B$5:$T$122,3,0))</f>
        <v>865.40125771649446</v>
      </c>
      <c r="P20" s="32"/>
      <c r="Q20" s="33"/>
      <c r="R20" s="32"/>
      <c r="S20" s="33"/>
      <c r="T20" s="32"/>
      <c r="U20" s="33"/>
      <c r="V20" s="32"/>
      <c r="W20" s="33"/>
      <c r="X20" s="32"/>
      <c r="Y20" s="33"/>
      <c r="Z20" s="34">
        <f t="shared" si="1"/>
        <v>0</v>
      </c>
      <c r="AA20" s="31">
        <f>+VLOOKUP(A20,[1]CONGE!$A$2:$W$113,20,0)</f>
        <v>0</v>
      </c>
      <c r="AB20" s="31">
        <f>+VLOOKUP(A20,[1]CONGE!$A$2:$W$113,21,0)</f>
        <v>0</v>
      </c>
      <c r="AC20" s="33">
        <f>IF(ISNA(VLOOKUP(A20,'[1]REPAS+DEPL'!$A$6:$M$1028,13,0))=TRUE,0,VLOOKUP(A20,'[1]REPAS+DEPL'!$A$6:$M$1028,13,0))</f>
        <v>0</v>
      </c>
      <c r="AD20" s="35"/>
      <c r="AE20" s="33">
        <f>IF(ISNA(VLOOKUP(A20,[1]Préavis!$A$2:$E$98,5,0))=TRUE,0,(VLOOKUP(A20,[1]Préavis!$A$2:$E$98,5,0)))</f>
        <v>0</v>
      </c>
      <c r="AF20" s="31">
        <f>+VLOOKUP(A20,[1]CONGE!$A$2:$V$112,18,0)</f>
        <v>0</v>
      </c>
      <c r="AG20" s="33">
        <f>IF(ISNA(VLOOKUP($A20,[1]CONGE!$A$2:$S$134,19,0))=TRUE,0,VLOOKUP($A20,[1]CONGE!$A$2:$S$134,19,0))</f>
        <v>0</v>
      </c>
      <c r="AH20" s="31">
        <f>+VLOOKUP(A20,[1]CONGE!$A$2:$W$113,22,0)</f>
        <v>0</v>
      </c>
      <c r="AI20" s="31">
        <f>+VLOOKUP(A20,[1]CONGE!$A$2:$W$113,23,0)</f>
        <v>0</v>
      </c>
      <c r="AJ20" s="36">
        <f t="shared" si="2"/>
        <v>55000</v>
      </c>
      <c r="AK20" s="33">
        <f>IF(ISNA(VLOOKUP(A20,[1]AVANTAGE!$A$5:$T$118,19,0))=TRUE,0,VLOOKUP(A20,[1]AVANTAGE!$A$5:$T$118,19,0))</f>
        <v>0</v>
      </c>
      <c r="AL20" s="33">
        <f>IF(ISNA(VLOOKUP(A20,[1]AVANTAGE!$A$5:$T$118,20,0))=TRUE,0,VLOOKUP(A20,[1]AVANTAGE!$A$5:$T$118,20,0))</f>
        <v>0</v>
      </c>
      <c r="AM20" s="37">
        <f t="shared" si="3"/>
        <v>55000</v>
      </c>
      <c r="AN20" s="38">
        <f t="shared" si="4"/>
        <v>550</v>
      </c>
      <c r="AO20" s="33">
        <f t="shared" si="20"/>
        <v>550</v>
      </c>
      <c r="AP20" s="38"/>
      <c r="AQ20" s="38">
        <f t="shared" si="6"/>
        <v>53900</v>
      </c>
      <c r="AR20" s="39">
        <f t="shared" si="7"/>
        <v>0</v>
      </c>
      <c r="AS20" s="40">
        <f>VLOOKUP(A20,'[1]Liste personnel'!$B$3:$R$187,16,0)</f>
        <v>2</v>
      </c>
      <c r="AT20" s="38">
        <f t="shared" si="21"/>
        <v>4000</v>
      </c>
      <c r="AU20" s="38">
        <f t="shared" si="9"/>
        <v>0</v>
      </c>
      <c r="AV20" s="38">
        <f>IF(ISNA(VLOOKUP(A20,[1]AVANCE!$A$6:$E$122,4,0))=TRUE,0,VLOOKUP(A20,[1]AVANCE!$A$6:$E$122,4,0))</f>
        <v>0</v>
      </c>
      <c r="AW20" s="38">
        <f>IF(ISNA(VLOOKUP(A20,[1]AVANCE!$A$6:$E$122,5,0))=TRUE,0,VLOOKUP(A20,[1]AVANCE!$A$6:$E$122,5,0))</f>
        <v>0</v>
      </c>
      <c r="AX20" s="38">
        <f t="shared" si="10"/>
        <v>0</v>
      </c>
      <c r="AY20" s="57"/>
      <c r="AZ20" s="58">
        <f t="shared" si="11"/>
        <v>1100</v>
      </c>
      <c r="BA20" s="38">
        <f t="shared" si="12"/>
        <v>53900</v>
      </c>
      <c r="BB20" s="42"/>
      <c r="BC20" s="43"/>
      <c r="BD20" s="59">
        <f t="shared" si="13"/>
        <v>53900</v>
      </c>
      <c r="BE20" s="60">
        <f t="shared" si="19"/>
        <v>53900</v>
      </c>
      <c r="BF20" s="61"/>
      <c r="BG20" s="61"/>
      <c r="BH20" s="62">
        <f t="shared" si="14"/>
        <v>0</v>
      </c>
      <c r="BI20" s="62">
        <f t="shared" si="15"/>
        <v>0</v>
      </c>
      <c r="BJ20" s="62">
        <f t="shared" ref="BJ20:BJ44" si="22">+BI20*BH20/30</f>
        <v>0</v>
      </c>
      <c r="BK20" s="63">
        <f t="shared" ref="BK20:BK44" si="23">+BD20+AX20+AY20</f>
        <v>53900</v>
      </c>
      <c r="BL20" s="48">
        <f t="shared" si="18"/>
        <v>55000</v>
      </c>
      <c r="BN20" s="49"/>
      <c r="BO20" s="49"/>
    </row>
    <row r="21" spans="1:67" s="18" customFormat="1" ht="27.75" customHeight="1">
      <c r="A21" s="50" t="s">
        <v>81</v>
      </c>
      <c r="B21" s="51" t="s">
        <v>221</v>
      </c>
      <c r="C21" s="52"/>
      <c r="D21" s="53" t="s">
        <v>222</v>
      </c>
      <c r="E21" s="54">
        <v>40787</v>
      </c>
      <c r="F21" s="25">
        <v>42359</v>
      </c>
      <c r="G21" s="54" t="s">
        <v>182</v>
      </c>
      <c r="H21" s="55" t="s">
        <v>183</v>
      </c>
      <c r="I21" s="29">
        <v>220000</v>
      </c>
      <c r="J21" s="28">
        <v>42369</v>
      </c>
      <c r="K21" s="29">
        <v>11</v>
      </c>
      <c r="L21" s="29">
        <f t="shared" si="0"/>
        <v>80666.666666666672</v>
      </c>
      <c r="M21" s="56">
        <f>IF(ISNA(VLOOKUP(A21,[1]ABSENCE!$B$5:$AK$76,35,0))=TRUE,0,VLOOKUP(A21,[1]ABSENCE!$B$5:$AK$76,35,0))</f>
        <v>0</v>
      </c>
      <c r="N21" s="33">
        <f>IF(ISNA(VLOOKUP(A21,[1]ABSENCE!$B$5:$AK$76,36,0))=TRUE,0,VLOOKUP(A21,[1]ABSENCE!$B$5:$AK$76,36,0))</f>
        <v>0</v>
      </c>
      <c r="O21" s="31">
        <f>IF(ISNA(VLOOKUP($A21,[1]HS!$B$5:$T$122,3,0))=TRUE,0,VLOOKUP($A21,[1]HS!$B$5:$T$122,3,0))</f>
        <v>1269.255177984192</v>
      </c>
      <c r="P21" s="32"/>
      <c r="Q21" s="33"/>
      <c r="R21" s="32"/>
      <c r="S21" s="33"/>
      <c r="T21" s="32"/>
      <c r="U21" s="33"/>
      <c r="V21" s="32"/>
      <c r="W21" s="33"/>
      <c r="X21" s="32"/>
      <c r="Y21" s="33"/>
      <c r="Z21" s="34">
        <f t="shared" si="1"/>
        <v>0</v>
      </c>
      <c r="AA21" s="31">
        <f>+VLOOKUP(A21,[1]CONGE!$A$2:$W$113,20,0)</f>
        <v>0</v>
      </c>
      <c r="AB21" s="31">
        <f>+VLOOKUP(A21,[1]CONGE!$A$2:$W$113,21,0)</f>
        <v>0</v>
      </c>
      <c r="AC21" s="33">
        <f>IF(ISNA(VLOOKUP(A21,'[1]REPAS+DEPL'!$A$6:$M$1028,13,0))=TRUE,0,VLOOKUP(A21,'[1]REPAS+DEPL'!$A$6:$M$1028,13,0))</f>
        <v>0</v>
      </c>
      <c r="AD21" s="35"/>
      <c r="AE21" s="33">
        <f>IF(ISNA(VLOOKUP(A21,[1]Préavis!$A$2:$E$98,5,0))=TRUE,0,(VLOOKUP(A21,[1]Préavis!$A$2:$E$98,5,0)))</f>
        <v>0</v>
      </c>
      <c r="AF21" s="31">
        <f>+VLOOKUP(A21,[1]CONGE!$A$2:$V$112,18,0)</f>
        <v>0</v>
      </c>
      <c r="AG21" s="33">
        <f>IF(ISNA(VLOOKUP($A21,[1]CONGE!$A$2:$S$134,19,0))=TRUE,0,VLOOKUP($A21,[1]CONGE!$A$2:$S$134,19,0))</f>
        <v>0</v>
      </c>
      <c r="AH21" s="31">
        <f>+VLOOKUP(A21,[1]CONGE!$A$2:$W$113,22,0)</f>
        <v>0</v>
      </c>
      <c r="AI21" s="31">
        <f>+VLOOKUP(A21,[1]CONGE!$A$2:$W$113,23,0)</f>
        <v>0</v>
      </c>
      <c r="AJ21" s="36">
        <f t="shared" si="2"/>
        <v>80666.666666666672</v>
      </c>
      <c r="AK21" s="33">
        <f>IF(ISNA(VLOOKUP(A21,[1]AVANTAGE!$A$5:$T$118,19,0))=TRUE,0,VLOOKUP(A21,[1]AVANTAGE!$A$5:$T$118,19,0))</f>
        <v>0</v>
      </c>
      <c r="AL21" s="33">
        <f>IF(ISNA(VLOOKUP(A21,[1]AVANTAGE!$A$5:$T$118,20,0))=TRUE,0,VLOOKUP(A21,[1]AVANTAGE!$A$5:$T$118,20,0))</f>
        <v>0</v>
      </c>
      <c r="AM21" s="37">
        <f t="shared" si="3"/>
        <v>80666.666666666672</v>
      </c>
      <c r="AN21" s="38">
        <f t="shared" si="4"/>
        <v>806.66666666666674</v>
      </c>
      <c r="AO21" s="33">
        <f t="shared" si="20"/>
        <v>806.66666666666674</v>
      </c>
      <c r="AP21" s="38"/>
      <c r="AQ21" s="38">
        <f t="shared" si="6"/>
        <v>79000</v>
      </c>
      <c r="AR21" s="39">
        <f t="shared" si="7"/>
        <v>0</v>
      </c>
      <c r="AS21" s="40">
        <f>VLOOKUP(A21,'[1]Liste personnel'!$B$3:$R$187,16,0)</f>
        <v>0</v>
      </c>
      <c r="AT21" s="38">
        <f t="shared" si="21"/>
        <v>0</v>
      </c>
      <c r="AU21" s="38">
        <f t="shared" si="9"/>
        <v>0</v>
      </c>
      <c r="AV21" s="38">
        <f>IF(ISNA(VLOOKUP(A21,[1]AVANCE!$A$6:$E$122,4,0))=TRUE,0,VLOOKUP(A21,[1]AVANCE!$A$6:$E$122,4,0))</f>
        <v>0</v>
      </c>
      <c r="AW21" s="38">
        <f>IF(ISNA(VLOOKUP(A21,[1]AVANCE!$A$6:$E$122,5,0))=TRUE,0,VLOOKUP(A21,[1]AVANCE!$A$6:$E$122,5,0))</f>
        <v>0</v>
      </c>
      <c r="AX21" s="38">
        <f t="shared" si="10"/>
        <v>0</v>
      </c>
      <c r="AY21" s="57"/>
      <c r="AZ21" s="58">
        <f t="shared" si="11"/>
        <v>1613.3333333333335</v>
      </c>
      <c r="BA21" s="38">
        <f t="shared" si="12"/>
        <v>79053.333333333343</v>
      </c>
      <c r="BB21" s="42"/>
      <c r="BC21" s="43"/>
      <c r="BD21" s="59">
        <f t="shared" si="13"/>
        <v>79053.333333333343</v>
      </c>
      <c r="BE21" s="60">
        <f t="shared" si="19"/>
        <v>79100</v>
      </c>
      <c r="BF21" s="61"/>
      <c r="BG21" s="61"/>
      <c r="BH21" s="62">
        <f t="shared" si="14"/>
        <v>0</v>
      </c>
      <c r="BI21" s="62">
        <f t="shared" si="15"/>
        <v>0</v>
      </c>
      <c r="BJ21" s="62">
        <f t="shared" si="22"/>
        <v>0</v>
      </c>
      <c r="BK21" s="63">
        <f t="shared" si="23"/>
        <v>79053.333333333343</v>
      </c>
      <c r="BL21" s="48">
        <f t="shared" si="18"/>
        <v>80666.666666666672</v>
      </c>
      <c r="BN21" s="49"/>
      <c r="BO21" s="49"/>
    </row>
    <row r="22" spans="1:67" s="18" customFormat="1" ht="27.75" customHeight="1">
      <c r="A22" s="50" t="s">
        <v>82</v>
      </c>
      <c r="B22" s="51" t="s">
        <v>223</v>
      </c>
      <c r="C22" s="52"/>
      <c r="D22" s="53" t="s">
        <v>224</v>
      </c>
      <c r="E22" s="54">
        <v>40934</v>
      </c>
      <c r="F22" s="25">
        <v>42359</v>
      </c>
      <c r="G22" s="54" t="s">
        <v>201</v>
      </c>
      <c r="H22" s="55" t="s">
        <v>183</v>
      </c>
      <c r="I22" s="29">
        <v>220000</v>
      </c>
      <c r="J22" s="28">
        <v>42369</v>
      </c>
      <c r="K22" s="29">
        <v>11</v>
      </c>
      <c r="L22" s="29">
        <f t="shared" si="0"/>
        <v>80666.666666666672</v>
      </c>
      <c r="M22" s="56">
        <f>IF(ISNA(VLOOKUP(A22,[1]ABSENCE!$B$5:$AK$76,35,0))=TRUE,0,VLOOKUP(A22,[1]ABSENCE!$B$5:$AK$76,35,0))</f>
        <v>0</v>
      </c>
      <c r="N22" s="33">
        <f>IF(ISNA(VLOOKUP(A22,[1]ABSENCE!$B$5:$AK$76,36,0))=TRUE,0,VLOOKUP(A22,[1]ABSENCE!$B$5:$AK$76,36,0))</f>
        <v>0</v>
      </c>
      <c r="O22" s="31">
        <f>IF(ISNA(VLOOKUP($A22,[1]HS!$B$5:$T$122,3,0))=TRUE,0,VLOOKUP($A22,[1]HS!$B$5:$T$122,3,0))</f>
        <v>1269.255177984192</v>
      </c>
      <c r="P22" s="32"/>
      <c r="Q22" s="33"/>
      <c r="R22" s="32"/>
      <c r="S22" s="33"/>
      <c r="T22" s="32"/>
      <c r="U22" s="33"/>
      <c r="V22" s="32"/>
      <c r="W22" s="33"/>
      <c r="X22" s="32"/>
      <c r="Y22" s="33"/>
      <c r="Z22" s="34">
        <f t="shared" si="1"/>
        <v>0</v>
      </c>
      <c r="AA22" s="31">
        <f>+VLOOKUP(A22,[1]CONGE!$A$2:$W$113,20,0)</f>
        <v>0</v>
      </c>
      <c r="AB22" s="31">
        <f>+VLOOKUP(A22,[1]CONGE!$A$2:$W$113,21,0)</f>
        <v>0</v>
      </c>
      <c r="AC22" s="33">
        <f>IF(ISNA(VLOOKUP(A22,'[1]REPAS+DEPL'!$A$6:$M$1028,13,0))=TRUE,0,VLOOKUP(A22,'[1]REPAS+DEPL'!$A$6:$M$1028,13,0))</f>
        <v>0</v>
      </c>
      <c r="AD22" s="35"/>
      <c r="AE22" s="33">
        <f>IF(ISNA(VLOOKUP(A22,[1]Préavis!$A$2:$E$98,5,0))=TRUE,0,(VLOOKUP(A22,[1]Préavis!$A$2:$E$98,5,0)))</f>
        <v>0</v>
      </c>
      <c r="AF22" s="31">
        <f>+VLOOKUP(A22,[1]CONGE!$A$2:$V$112,18,0)</f>
        <v>0</v>
      </c>
      <c r="AG22" s="33">
        <f>IF(ISNA(VLOOKUP($A22,[1]CONGE!$A$2:$S$134,19,0))=TRUE,0,VLOOKUP($A22,[1]CONGE!$A$2:$S$134,19,0))</f>
        <v>0</v>
      </c>
      <c r="AH22" s="31">
        <f>+VLOOKUP(A22,[1]CONGE!$A$2:$W$113,22,0)</f>
        <v>0</v>
      </c>
      <c r="AI22" s="31">
        <f>+VLOOKUP(A22,[1]CONGE!$A$2:$W$113,23,0)</f>
        <v>0</v>
      </c>
      <c r="AJ22" s="36">
        <f t="shared" si="2"/>
        <v>80666.666666666672</v>
      </c>
      <c r="AK22" s="33">
        <f>IF(ISNA(VLOOKUP(A22,[1]AVANTAGE!$A$5:$T$118,19,0))=TRUE,0,VLOOKUP(A22,[1]AVANTAGE!$A$5:$T$118,19,0))</f>
        <v>0</v>
      </c>
      <c r="AL22" s="33">
        <f>IF(ISNA(VLOOKUP(A22,[1]AVANTAGE!$A$5:$T$118,20,0))=TRUE,0,VLOOKUP(A22,[1]AVANTAGE!$A$5:$T$118,20,0))</f>
        <v>0</v>
      </c>
      <c r="AM22" s="37">
        <f t="shared" si="3"/>
        <v>80666.666666666672</v>
      </c>
      <c r="AN22" s="38">
        <f t="shared" si="4"/>
        <v>806.66666666666674</v>
      </c>
      <c r="AO22" s="33">
        <f t="shared" si="20"/>
        <v>806.66666666666674</v>
      </c>
      <c r="AP22" s="38"/>
      <c r="AQ22" s="38">
        <f t="shared" si="6"/>
        <v>79000</v>
      </c>
      <c r="AR22" s="39">
        <f t="shared" si="7"/>
        <v>0</v>
      </c>
      <c r="AS22" s="40">
        <f>VLOOKUP(A22,'[1]Liste personnel'!$B$3:$R$187,16,0)</f>
        <v>0</v>
      </c>
      <c r="AT22" s="38">
        <f t="shared" si="21"/>
        <v>0</v>
      </c>
      <c r="AU22" s="38">
        <f t="shared" si="9"/>
        <v>0</v>
      </c>
      <c r="AV22" s="38">
        <f>IF(ISNA(VLOOKUP(A22,[1]AVANCE!$A$6:$E$122,4,0))=TRUE,0,VLOOKUP(A22,[1]AVANCE!$A$6:$E$122,4,0))</f>
        <v>0</v>
      </c>
      <c r="AW22" s="38">
        <f>IF(ISNA(VLOOKUP(A22,[1]AVANCE!$A$6:$E$122,5,0))=TRUE,0,VLOOKUP(A22,[1]AVANCE!$A$6:$E$122,5,0))</f>
        <v>0</v>
      </c>
      <c r="AX22" s="38">
        <f t="shared" si="10"/>
        <v>0</v>
      </c>
      <c r="AY22" s="57"/>
      <c r="AZ22" s="58">
        <f t="shared" si="11"/>
        <v>1613.3333333333335</v>
      </c>
      <c r="BA22" s="38">
        <f t="shared" si="12"/>
        <v>79053.333333333343</v>
      </c>
      <c r="BB22" s="42"/>
      <c r="BC22" s="43"/>
      <c r="BD22" s="59">
        <f t="shared" si="13"/>
        <v>79053.333333333343</v>
      </c>
      <c r="BE22" s="60">
        <f t="shared" si="19"/>
        <v>79100</v>
      </c>
      <c r="BF22" s="61"/>
      <c r="BG22" s="61"/>
      <c r="BH22" s="62">
        <f t="shared" si="14"/>
        <v>0</v>
      </c>
      <c r="BI22" s="62">
        <f t="shared" si="15"/>
        <v>0</v>
      </c>
      <c r="BJ22" s="62">
        <f t="shared" si="22"/>
        <v>0</v>
      </c>
      <c r="BK22" s="63">
        <f t="shared" si="23"/>
        <v>79053.333333333343</v>
      </c>
      <c r="BL22" s="48">
        <f t="shared" si="18"/>
        <v>80666.666666666672</v>
      </c>
      <c r="BN22" s="49"/>
      <c r="BO22" s="49"/>
    </row>
    <row r="23" spans="1:67" s="18" customFormat="1" ht="27.75" customHeight="1">
      <c r="A23" s="50" t="s">
        <v>83</v>
      </c>
      <c r="B23" s="51" t="s">
        <v>225</v>
      </c>
      <c r="C23" s="52"/>
      <c r="D23" s="53" t="s">
        <v>224</v>
      </c>
      <c r="E23" s="54">
        <v>40938</v>
      </c>
      <c r="F23" s="25">
        <v>42359</v>
      </c>
      <c r="G23" s="54" t="s">
        <v>215</v>
      </c>
      <c r="H23" s="55" t="s">
        <v>187</v>
      </c>
      <c r="I23" s="29">
        <v>165000</v>
      </c>
      <c r="J23" s="28">
        <v>42369</v>
      </c>
      <c r="K23" s="29">
        <v>11</v>
      </c>
      <c r="L23" s="29">
        <f t="shared" si="0"/>
        <v>60500</v>
      </c>
      <c r="M23" s="56">
        <f>IF(ISNA(VLOOKUP(A23,[1]ABSENCE!$B$5:$AK$76,35,0))=TRUE,0,VLOOKUP(A23,[1]ABSENCE!$B$5:$AK$76,35,0))</f>
        <v>0</v>
      </c>
      <c r="N23" s="33">
        <f>IF(ISNA(VLOOKUP(A23,[1]ABSENCE!$B$5:$AK$76,36,0))=TRUE,0,VLOOKUP(A23,[1]ABSENCE!$B$5:$AK$76,36,0))</f>
        <v>0</v>
      </c>
      <c r="O23" s="31">
        <f>IF(ISNA(VLOOKUP($A23,[1]HS!$B$5:$T$122,3,0))=TRUE,0,VLOOKUP($A23,[1]HS!$B$5:$T$122,3,0))</f>
        <v>951.94138348814397</v>
      </c>
      <c r="P23" s="32"/>
      <c r="Q23" s="33"/>
      <c r="R23" s="32"/>
      <c r="S23" s="33"/>
      <c r="T23" s="32"/>
      <c r="U23" s="33"/>
      <c r="V23" s="32"/>
      <c r="W23" s="33"/>
      <c r="X23" s="32"/>
      <c r="Y23" s="33"/>
      <c r="Z23" s="34">
        <f t="shared" si="1"/>
        <v>0</v>
      </c>
      <c r="AA23" s="31">
        <f>+VLOOKUP(A23,[1]CONGE!$A$2:$W$113,20,0)</f>
        <v>0</v>
      </c>
      <c r="AB23" s="31">
        <f>+VLOOKUP(A23,[1]CONGE!$A$2:$W$113,21,0)</f>
        <v>0</v>
      </c>
      <c r="AC23" s="33">
        <f>IF(ISNA(VLOOKUP(A23,'[1]REPAS+DEPL'!$A$6:$M$1028,13,0))=TRUE,0,VLOOKUP(A23,'[1]REPAS+DEPL'!$A$6:$M$1028,13,0))</f>
        <v>0</v>
      </c>
      <c r="AD23" s="35"/>
      <c r="AE23" s="33">
        <f>IF(ISNA(VLOOKUP(A23,[1]Préavis!$A$2:$E$98,5,0))=TRUE,0,(VLOOKUP(A23,[1]Préavis!$A$2:$E$98,5,0)))</f>
        <v>0</v>
      </c>
      <c r="AF23" s="31">
        <f>+VLOOKUP(A23,[1]CONGE!$A$2:$V$112,18,0)</f>
        <v>0</v>
      </c>
      <c r="AG23" s="33">
        <f>IF(ISNA(VLOOKUP($A23,[1]CONGE!$A$2:$S$134,19,0))=TRUE,0,VLOOKUP($A23,[1]CONGE!$A$2:$S$134,19,0))</f>
        <v>0</v>
      </c>
      <c r="AH23" s="31">
        <f>+VLOOKUP(A23,[1]CONGE!$A$2:$W$113,22,0)</f>
        <v>0</v>
      </c>
      <c r="AI23" s="31">
        <f>+VLOOKUP(A23,[1]CONGE!$A$2:$W$113,23,0)</f>
        <v>0</v>
      </c>
      <c r="AJ23" s="36">
        <f t="shared" si="2"/>
        <v>60500</v>
      </c>
      <c r="AK23" s="33">
        <f>IF(ISNA(VLOOKUP(A23,[1]AVANTAGE!$A$5:$T$118,19,0))=TRUE,0,VLOOKUP(A23,[1]AVANTAGE!$A$5:$T$118,19,0))</f>
        <v>0</v>
      </c>
      <c r="AL23" s="33">
        <f>IF(ISNA(VLOOKUP(A23,[1]AVANTAGE!$A$5:$T$118,20,0))=TRUE,0,VLOOKUP(A23,[1]AVANTAGE!$A$5:$T$118,20,0))</f>
        <v>0</v>
      </c>
      <c r="AM23" s="37">
        <f t="shared" si="3"/>
        <v>60500</v>
      </c>
      <c r="AN23" s="38">
        <f t="shared" si="4"/>
        <v>605</v>
      </c>
      <c r="AO23" s="33">
        <f t="shared" si="20"/>
        <v>605</v>
      </c>
      <c r="AP23" s="38"/>
      <c r="AQ23" s="38">
        <f t="shared" si="6"/>
        <v>59200</v>
      </c>
      <c r="AR23" s="39">
        <f t="shared" si="7"/>
        <v>0</v>
      </c>
      <c r="AS23" s="40">
        <f>VLOOKUP(A23,'[1]Liste personnel'!$B$3:$R$187,16,0)</f>
        <v>0</v>
      </c>
      <c r="AT23" s="38">
        <f t="shared" si="21"/>
        <v>0</v>
      </c>
      <c r="AU23" s="38">
        <f t="shared" si="9"/>
        <v>0</v>
      </c>
      <c r="AV23" s="38">
        <f>IF(ISNA(VLOOKUP(A23,[1]AVANCE!$A$6:$E$122,4,0))=TRUE,0,VLOOKUP(A23,[1]AVANCE!$A$6:$E$122,4,0))</f>
        <v>0</v>
      </c>
      <c r="AW23" s="38">
        <f>IF(ISNA(VLOOKUP(A23,[1]AVANCE!$A$6:$E$122,5,0))=TRUE,0,VLOOKUP(A23,[1]AVANCE!$A$6:$E$122,5,0))</f>
        <v>0</v>
      </c>
      <c r="AX23" s="38">
        <f t="shared" si="10"/>
        <v>0</v>
      </c>
      <c r="AY23" s="57"/>
      <c r="AZ23" s="58">
        <f t="shared" si="11"/>
        <v>1210</v>
      </c>
      <c r="BA23" s="38">
        <f t="shared" si="12"/>
        <v>59290</v>
      </c>
      <c r="BB23" s="42"/>
      <c r="BC23" s="43"/>
      <c r="BD23" s="59">
        <f t="shared" si="13"/>
        <v>59290</v>
      </c>
      <c r="BE23" s="60">
        <f t="shared" si="19"/>
        <v>59300</v>
      </c>
      <c r="BF23" s="61"/>
      <c r="BG23" s="61"/>
      <c r="BH23" s="62">
        <f t="shared" si="14"/>
        <v>0</v>
      </c>
      <c r="BI23" s="62">
        <f t="shared" si="15"/>
        <v>0</v>
      </c>
      <c r="BJ23" s="62">
        <f t="shared" si="22"/>
        <v>0</v>
      </c>
      <c r="BK23" s="63">
        <f t="shared" si="23"/>
        <v>59290</v>
      </c>
      <c r="BL23" s="48">
        <f t="shared" si="18"/>
        <v>60500</v>
      </c>
      <c r="BN23" s="49"/>
      <c r="BO23" s="49"/>
    </row>
    <row r="24" spans="1:67" s="18" customFormat="1" ht="27.75" customHeight="1">
      <c r="A24" s="50" t="s">
        <v>84</v>
      </c>
      <c r="B24" s="51" t="s">
        <v>226</v>
      </c>
      <c r="C24" s="52"/>
      <c r="D24" s="53" t="s">
        <v>224</v>
      </c>
      <c r="E24" s="54">
        <v>41290</v>
      </c>
      <c r="F24" s="25">
        <v>42359</v>
      </c>
      <c r="G24" s="54" t="s">
        <v>215</v>
      </c>
      <c r="H24" s="55" t="s">
        <v>187</v>
      </c>
      <c r="I24" s="29">
        <v>150000</v>
      </c>
      <c r="J24" s="28">
        <v>42369</v>
      </c>
      <c r="K24" s="29">
        <v>11</v>
      </c>
      <c r="L24" s="29">
        <f t="shared" si="0"/>
        <v>55000</v>
      </c>
      <c r="M24" s="56">
        <f>IF(ISNA(VLOOKUP(A24,[1]ABSENCE!$B$5:$AK$76,35,0))=TRUE,0,VLOOKUP(A24,[1]ABSENCE!$B$5:$AK$76,35,0))</f>
        <v>0</v>
      </c>
      <c r="N24" s="33">
        <f>IF(ISNA(VLOOKUP(A24,[1]ABSENCE!$B$5:$AK$76,36,0))=TRUE,0,VLOOKUP(A24,[1]ABSENCE!$B$5:$AK$76,36,0))</f>
        <v>0</v>
      </c>
      <c r="O24" s="31">
        <f>IF(ISNA(VLOOKUP($A24,[1]HS!$B$5:$T$122,3,0))=TRUE,0,VLOOKUP($A24,[1]HS!$B$5:$T$122,3,0))</f>
        <v>865.40125771649446</v>
      </c>
      <c r="P24" s="32"/>
      <c r="Q24" s="33"/>
      <c r="R24" s="32"/>
      <c r="S24" s="33"/>
      <c r="T24" s="32"/>
      <c r="U24" s="33"/>
      <c r="V24" s="32"/>
      <c r="W24" s="33"/>
      <c r="X24" s="32"/>
      <c r="Y24" s="33"/>
      <c r="Z24" s="34">
        <f t="shared" si="1"/>
        <v>0</v>
      </c>
      <c r="AA24" s="31">
        <f>+VLOOKUP(A24,[1]CONGE!$A$2:$W$113,20,0)</f>
        <v>0</v>
      </c>
      <c r="AB24" s="31">
        <f>+VLOOKUP(A24,[1]CONGE!$A$2:$W$113,21,0)</f>
        <v>0</v>
      </c>
      <c r="AC24" s="33">
        <f>IF(ISNA(VLOOKUP(A24,'[1]REPAS+DEPL'!$A$6:$M$1028,13,0))=TRUE,0,VLOOKUP(A24,'[1]REPAS+DEPL'!$A$6:$M$1028,13,0))</f>
        <v>0</v>
      </c>
      <c r="AD24" s="35"/>
      <c r="AE24" s="33">
        <f>IF(ISNA(VLOOKUP(A24,[1]Préavis!$A$2:$E$98,5,0))=TRUE,0,(VLOOKUP(A24,[1]Préavis!$A$2:$E$98,5,0)))</f>
        <v>0</v>
      </c>
      <c r="AF24" s="31">
        <f>+VLOOKUP(A24,[1]CONGE!$A$2:$V$112,18,0)</f>
        <v>0</v>
      </c>
      <c r="AG24" s="33">
        <f>IF(ISNA(VLOOKUP($A24,[1]CONGE!$A$2:$S$134,19,0))=TRUE,0,VLOOKUP($A24,[1]CONGE!$A$2:$S$134,19,0))</f>
        <v>0</v>
      </c>
      <c r="AH24" s="31">
        <f>+VLOOKUP(A24,[1]CONGE!$A$2:$W$113,22,0)</f>
        <v>0</v>
      </c>
      <c r="AI24" s="31">
        <f>+VLOOKUP(A24,[1]CONGE!$A$2:$W$113,23,0)</f>
        <v>0</v>
      </c>
      <c r="AJ24" s="36">
        <f t="shared" si="2"/>
        <v>55000</v>
      </c>
      <c r="AK24" s="33">
        <f>IF(ISNA(VLOOKUP(A24,[1]AVANTAGE!$A$5:$T$118,19,0))=TRUE,0,VLOOKUP(A24,[1]AVANTAGE!$A$5:$T$118,19,0))</f>
        <v>0</v>
      </c>
      <c r="AL24" s="33">
        <f>IF(ISNA(VLOOKUP(A24,[1]AVANTAGE!$A$5:$T$118,20,0))=TRUE,0,VLOOKUP(A24,[1]AVANTAGE!$A$5:$T$118,20,0))</f>
        <v>0</v>
      </c>
      <c r="AM24" s="37">
        <f t="shared" si="3"/>
        <v>55000</v>
      </c>
      <c r="AN24" s="38">
        <f t="shared" si="4"/>
        <v>550</v>
      </c>
      <c r="AO24" s="33">
        <f t="shared" si="20"/>
        <v>550</v>
      </c>
      <c r="AP24" s="38"/>
      <c r="AQ24" s="38">
        <f t="shared" si="6"/>
        <v>53900</v>
      </c>
      <c r="AR24" s="39">
        <f t="shared" si="7"/>
        <v>0</v>
      </c>
      <c r="AS24" s="40">
        <f>VLOOKUP(A24,'[1]Liste personnel'!$B$3:$R$187,16,0)</f>
        <v>0</v>
      </c>
      <c r="AT24" s="38">
        <f t="shared" si="21"/>
        <v>0</v>
      </c>
      <c r="AU24" s="38">
        <f t="shared" si="9"/>
        <v>0</v>
      </c>
      <c r="AV24" s="38">
        <f>IF(ISNA(VLOOKUP(A24,[1]AVANCE!$A$6:$E$122,4,0))=TRUE,0,VLOOKUP(A24,[1]AVANCE!$A$6:$E$122,4,0))</f>
        <v>0</v>
      </c>
      <c r="AW24" s="38">
        <f>IF(ISNA(VLOOKUP(A24,[1]AVANCE!$A$6:$E$122,5,0))=TRUE,0,VLOOKUP(A24,[1]AVANCE!$A$6:$E$122,5,0))</f>
        <v>0</v>
      </c>
      <c r="AX24" s="38">
        <f t="shared" si="10"/>
        <v>0</v>
      </c>
      <c r="AY24" s="57"/>
      <c r="AZ24" s="58">
        <f t="shared" si="11"/>
        <v>1100</v>
      </c>
      <c r="BA24" s="38">
        <f t="shared" si="12"/>
        <v>53900</v>
      </c>
      <c r="BB24" s="42"/>
      <c r="BC24" s="43"/>
      <c r="BD24" s="59">
        <f t="shared" si="13"/>
        <v>53900</v>
      </c>
      <c r="BE24" s="60">
        <f t="shared" si="19"/>
        <v>53900</v>
      </c>
      <c r="BF24" s="61"/>
      <c r="BG24" s="61"/>
      <c r="BH24" s="62">
        <f t="shared" si="14"/>
        <v>0</v>
      </c>
      <c r="BI24" s="62">
        <f t="shared" si="15"/>
        <v>0</v>
      </c>
      <c r="BJ24" s="62">
        <f t="shared" si="22"/>
        <v>0</v>
      </c>
      <c r="BK24" s="63">
        <f t="shared" si="23"/>
        <v>53900</v>
      </c>
      <c r="BL24" s="48">
        <f t="shared" si="18"/>
        <v>55000</v>
      </c>
      <c r="BN24" s="49"/>
      <c r="BO24" s="49"/>
    </row>
    <row r="25" spans="1:67" s="18" customFormat="1" ht="27.75" customHeight="1">
      <c r="A25" s="50" t="s">
        <v>85</v>
      </c>
      <c r="B25" s="51" t="s">
        <v>227</v>
      </c>
      <c r="C25" s="52"/>
      <c r="D25" s="53" t="s">
        <v>228</v>
      </c>
      <c r="E25" s="54">
        <v>40949</v>
      </c>
      <c r="F25" s="25">
        <v>42359</v>
      </c>
      <c r="G25" s="54" t="s">
        <v>168</v>
      </c>
      <c r="H25" s="55" t="s">
        <v>169</v>
      </c>
      <c r="I25" s="29">
        <v>380000</v>
      </c>
      <c r="J25" s="28">
        <v>42369</v>
      </c>
      <c r="K25" s="29">
        <v>11</v>
      </c>
      <c r="L25" s="29">
        <f t="shared" si="0"/>
        <v>139333.33333333334</v>
      </c>
      <c r="M25" s="56">
        <f>IF(ISNA(VLOOKUP(A25,[1]ABSENCE!$B$5:$AK$76,35,0))=TRUE,0,VLOOKUP(A25,[1]ABSENCE!$B$5:$AK$76,35,0))</f>
        <v>0</v>
      </c>
      <c r="N25" s="33">
        <f>IF(ISNA(VLOOKUP(A25,[1]ABSENCE!$B$5:$AK$76,36,0))=TRUE,0,VLOOKUP(A25,[1]ABSENCE!$B$5:$AK$76,36,0))</f>
        <v>0</v>
      </c>
      <c r="O25" s="31">
        <f>IF(ISNA(VLOOKUP($A25,[1]HS!$B$5:$T$122,3,0))=TRUE,0,VLOOKUP($A25,[1]HS!$B$5:$T$122,3,0))</f>
        <v>2192.3498528817859</v>
      </c>
      <c r="P25" s="32"/>
      <c r="Q25" s="33"/>
      <c r="R25" s="32"/>
      <c r="S25" s="33"/>
      <c r="T25" s="32"/>
      <c r="U25" s="33"/>
      <c r="V25" s="32"/>
      <c r="W25" s="33"/>
      <c r="X25" s="32"/>
      <c r="Y25" s="33"/>
      <c r="Z25" s="34">
        <f t="shared" si="1"/>
        <v>0</v>
      </c>
      <c r="AA25" s="31">
        <f>+VLOOKUP(A25,[1]CONGE!$A$2:$W$113,20,0)</f>
        <v>0</v>
      </c>
      <c r="AB25" s="31">
        <f>+VLOOKUP(A25,[1]CONGE!$A$2:$W$113,21,0)</f>
        <v>0</v>
      </c>
      <c r="AC25" s="33">
        <f>IF(ISNA(VLOOKUP(A25,'[1]REPAS+DEPL'!$A$6:$M$1028,13,0))=TRUE,0,VLOOKUP(A25,'[1]REPAS+DEPL'!$A$6:$M$1028,13,0))</f>
        <v>0</v>
      </c>
      <c r="AD25" s="35"/>
      <c r="AE25" s="33">
        <f>IF(ISNA(VLOOKUP(A25,[1]Préavis!$A$2:$E$98,5,0))=TRUE,0,(VLOOKUP(A25,[1]Préavis!$A$2:$E$98,5,0)))</f>
        <v>0</v>
      </c>
      <c r="AF25" s="31">
        <f>+VLOOKUP(A25,[1]CONGE!$A$2:$V$112,18,0)</f>
        <v>0</v>
      </c>
      <c r="AG25" s="33">
        <f>IF(ISNA(VLOOKUP($A25,[1]CONGE!$A$2:$S$134,19,0))=TRUE,0,VLOOKUP($A25,[1]CONGE!$A$2:$S$134,19,0))</f>
        <v>0</v>
      </c>
      <c r="AH25" s="31">
        <f>+VLOOKUP(A25,[1]CONGE!$A$2:$W$113,22,0)</f>
        <v>0</v>
      </c>
      <c r="AI25" s="31">
        <f>+VLOOKUP(A25,[1]CONGE!$A$2:$W$113,23,0)</f>
        <v>0</v>
      </c>
      <c r="AJ25" s="36">
        <f t="shared" si="2"/>
        <v>139333.33333333334</v>
      </c>
      <c r="AK25" s="33">
        <f>IF(ISNA(VLOOKUP(A25,[1]AVANTAGE!$A$5:$T$118,19,0))=TRUE,0,VLOOKUP(A25,[1]AVANTAGE!$A$5:$T$118,19,0))</f>
        <v>0</v>
      </c>
      <c r="AL25" s="33">
        <f>IF(ISNA(VLOOKUP(A25,[1]AVANTAGE!$A$5:$T$118,20,0))=TRUE,0,VLOOKUP(A25,[1]AVANTAGE!$A$5:$T$118,20,0))</f>
        <v>0</v>
      </c>
      <c r="AM25" s="37">
        <f t="shared" si="3"/>
        <v>139333.33333333334</v>
      </c>
      <c r="AN25" s="38">
        <f t="shared" si="4"/>
        <v>1393.3333333333335</v>
      </c>
      <c r="AO25" s="33">
        <f t="shared" si="20"/>
        <v>1393.3333333333335</v>
      </c>
      <c r="AP25" s="38"/>
      <c r="AQ25" s="38">
        <f t="shared" si="6"/>
        <v>136500</v>
      </c>
      <c r="AR25" s="39">
        <f t="shared" si="7"/>
        <v>0</v>
      </c>
      <c r="AS25" s="40">
        <f>VLOOKUP(A25,'[1]Liste personnel'!$B$3:$R$187,16,0)</f>
        <v>0</v>
      </c>
      <c r="AT25" s="38">
        <f t="shared" si="21"/>
        <v>0</v>
      </c>
      <c r="AU25" s="38">
        <f t="shared" si="9"/>
        <v>0</v>
      </c>
      <c r="AV25" s="38">
        <f>IF(ISNA(VLOOKUP(A25,[1]AVANCE!$A$6:$E$122,4,0))=TRUE,0,VLOOKUP(A25,[1]AVANCE!$A$6:$E$122,4,0))</f>
        <v>0</v>
      </c>
      <c r="AW25" s="38">
        <f>IF(ISNA(VLOOKUP(A25,[1]AVANCE!$A$6:$E$122,5,0))=TRUE,0,VLOOKUP(A25,[1]AVANCE!$A$6:$E$122,5,0))</f>
        <v>0</v>
      </c>
      <c r="AX25" s="38">
        <f t="shared" si="10"/>
        <v>0</v>
      </c>
      <c r="AY25" s="57"/>
      <c r="AZ25" s="58">
        <f t="shared" si="11"/>
        <v>2786.666666666667</v>
      </c>
      <c r="BA25" s="38">
        <f t="shared" si="12"/>
        <v>136546.66666666669</v>
      </c>
      <c r="BB25" s="42"/>
      <c r="BC25" s="43"/>
      <c r="BD25" s="59">
        <f t="shared" si="13"/>
        <v>136546.66666666669</v>
      </c>
      <c r="BE25" s="60">
        <f t="shared" si="19"/>
        <v>136600</v>
      </c>
      <c r="BF25" s="61"/>
      <c r="BG25" s="61"/>
      <c r="BH25" s="62">
        <f t="shared" si="14"/>
        <v>0</v>
      </c>
      <c r="BI25" s="62">
        <f t="shared" si="15"/>
        <v>0</v>
      </c>
      <c r="BJ25" s="62">
        <f t="shared" si="22"/>
        <v>0</v>
      </c>
      <c r="BK25" s="63">
        <f t="shared" si="23"/>
        <v>136546.66666666669</v>
      </c>
      <c r="BL25" s="48">
        <f t="shared" si="18"/>
        <v>139333.33333333334</v>
      </c>
      <c r="BN25" s="49"/>
      <c r="BO25" s="49"/>
    </row>
    <row r="26" spans="1:67" s="18" customFormat="1" ht="27.75" customHeight="1">
      <c r="A26" s="50" t="s">
        <v>86</v>
      </c>
      <c r="B26" s="51" t="s">
        <v>229</v>
      </c>
      <c r="C26" s="52"/>
      <c r="D26" s="53" t="s">
        <v>224</v>
      </c>
      <c r="E26" s="54">
        <v>40974</v>
      </c>
      <c r="F26" s="25">
        <v>42359</v>
      </c>
      <c r="G26" s="54" t="s">
        <v>230</v>
      </c>
      <c r="H26" s="55" t="s">
        <v>207</v>
      </c>
      <c r="I26" s="29">
        <v>1208762</v>
      </c>
      <c r="J26" s="28">
        <v>42369</v>
      </c>
      <c r="K26" s="29">
        <v>11</v>
      </c>
      <c r="L26" s="29">
        <f t="shared" si="0"/>
        <v>443212.73333333334</v>
      </c>
      <c r="M26" s="56">
        <f>IF(ISNA(VLOOKUP(A26,[1]ABSENCE!$B$5:$AK$76,35,0))=TRUE,0,VLOOKUP(A26,[1]ABSENCE!$B$5:$AK$76,35,0))</f>
        <v>0</v>
      </c>
      <c r="N26" s="33">
        <f>IF(ISNA(VLOOKUP(A26,[1]ABSENCE!$B$5:$AK$76,36,0))=TRUE,0,VLOOKUP(A26,[1]ABSENCE!$B$5:$AK$76,36,0))</f>
        <v>0</v>
      </c>
      <c r="O26" s="31">
        <f>IF(ISNA(VLOOKUP($A26,[1]HS!$B$5:$T$122,3,0))=TRUE,0,VLOOKUP($A26,[1]HS!$B$5:$T$122,3,0))</f>
        <v>0</v>
      </c>
      <c r="P26" s="32"/>
      <c r="Q26" s="33"/>
      <c r="R26" s="32"/>
      <c r="S26" s="33"/>
      <c r="T26" s="32"/>
      <c r="U26" s="33"/>
      <c r="V26" s="32"/>
      <c r="W26" s="33"/>
      <c r="X26" s="32"/>
      <c r="Y26" s="33"/>
      <c r="Z26" s="34">
        <f t="shared" si="1"/>
        <v>0</v>
      </c>
      <c r="AA26" s="31">
        <f>+VLOOKUP(A26,[1]CONGE!$A$2:$W$113,20,0)</f>
        <v>0</v>
      </c>
      <c r="AB26" s="31">
        <f>+VLOOKUP(A26,[1]CONGE!$A$2:$W$113,21,0)</f>
        <v>0</v>
      </c>
      <c r="AC26" s="33">
        <f>IF(ISNA(VLOOKUP(A26,'[1]REPAS+DEPL'!$A$6:$M$1028,13,0))=TRUE,0,VLOOKUP(A26,'[1]REPAS+DEPL'!$A$6:$M$1028,13,0))</f>
        <v>0</v>
      </c>
      <c r="AD26" s="35"/>
      <c r="AE26" s="33">
        <f>IF(ISNA(VLOOKUP(A26,[1]Préavis!$A$2:$E$98,5,0))=TRUE,0,(VLOOKUP(A26,[1]Préavis!$A$2:$E$98,5,0)))</f>
        <v>0</v>
      </c>
      <c r="AF26" s="31">
        <f>+VLOOKUP(A26,[1]CONGE!$A$2:$V$112,18,0)</f>
        <v>0</v>
      </c>
      <c r="AG26" s="33">
        <f>IF(ISNA(VLOOKUP($A26,[1]CONGE!$A$2:$S$134,19,0))=TRUE,0,VLOOKUP($A26,[1]CONGE!$A$2:$S$134,19,0))</f>
        <v>0</v>
      </c>
      <c r="AH26" s="31">
        <f>+VLOOKUP(A26,[1]CONGE!$A$2:$W$113,22,0)</f>
        <v>0</v>
      </c>
      <c r="AI26" s="31">
        <f>+VLOOKUP(A26,[1]CONGE!$A$2:$W$113,23,0)</f>
        <v>0</v>
      </c>
      <c r="AJ26" s="36">
        <f t="shared" si="2"/>
        <v>443212.73333333334</v>
      </c>
      <c r="AK26" s="33">
        <f>IF(ISNA(VLOOKUP(A26,[1]AVANTAGE!$A$5:$T$118,19,0))=TRUE,0,VLOOKUP(A26,[1]AVANTAGE!$A$5:$T$118,19,0))</f>
        <v>0</v>
      </c>
      <c r="AL26" s="33">
        <f>IF(ISNA(VLOOKUP(A26,[1]AVANTAGE!$A$5:$T$118,20,0))=TRUE,0,VLOOKUP(A26,[1]AVANTAGE!$A$5:$T$118,20,0))</f>
        <v>0</v>
      </c>
      <c r="AM26" s="37">
        <f t="shared" si="3"/>
        <v>443212.73333333334</v>
      </c>
      <c r="AN26" s="38">
        <f t="shared" si="4"/>
        <v>4432.1273333333338</v>
      </c>
      <c r="AO26" s="33">
        <f t="shared" si="20"/>
        <v>4432.1273333333338</v>
      </c>
      <c r="AP26" s="38"/>
      <c r="AQ26" s="38">
        <f t="shared" si="6"/>
        <v>434300</v>
      </c>
      <c r="AR26" s="39">
        <f t="shared" si="7"/>
        <v>36860</v>
      </c>
      <c r="AS26" s="40">
        <f>VLOOKUP(A26,'[1]Liste personnel'!$B$3:$R$187,16,0)</f>
        <v>0</v>
      </c>
      <c r="AT26" s="38">
        <f t="shared" si="21"/>
        <v>0</v>
      </c>
      <c r="AU26" s="38">
        <f t="shared" si="9"/>
        <v>36860</v>
      </c>
      <c r="AV26" s="38">
        <f>IF(ISNA(VLOOKUP(A26,[1]AVANCE!$A$6:$E$122,4,0))=TRUE,0,VLOOKUP(A26,[1]AVANCE!$A$6:$E$122,4,0))</f>
        <v>0</v>
      </c>
      <c r="AW26" s="38">
        <f>IF(ISNA(VLOOKUP(A26,[1]AVANCE!$A$6:$E$122,5,0))=TRUE,0,VLOOKUP(A26,[1]AVANCE!$A$6:$E$122,5,0))</f>
        <v>0</v>
      </c>
      <c r="AX26" s="38">
        <f t="shared" si="10"/>
        <v>0</v>
      </c>
      <c r="AY26" s="57"/>
      <c r="AZ26" s="58">
        <f t="shared" si="11"/>
        <v>45724.254666666668</v>
      </c>
      <c r="BA26" s="38">
        <f t="shared" si="12"/>
        <v>397488.47866666666</v>
      </c>
      <c r="BB26" s="42"/>
      <c r="BC26" s="43"/>
      <c r="BD26" s="59">
        <f t="shared" si="13"/>
        <v>397488.47866666666</v>
      </c>
      <c r="BE26" s="60">
        <f t="shared" si="19"/>
        <v>397500</v>
      </c>
      <c r="BF26" s="61"/>
      <c r="BG26" s="61"/>
      <c r="BH26" s="62">
        <f t="shared" si="14"/>
        <v>0</v>
      </c>
      <c r="BI26" s="62">
        <f t="shared" si="15"/>
        <v>0</v>
      </c>
      <c r="BJ26" s="62">
        <f t="shared" si="22"/>
        <v>0</v>
      </c>
      <c r="BK26" s="63">
        <f t="shared" si="23"/>
        <v>397488.47866666666</v>
      </c>
      <c r="BL26" s="48">
        <f t="shared" si="18"/>
        <v>443212.73333333334</v>
      </c>
      <c r="BN26" s="49"/>
      <c r="BO26" s="49"/>
    </row>
    <row r="27" spans="1:67" s="18" customFormat="1" ht="27.75" customHeight="1">
      <c r="A27" s="50" t="s">
        <v>87</v>
      </c>
      <c r="B27" s="51" t="s">
        <v>231</v>
      </c>
      <c r="C27" s="52"/>
      <c r="D27" s="53" t="s">
        <v>224</v>
      </c>
      <c r="E27" s="54">
        <v>40975</v>
      </c>
      <c r="F27" s="25">
        <v>42359</v>
      </c>
      <c r="G27" s="54" t="s">
        <v>215</v>
      </c>
      <c r="H27" s="55" t="s">
        <v>187</v>
      </c>
      <c r="I27" s="29">
        <v>170000</v>
      </c>
      <c r="J27" s="28">
        <v>42369</v>
      </c>
      <c r="K27" s="29">
        <v>11</v>
      </c>
      <c r="L27" s="29">
        <f t="shared" si="0"/>
        <v>62333.333333333336</v>
      </c>
      <c r="M27" s="56">
        <f>IF(ISNA(VLOOKUP(A27,[1]ABSENCE!$B$5:$AK$76,35,0))=TRUE,0,VLOOKUP(A27,[1]ABSENCE!$B$5:$AK$76,35,0))</f>
        <v>0</v>
      </c>
      <c r="N27" s="33">
        <f>IF(ISNA(VLOOKUP(A27,[1]ABSENCE!$B$5:$AK$76,36,0))=TRUE,0,VLOOKUP(A27,[1]ABSENCE!$B$5:$AK$76,36,0))</f>
        <v>0</v>
      </c>
      <c r="O27" s="31">
        <f>IF(ISNA(VLOOKUP($A27,[1]HS!$B$5:$T$122,3,0))=TRUE,0,VLOOKUP($A27,[1]HS!$B$5:$T$122,3,0))</f>
        <v>980.78809207869369</v>
      </c>
      <c r="P27" s="32"/>
      <c r="Q27" s="33"/>
      <c r="R27" s="32"/>
      <c r="S27" s="33"/>
      <c r="T27" s="32"/>
      <c r="U27" s="33"/>
      <c r="V27" s="32"/>
      <c r="W27" s="33"/>
      <c r="X27" s="32"/>
      <c r="Y27" s="33"/>
      <c r="Z27" s="34">
        <f t="shared" si="1"/>
        <v>0</v>
      </c>
      <c r="AA27" s="31">
        <f>+VLOOKUP(A27,[1]CONGE!$A$2:$W$113,20,0)</f>
        <v>0</v>
      </c>
      <c r="AB27" s="31">
        <f>+VLOOKUP(A27,[1]CONGE!$A$2:$W$113,21,0)</f>
        <v>0</v>
      </c>
      <c r="AC27" s="33">
        <f>IF(ISNA(VLOOKUP(A27,'[1]REPAS+DEPL'!$A$6:$M$1028,13,0))=TRUE,0,VLOOKUP(A27,'[1]REPAS+DEPL'!$A$6:$M$1028,13,0))</f>
        <v>0</v>
      </c>
      <c r="AD27" s="35"/>
      <c r="AE27" s="33">
        <f>IF(ISNA(VLOOKUP(A27,[1]Préavis!$A$2:$E$98,5,0))=TRUE,0,(VLOOKUP(A27,[1]Préavis!$A$2:$E$98,5,0)))</f>
        <v>0</v>
      </c>
      <c r="AF27" s="31">
        <f>+VLOOKUP(A27,[1]CONGE!$A$2:$V$112,18,0)</f>
        <v>0</v>
      </c>
      <c r="AG27" s="33">
        <f>IF(ISNA(VLOOKUP($A27,[1]CONGE!$A$2:$S$134,19,0))=TRUE,0,VLOOKUP($A27,[1]CONGE!$A$2:$S$134,19,0))</f>
        <v>0</v>
      </c>
      <c r="AH27" s="31">
        <f>+VLOOKUP(A27,[1]CONGE!$A$2:$W$113,22,0)</f>
        <v>0</v>
      </c>
      <c r="AI27" s="31">
        <f>+VLOOKUP(A27,[1]CONGE!$A$2:$W$113,23,0)</f>
        <v>0</v>
      </c>
      <c r="AJ27" s="36">
        <f t="shared" si="2"/>
        <v>62333.333333333336</v>
      </c>
      <c r="AK27" s="33">
        <f>IF(ISNA(VLOOKUP(A27,[1]AVANTAGE!$A$5:$T$118,19,0))=TRUE,0,VLOOKUP(A27,[1]AVANTAGE!$A$5:$T$118,19,0))</f>
        <v>0</v>
      </c>
      <c r="AL27" s="33">
        <f>IF(ISNA(VLOOKUP(A27,[1]AVANTAGE!$A$5:$T$118,20,0))=TRUE,0,VLOOKUP(A27,[1]AVANTAGE!$A$5:$T$118,20,0))</f>
        <v>0</v>
      </c>
      <c r="AM27" s="37">
        <f t="shared" si="3"/>
        <v>62333.333333333336</v>
      </c>
      <c r="AN27" s="38">
        <f t="shared" si="4"/>
        <v>623.33333333333337</v>
      </c>
      <c r="AO27" s="33">
        <f t="shared" si="20"/>
        <v>623.33333333333337</v>
      </c>
      <c r="AP27" s="38"/>
      <c r="AQ27" s="38">
        <f t="shared" si="6"/>
        <v>61000</v>
      </c>
      <c r="AR27" s="39">
        <f t="shared" si="7"/>
        <v>0</v>
      </c>
      <c r="AS27" s="40">
        <f>VLOOKUP(A27,'[1]Liste personnel'!$B$3:$R$187,16,0)</f>
        <v>0</v>
      </c>
      <c r="AT27" s="38">
        <f t="shared" si="21"/>
        <v>0</v>
      </c>
      <c r="AU27" s="38">
        <f t="shared" si="9"/>
        <v>0</v>
      </c>
      <c r="AV27" s="38">
        <f>IF(ISNA(VLOOKUP(A27,[1]AVANCE!$A$6:$E$122,4,0))=TRUE,0,VLOOKUP(A27,[1]AVANCE!$A$6:$E$122,4,0))</f>
        <v>0</v>
      </c>
      <c r="AW27" s="38">
        <f>IF(ISNA(VLOOKUP(A27,[1]AVANCE!$A$6:$E$122,5,0))=TRUE,0,VLOOKUP(A27,[1]AVANCE!$A$6:$E$122,5,0))</f>
        <v>0</v>
      </c>
      <c r="AX27" s="38">
        <f t="shared" si="10"/>
        <v>0</v>
      </c>
      <c r="AY27" s="57"/>
      <c r="AZ27" s="58">
        <f t="shared" si="11"/>
        <v>1246.6666666666667</v>
      </c>
      <c r="BA27" s="38">
        <f t="shared" si="12"/>
        <v>61086.666666666672</v>
      </c>
      <c r="BB27" s="42"/>
      <c r="BC27" s="43"/>
      <c r="BD27" s="59">
        <f t="shared" si="13"/>
        <v>61086.666666666672</v>
      </c>
      <c r="BE27" s="60">
        <f t="shared" si="19"/>
        <v>61100</v>
      </c>
      <c r="BF27" s="61"/>
      <c r="BG27" s="61"/>
      <c r="BH27" s="62">
        <f t="shared" si="14"/>
        <v>0</v>
      </c>
      <c r="BI27" s="62">
        <f t="shared" si="15"/>
        <v>0</v>
      </c>
      <c r="BJ27" s="62">
        <f t="shared" si="22"/>
        <v>0</v>
      </c>
      <c r="BK27" s="63">
        <f t="shared" si="23"/>
        <v>61086.666666666672</v>
      </c>
      <c r="BL27" s="48">
        <f t="shared" si="18"/>
        <v>62333.333333333336</v>
      </c>
      <c r="BM27" s="64"/>
      <c r="BN27" s="49"/>
      <c r="BO27" s="49"/>
    </row>
    <row r="28" spans="1:67" s="18" customFormat="1" ht="27.75" customHeight="1">
      <c r="A28" s="50" t="s">
        <v>88</v>
      </c>
      <c r="B28" s="51" t="s">
        <v>232</v>
      </c>
      <c r="C28" s="52"/>
      <c r="D28" s="53" t="s">
        <v>233</v>
      </c>
      <c r="E28" s="54">
        <v>39370</v>
      </c>
      <c r="F28" s="25">
        <v>42359</v>
      </c>
      <c r="G28" s="54" t="s">
        <v>234</v>
      </c>
      <c r="H28" s="55" t="s">
        <v>207</v>
      </c>
      <c r="I28" s="29">
        <v>1208762</v>
      </c>
      <c r="J28" s="28">
        <v>42369</v>
      </c>
      <c r="K28" s="29">
        <v>11</v>
      </c>
      <c r="L28" s="29">
        <f>(IF(K28&lt;30,I28*(K28)/30,I28))</f>
        <v>443212.73333333334</v>
      </c>
      <c r="M28" s="56">
        <f>IF(ISNA(VLOOKUP(A28,[1]ABSENCE!$B$5:$AK$76,35,0))=TRUE,0,VLOOKUP(A28,[1]ABSENCE!$B$5:$AK$76,35,0))</f>
        <v>0</v>
      </c>
      <c r="N28" s="33">
        <f>IF(ISNA(VLOOKUP(A28,[1]ABSENCE!$B$5:$AK$76,36,0))=TRUE,0,VLOOKUP(A28,[1]ABSENCE!$B$5:$AK$76,36,0))</f>
        <v>0</v>
      </c>
      <c r="O28" s="31">
        <f>IF(ISNA(VLOOKUP($A28,[1]HS!$B$5:$T$122,3,0))=TRUE,0,VLOOKUP($A28,[1]HS!$B$5:$T$122,3,0))</f>
        <v>0</v>
      </c>
      <c r="P28" s="32"/>
      <c r="Q28" s="33"/>
      <c r="R28" s="32"/>
      <c r="S28" s="33"/>
      <c r="T28" s="32"/>
      <c r="U28" s="33"/>
      <c r="V28" s="32"/>
      <c r="W28" s="33"/>
      <c r="X28" s="32"/>
      <c r="Y28" s="33"/>
      <c r="Z28" s="34">
        <f t="shared" si="1"/>
        <v>0</v>
      </c>
      <c r="AA28" s="31">
        <f>+VLOOKUP(A28,[1]CONGE!$A$2:$W$113,20,0)</f>
        <v>0</v>
      </c>
      <c r="AB28" s="31">
        <f>+VLOOKUP(A28,[1]CONGE!$A$2:$W$113,21,0)</f>
        <v>0</v>
      </c>
      <c r="AC28" s="33">
        <f>IF(ISNA(VLOOKUP(A28,'[1]REPAS+DEPL'!$A$6:$M$1028,13,0))=TRUE,0,VLOOKUP(A28,'[1]REPAS+DEPL'!$A$6:$M$1028,13,0))</f>
        <v>0</v>
      </c>
      <c r="AD28" s="35"/>
      <c r="AE28" s="33">
        <f>IF(ISNA(VLOOKUP(A28,[1]Préavis!$A$2:$E$98,5,0))=TRUE,0,(VLOOKUP(A28,[1]Préavis!$A$2:$E$98,5,0)))</f>
        <v>0</v>
      </c>
      <c r="AF28" s="31">
        <f>+VLOOKUP(A28,[1]CONGE!$A$2:$V$112,18,0)</f>
        <v>0</v>
      </c>
      <c r="AG28" s="33">
        <f>IF(ISNA(VLOOKUP($A28,[1]CONGE!$A$2:$S$134,19,0))=TRUE,0,VLOOKUP($A28,[1]CONGE!$A$2:$S$134,19,0))</f>
        <v>0</v>
      </c>
      <c r="AH28" s="31">
        <f>+VLOOKUP(A28,[1]CONGE!$A$2:$W$113,22,0)</f>
        <v>0</v>
      </c>
      <c r="AI28" s="31">
        <f>+VLOOKUP(A28,[1]CONGE!$A$2:$W$113,23,0)</f>
        <v>0</v>
      </c>
      <c r="AJ28" s="36">
        <f>+L28-N28+Z28+AC28+AG28+AD28+AE28+AB28+AI28</f>
        <v>443212.73333333334</v>
      </c>
      <c r="AK28" s="33">
        <f>IF(ISNA(VLOOKUP(A28,[1]AVANTAGE!$A$5:$T$118,19,0))=TRUE,0,VLOOKUP(A28,[1]AVANTAGE!$A$5:$T$118,19,0))</f>
        <v>0</v>
      </c>
      <c r="AL28" s="33">
        <f>IF(ISNA(VLOOKUP(A28,[1]AVANTAGE!$A$5:$T$118,20,0))=TRUE,0,VLOOKUP(A28,[1]AVANTAGE!$A$5:$T$118,20,0))</f>
        <v>0</v>
      </c>
      <c r="AM28" s="37">
        <f>+AJ28+AL28</f>
        <v>443212.73333333334</v>
      </c>
      <c r="AN28" s="38">
        <f t="shared" si="4"/>
        <v>4432.1273333333338</v>
      </c>
      <c r="AO28" s="33">
        <f t="shared" si="20"/>
        <v>4432.1273333333338</v>
      </c>
      <c r="AP28" s="38"/>
      <c r="AQ28" s="38">
        <f>+INT((AJ28+AL28-AO28-AN28-AP28)/100)*100</f>
        <v>434300</v>
      </c>
      <c r="AR28" s="39">
        <f t="shared" si="7"/>
        <v>36860</v>
      </c>
      <c r="AS28" s="40">
        <f>VLOOKUP(A28,'[1]Liste personnel'!$B$3:$R$187,16,0)</f>
        <v>0</v>
      </c>
      <c r="AT28" s="38">
        <f>+AS28*2000</f>
        <v>0</v>
      </c>
      <c r="AU28" s="38">
        <f>+IF(AR28=0,0,IF(AR28-AT28&lt;200,200,AR28-AT28))</f>
        <v>36860</v>
      </c>
      <c r="AV28" s="38">
        <f>IF(ISNA(VLOOKUP(A28,[1]AVANCE!$A$6:$E$122,4,0))=TRUE,0,VLOOKUP(A28,[1]AVANCE!$A$6:$E$122,4,0))</f>
        <v>0</v>
      </c>
      <c r="AW28" s="38">
        <f>IF(ISNA(VLOOKUP(A28,[1]AVANCE!$A$6:$E$122,5,0))=TRUE,0,VLOOKUP(A28,[1]AVANCE!$A$6:$E$122,5,0))</f>
        <v>0</v>
      </c>
      <c r="AX28" s="38">
        <f>+AV28+AW28</f>
        <v>0</v>
      </c>
      <c r="AY28" s="57"/>
      <c r="AZ28" s="58">
        <f>+AO28+AN28+AU28+AX28+AY28</f>
        <v>45724.254666666668</v>
      </c>
      <c r="BA28" s="38">
        <f>+AJ28-AZ28</f>
        <v>397488.47866666666</v>
      </c>
      <c r="BB28" s="42"/>
      <c r="BC28" s="43"/>
      <c r="BD28" s="59">
        <f>+BA28+BB28+BC28</f>
        <v>397488.47866666666</v>
      </c>
      <c r="BE28" s="60">
        <f>IF(BD28-INT(BD28/100)*100&gt;0,INT(BD28/100)*100+100,INT(BD28/100)*100)</f>
        <v>397500</v>
      </c>
      <c r="BF28" s="61"/>
      <c r="BG28" s="61"/>
      <c r="BH28" s="62">
        <f>IF(BF28=0,0,I28/2)</f>
        <v>0</v>
      </c>
      <c r="BI28" s="62">
        <f>IF(BF28=0,0,+IF(BF28-J28&lt;30,J28-BF28,30))</f>
        <v>0</v>
      </c>
      <c r="BJ28" s="62">
        <f>+BI28*BH28/30</f>
        <v>0</v>
      </c>
      <c r="BK28" s="63">
        <f>+BD28+AX28+AY28</f>
        <v>397488.47866666666</v>
      </c>
      <c r="BL28" s="48">
        <f t="shared" si="18"/>
        <v>443212.73333333334</v>
      </c>
      <c r="BN28" s="49"/>
      <c r="BO28" s="49"/>
    </row>
    <row r="29" spans="1:67" s="18" customFormat="1" ht="27.75" customHeight="1">
      <c r="A29" s="50" t="s">
        <v>89</v>
      </c>
      <c r="B29" s="51" t="s">
        <v>235</v>
      </c>
      <c r="C29" s="52"/>
      <c r="D29" s="53" t="s">
        <v>236</v>
      </c>
      <c r="E29" s="54">
        <v>39489</v>
      </c>
      <c r="F29" s="25">
        <v>42359</v>
      </c>
      <c r="G29" s="54" t="s">
        <v>237</v>
      </c>
      <c r="H29" s="55" t="s">
        <v>207</v>
      </c>
      <c r="I29" s="29">
        <v>1208762</v>
      </c>
      <c r="J29" s="28">
        <v>42369</v>
      </c>
      <c r="K29" s="29">
        <v>11</v>
      </c>
      <c r="L29" s="29">
        <f>(IF(K29&lt;30,I29*(K29)/30,I29))</f>
        <v>443212.73333333334</v>
      </c>
      <c r="M29" s="56">
        <f>IF(ISNA(VLOOKUP(A29,[1]ABSENCE!$B$5:$AK$76,35,0))=TRUE,0,VLOOKUP(A29,[1]ABSENCE!$B$5:$AK$76,35,0))</f>
        <v>0</v>
      </c>
      <c r="N29" s="33">
        <f>IF(ISNA(VLOOKUP(A29,[1]ABSENCE!$B$5:$AK$76,36,0))=TRUE,0,VLOOKUP(A29,[1]ABSENCE!$B$5:$AK$76,36,0))</f>
        <v>0</v>
      </c>
      <c r="O29" s="31">
        <f>IF(ISNA(VLOOKUP($A29,[1]HS!$B$5:$T$122,3,0))=TRUE,0,VLOOKUP($A29,[1]HS!$B$5:$T$122,3,0))</f>
        <v>0</v>
      </c>
      <c r="P29" s="32"/>
      <c r="Q29" s="33"/>
      <c r="R29" s="32"/>
      <c r="S29" s="33"/>
      <c r="T29" s="32"/>
      <c r="U29" s="33"/>
      <c r="V29" s="32"/>
      <c r="W29" s="33"/>
      <c r="X29" s="32"/>
      <c r="Y29" s="33"/>
      <c r="Z29" s="34">
        <f t="shared" si="1"/>
        <v>0</v>
      </c>
      <c r="AA29" s="31">
        <f>+VLOOKUP(A29,[1]CONGE!$A$2:$W$113,20,0)</f>
        <v>0</v>
      </c>
      <c r="AB29" s="31">
        <f>+VLOOKUP(A29,[1]CONGE!$A$2:$W$113,21,0)</f>
        <v>0</v>
      </c>
      <c r="AC29" s="33">
        <f>IF(ISNA(VLOOKUP(A29,'[1]REPAS+DEPL'!$A$6:$M$1028,13,0))=TRUE,0,VLOOKUP(A29,'[1]REPAS+DEPL'!$A$6:$M$1028,13,0))</f>
        <v>0</v>
      </c>
      <c r="AD29" s="35"/>
      <c r="AE29" s="33">
        <f>IF(ISNA(VLOOKUP(A29,[1]Préavis!$A$2:$E$98,5,0))=TRUE,0,(VLOOKUP(A29,[1]Préavis!$A$2:$E$98,5,0)))</f>
        <v>0</v>
      </c>
      <c r="AF29" s="31">
        <f>+VLOOKUP(A29,[1]CONGE!$A$2:$V$112,18,0)</f>
        <v>0</v>
      </c>
      <c r="AG29" s="33">
        <f>IF(ISNA(VLOOKUP($A29,[1]CONGE!$A$2:$S$134,19,0))=TRUE,0,VLOOKUP($A29,[1]CONGE!$A$2:$S$134,19,0))</f>
        <v>0</v>
      </c>
      <c r="AH29" s="31">
        <f>+VLOOKUP(A29,[1]CONGE!$A$2:$W$113,22,0)</f>
        <v>0</v>
      </c>
      <c r="AI29" s="31">
        <f>+VLOOKUP(A29,[1]CONGE!$A$2:$W$113,23,0)</f>
        <v>0</v>
      </c>
      <c r="AJ29" s="36">
        <f>+L29-N29+Z29+AC29+AG29+AD29+AE29+AB29+AI29</f>
        <v>443212.73333333334</v>
      </c>
      <c r="AK29" s="33">
        <f>IF(ISNA(VLOOKUP(A29,[1]AVANTAGE!$A$5:$T$118,19,0))=TRUE,0,VLOOKUP(A29,[1]AVANTAGE!$A$5:$T$118,19,0))</f>
        <v>0</v>
      </c>
      <c r="AL29" s="33">
        <f>IF(ISNA(VLOOKUP(A29,[1]AVANTAGE!$A$5:$T$118,20,0))=TRUE,0,VLOOKUP(A29,[1]AVANTAGE!$A$5:$T$118,20,0))</f>
        <v>0</v>
      </c>
      <c r="AM29" s="37">
        <f>+AJ29+AL29</f>
        <v>443212.73333333334</v>
      </c>
      <c r="AN29" s="38">
        <f t="shared" si="4"/>
        <v>4432.1273333333338</v>
      </c>
      <c r="AO29" s="33">
        <f t="shared" si="20"/>
        <v>4432.1273333333338</v>
      </c>
      <c r="AP29" s="38"/>
      <c r="AQ29" s="38">
        <f>+INT((AJ29+AL29-AO29-AN29-AP29)/100)*100</f>
        <v>434300</v>
      </c>
      <c r="AR29" s="39">
        <f t="shared" si="7"/>
        <v>36860</v>
      </c>
      <c r="AS29" s="40">
        <f>VLOOKUP(A29,'[1]Liste personnel'!$B$3:$R$187,16,0)</f>
        <v>0</v>
      </c>
      <c r="AT29" s="38">
        <f>+AS29*2000</f>
        <v>0</v>
      </c>
      <c r="AU29" s="38">
        <f>+IF(AR29=0,0,IF(AR29-AT29&lt;200,200,AR29-AT29))</f>
        <v>36860</v>
      </c>
      <c r="AV29" s="38">
        <f>IF(ISNA(VLOOKUP(A29,[1]AVANCE!$A$6:$E$122,4,0))=TRUE,0,VLOOKUP(A29,[1]AVANCE!$A$6:$E$122,4,0))</f>
        <v>0</v>
      </c>
      <c r="AW29" s="38">
        <f>IF(ISNA(VLOOKUP(A29,[1]AVANCE!$A$6:$E$122,5,0))=TRUE,0,VLOOKUP(A29,[1]AVANCE!$A$6:$E$122,5,0))</f>
        <v>0</v>
      </c>
      <c r="AX29" s="38">
        <f>+AV29+AW29</f>
        <v>0</v>
      </c>
      <c r="AY29" s="57"/>
      <c r="AZ29" s="58">
        <f>+AO29+AN29+AU29+AX29+AY29</f>
        <v>45724.254666666668</v>
      </c>
      <c r="BA29" s="38">
        <f>+AJ29-AZ29</f>
        <v>397488.47866666666</v>
      </c>
      <c r="BB29" s="42"/>
      <c r="BC29" s="43"/>
      <c r="BD29" s="59">
        <f>+BA29+BB29+BC29</f>
        <v>397488.47866666666</v>
      </c>
      <c r="BE29" s="60">
        <f>IF(BD29-INT(BD29/100)*100&gt;0,INT(BD29/100)*100+100,INT(BD29/100)*100)</f>
        <v>397500</v>
      </c>
      <c r="BF29" s="61"/>
      <c r="BG29" s="61"/>
      <c r="BH29" s="62">
        <f>IF(BF29=0,0,I29/2)</f>
        <v>0</v>
      </c>
      <c r="BI29" s="62">
        <f>IF(BF29=0,0,+IF(BF29-J29&lt;30,J29-BF29,30))</f>
        <v>0</v>
      </c>
      <c r="BJ29" s="62">
        <f>+BI29*BH29/30</f>
        <v>0</v>
      </c>
      <c r="BK29" s="63">
        <f>+BD29+AX29+AY29</f>
        <v>397488.47866666666</v>
      </c>
      <c r="BL29" s="48">
        <f t="shared" si="18"/>
        <v>443212.73333333334</v>
      </c>
      <c r="BN29" s="49"/>
      <c r="BO29" s="49"/>
    </row>
    <row r="30" spans="1:67" s="18" customFormat="1" ht="27.75" customHeight="1">
      <c r="A30" s="50" t="s">
        <v>90</v>
      </c>
      <c r="B30" s="51" t="s">
        <v>238</v>
      </c>
      <c r="C30" s="52"/>
      <c r="D30" s="53" t="s">
        <v>239</v>
      </c>
      <c r="E30" s="54">
        <v>39793</v>
      </c>
      <c r="F30" s="25">
        <v>42359</v>
      </c>
      <c r="G30" s="54" t="s">
        <v>240</v>
      </c>
      <c r="H30" s="55" t="s">
        <v>207</v>
      </c>
      <c r="I30" s="29">
        <v>1458762</v>
      </c>
      <c r="J30" s="28">
        <v>42369</v>
      </c>
      <c r="K30" s="29">
        <v>11</v>
      </c>
      <c r="L30" s="29">
        <f t="shared" si="0"/>
        <v>534879.4</v>
      </c>
      <c r="M30" s="56">
        <f>IF(ISNA(VLOOKUP(A30,[1]ABSENCE!$B$5:$AK$76,35,0))=TRUE,0,VLOOKUP(A30,[1]ABSENCE!$B$5:$AK$76,35,0))</f>
        <v>0</v>
      </c>
      <c r="N30" s="33">
        <f>IF(ISNA(VLOOKUP(A30,[1]ABSENCE!$B$5:$AK$76,36,0))=TRUE,0,VLOOKUP(A30,[1]ABSENCE!$B$5:$AK$76,36,0))</f>
        <v>0</v>
      </c>
      <c r="O30" s="31">
        <f>IF(ISNA(VLOOKUP($A30,[1]HS!$B$5:$T$122,3,0))=TRUE,0,VLOOKUP($A30,[1]HS!$B$5:$T$122,3,0))</f>
        <v>0</v>
      </c>
      <c r="P30" s="32"/>
      <c r="Q30" s="33"/>
      <c r="R30" s="32"/>
      <c r="S30" s="33"/>
      <c r="T30" s="32"/>
      <c r="U30" s="33"/>
      <c r="V30" s="32"/>
      <c r="W30" s="33"/>
      <c r="X30" s="32"/>
      <c r="Y30" s="33"/>
      <c r="Z30" s="34">
        <f t="shared" si="1"/>
        <v>0</v>
      </c>
      <c r="AA30" s="31">
        <f>+VLOOKUP(A30,[1]CONGE!$A$2:$W$113,20,0)</f>
        <v>0</v>
      </c>
      <c r="AB30" s="31">
        <f>+VLOOKUP(A30,[1]CONGE!$A$2:$W$113,21,0)</f>
        <v>0</v>
      </c>
      <c r="AC30" s="33">
        <f>IF(ISNA(VLOOKUP(A30,'[1]REPAS+DEPL'!$A$6:$M$1028,13,0))=TRUE,0,VLOOKUP(A30,'[1]REPAS+DEPL'!$A$6:$M$1028,13,0))</f>
        <v>0</v>
      </c>
      <c r="AD30" s="35"/>
      <c r="AE30" s="33">
        <f>IF(ISNA(VLOOKUP(A30,[1]Préavis!$A$2:$E$98,5,0))=TRUE,0,(VLOOKUP(A30,[1]Préavis!$A$2:$E$98,5,0)))</f>
        <v>0</v>
      </c>
      <c r="AF30" s="31">
        <f>+VLOOKUP(A30,[1]CONGE!$A$2:$V$112,18,0)</f>
        <v>0</v>
      </c>
      <c r="AG30" s="33">
        <f>IF(ISNA(VLOOKUP($A30,[1]CONGE!$A$2:$S$134,19,0))=TRUE,0,VLOOKUP($A30,[1]CONGE!$A$2:$S$134,19,0))</f>
        <v>0</v>
      </c>
      <c r="AH30" s="31">
        <f>+VLOOKUP(A30,[1]CONGE!$A$2:$W$113,22,0)</f>
        <v>0</v>
      </c>
      <c r="AI30" s="31">
        <f>+VLOOKUP(A30,[1]CONGE!$A$2:$W$113,23,0)</f>
        <v>0</v>
      </c>
      <c r="AJ30" s="36">
        <f t="shared" si="2"/>
        <v>534879.4</v>
      </c>
      <c r="AK30" s="33">
        <f>IF(ISNA(VLOOKUP(A30,[1]AVANTAGE!$A$5:$T$118,19,0))=TRUE,0,VLOOKUP(A30,[1]AVANTAGE!$A$5:$T$118,19,0))</f>
        <v>0</v>
      </c>
      <c r="AL30" s="33">
        <f>IF(ISNA(VLOOKUP(A30,[1]AVANTAGE!$A$5:$T$118,20,0))=TRUE,0,VLOOKUP(A30,[1]AVANTAGE!$A$5:$T$118,20,0))</f>
        <v>0</v>
      </c>
      <c r="AM30" s="37">
        <f>+AJ30+AL30</f>
        <v>534879.4</v>
      </c>
      <c r="AN30" s="38">
        <f t="shared" si="4"/>
        <v>5348.7940000000008</v>
      </c>
      <c r="AO30" s="33">
        <f t="shared" si="20"/>
        <v>5348.7940000000008</v>
      </c>
      <c r="AP30" s="38"/>
      <c r="AQ30" s="38">
        <f t="shared" si="6"/>
        <v>524100</v>
      </c>
      <c r="AR30" s="39">
        <f t="shared" si="7"/>
        <v>54820</v>
      </c>
      <c r="AS30" s="40">
        <f>VLOOKUP(A30,'[1]Liste personnel'!$B$3:$R$187,16,0)</f>
        <v>0</v>
      </c>
      <c r="AT30" s="38">
        <f t="shared" si="21"/>
        <v>0</v>
      </c>
      <c r="AU30" s="38">
        <f>+IF(AR30=0,0,IF(AR30-AT30&lt;200,200,AR30-AT30))</f>
        <v>54820</v>
      </c>
      <c r="AV30" s="38">
        <f>IF(ISNA(VLOOKUP(A30,[1]AVANCE!$A$6:$E$122,4,0))=TRUE,0,VLOOKUP(A30,[1]AVANCE!$A$6:$E$122,4,0))</f>
        <v>0</v>
      </c>
      <c r="AW30" s="38">
        <f>IF(ISNA(VLOOKUP(A30,[1]AVANCE!$A$6:$E$122,5,0))=TRUE,0,VLOOKUP(A30,[1]AVANCE!$A$6:$E$122,5,0))</f>
        <v>0</v>
      </c>
      <c r="AX30" s="38">
        <f>+AV30+AW30</f>
        <v>0</v>
      </c>
      <c r="AY30" s="57"/>
      <c r="AZ30" s="58">
        <f t="shared" si="11"/>
        <v>65517.588000000003</v>
      </c>
      <c r="BA30" s="38">
        <f t="shared" si="12"/>
        <v>469361.81200000003</v>
      </c>
      <c r="BB30" s="42"/>
      <c r="BC30" s="43"/>
      <c r="BD30" s="59">
        <f>+BA30+BB30+BC30</f>
        <v>469361.81200000003</v>
      </c>
      <c r="BE30" s="60">
        <f t="shared" si="19"/>
        <v>469400</v>
      </c>
      <c r="BF30" s="61"/>
      <c r="BG30" s="61"/>
      <c r="BH30" s="62">
        <f t="shared" si="14"/>
        <v>0</v>
      </c>
      <c r="BI30" s="62">
        <f t="shared" si="15"/>
        <v>0</v>
      </c>
      <c r="BJ30" s="62">
        <f t="shared" si="22"/>
        <v>0</v>
      </c>
      <c r="BK30" s="63">
        <f t="shared" si="23"/>
        <v>469361.81200000003</v>
      </c>
      <c r="BL30" s="48">
        <f t="shared" si="18"/>
        <v>534879.4</v>
      </c>
      <c r="BN30" s="49"/>
      <c r="BO30" s="49"/>
    </row>
    <row r="31" spans="1:67" s="85" customFormat="1" ht="27.75" customHeight="1">
      <c r="A31" s="65" t="s">
        <v>91</v>
      </c>
      <c r="B31" s="66" t="s">
        <v>241</v>
      </c>
      <c r="C31" s="67"/>
      <c r="D31" s="68" t="s">
        <v>242</v>
      </c>
      <c r="E31" s="69">
        <v>41299</v>
      </c>
      <c r="F31" s="70">
        <v>42359</v>
      </c>
      <c r="G31" s="69" t="s">
        <v>243</v>
      </c>
      <c r="H31" s="71" t="s">
        <v>187</v>
      </c>
      <c r="I31" s="72">
        <v>150000</v>
      </c>
      <c r="J31" s="28">
        <v>42369</v>
      </c>
      <c r="K31" s="72">
        <v>11</v>
      </c>
      <c r="L31" s="72">
        <f>(IF(K31&lt;30,I31*(K31)/30,I31))</f>
        <v>55000</v>
      </c>
      <c r="M31" s="73">
        <f>IF(ISNA(VLOOKUP(A31,[1]ABSENCE!$B$5:$AK$76,35,0))=TRUE,0,VLOOKUP(A31,[1]ABSENCE!$B$5:$AK$76,35,0))</f>
        <v>0</v>
      </c>
      <c r="N31" s="34">
        <f>IF(ISNA(VLOOKUP(A31,[1]ABSENCE!$B$5:$AK$76,36,0))=TRUE,0,VLOOKUP(A31,[1]ABSENCE!$B$5:$AK$76,36,0))</f>
        <v>0</v>
      </c>
      <c r="O31" s="31">
        <f>IF(ISNA(VLOOKUP($A31,[1]HS!$B$5:$T$122,3,0))=TRUE,0,VLOOKUP($A31,[1]HS!$B$5:$T$122,3,0))</f>
        <v>617.28395061728395</v>
      </c>
      <c r="P31" s="32">
        <f ca="1">IF(ISNA(IF(O31=0,0,VLOOKUP($A31,[1]HS!$B$5:$T$122,10,0)))=TRUE,0,IF(O31=0,0,VLOOKUP($A31,[1]HS!$B$5:$T$122,10,0)))</f>
        <v>0</v>
      </c>
      <c r="Q31" s="33">
        <f ca="1">IF(ISNA(VLOOKUP($A31,[1]HS!$B$5:$T$122,11,0))=TRUE,0,VLOOKUP($A31,[1]HS!$B$5:$T$122,11,0))</f>
        <v>0</v>
      </c>
      <c r="R31" s="32">
        <f ca="1">IF(ISNA(IF(O31=0,0,VLOOKUP($A31,[1]HS!$B$5:$T$122,12,0)))=TRUE,0,IF(O31=0,0,VLOOKUP($A31,[1]HS!$B$5:$T$122,12,0)))</f>
        <v>0</v>
      </c>
      <c r="S31" s="33">
        <f ca="1">IF(ISNA(VLOOKUP($A31,[1]HS!$B$5:$T$122,13,0))=TRUE,0,VLOOKUP($A31,[1]HS!$B$5:$T$122,13,0))</f>
        <v>0</v>
      </c>
      <c r="T31" s="32">
        <f ca="1">IF(ISNA(IF(O31=0,0,VLOOKUP($A31,[1]HS!$B$5:$T$122,14,0)))=TRUE,0,IF(O31=0,0,VLOOKUP($A31,[1]HS!$B$5:$T$122,14,0)))</f>
        <v>0</v>
      </c>
      <c r="U31" s="33">
        <f ca="1">IF(ISNA(VLOOKUP($A31,[1]HS!$B$5:$T$122,15,0))=TRUE,0,VLOOKUP($A31,[1]HS!$B$5:$T$122,15,0))</f>
        <v>0</v>
      </c>
      <c r="V31" s="32">
        <f ca="1">(IF(O31=0,0,VLOOKUP($A31,[1]HS!$B$5:$T$122,16,0)))</f>
        <v>0</v>
      </c>
      <c r="W31" s="33">
        <f ca="1">IF(ISNA(VLOOKUP($A31,[1]HS!$B$5:$T$122,17,0))=TRUE,0,VLOOKUP($A31,[1]HS!$B$5:$T$122,17,0))</f>
        <v>0</v>
      </c>
      <c r="X31" s="32">
        <f ca="1">(IF(O31=0,0,VLOOKUP($A31,[1]HS!$B$5:$T$122,18,0)))</f>
        <v>0</v>
      </c>
      <c r="Y31" s="33">
        <f ca="1">IF(ISNA(VLOOKUP($A31,[1]HS!$B$5:$T$122,19,0))=TRUE,0,VLOOKUP($A31,[1]HS!$B$5:$T$122,19,0))</f>
        <v>0</v>
      </c>
      <c r="Z31" s="34">
        <f ca="1">+Q31+S31+U31+W31+Y31</f>
        <v>0</v>
      </c>
      <c r="AA31" s="74">
        <f>+VLOOKUP(A31,[1]CONGE!$A$2:$W$113,20,0)</f>
        <v>0</v>
      </c>
      <c r="AB31" s="74">
        <f>+VLOOKUP(A31,[1]CONGE!$A$2:$W$113,21,0)</f>
        <v>0</v>
      </c>
      <c r="AC31" s="34">
        <f>IF(ISNA(VLOOKUP(A31,'[1]REPAS+DEPL'!$A$6:$M$1028,13,0))=TRUE,0,VLOOKUP(A31,'[1]REPAS+DEPL'!$A$6:$M$1028,13,0))</f>
        <v>0</v>
      </c>
      <c r="AD31" s="74"/>
      <c r="AE31" s="34">
        <f>IF(ISNA(VLOOKUP(A31,[1]Préavis!$A$2:$E$98,5,0))=TRUE,0,(VLOOKUP(A31,[1]Préavis!$A$2:$E$98,5,0)))</f>
        <v>0</v>
      </c>
      <c r="AF31" s="74">
        <f>+VLOOKUP(A31,[1]CONGE!$A$2:$V$112,18,0)</f>
        <v>0</v>
      </c>
      <c r="AG31" s="34">
        <f>IF(ISNA(VLOOKUP($A31,[1]CONGE!$A$2:$S$134,19,0))=TRUE,0,VLOOKUP($A31,[1]CONGE!$A$2:$S$134,19,0))</f>
        <v>0</v>
      </c>
      <c r="AH31" s="74">
        <f>+VLOOKUP(A31,[1]CONGE!$A$2:$W$113,22,0)</f>
        <v>0</v>
      </c>
      <c r="AI31" s="74">
        <f>+VLOOKUP(A31,[1]CONGE!$A$2:$W$113,23,0)</f>
        <v>0</v>
      </c>
      <c r="AJ31" s="74">
        <f t="shared" ca="1" si="2"/>
        <v>55000</v>
      </c>
      <c r="AK31" s="34">
        <f>IF(ISNA(VLOOKUP(A31,[1]AVANTAGE!$A$5:$T$118,19,0))=TRUE,0,VLOOKUP(A31,[1]AVANTAGE!$A$5:$T$118,19,0))</f>
        <v>0</v>
      </c>
      <c r="AL31" s="34">
        <f>IF(ISNA(VLOOKUP(A31,[1]AVANTAGE!$A$5:$T$118,20,0))=TRUE,0,VLOOKUP(A31,[1]AVANTAGE!$A$5:$T$118,20,0))</f>
        <v>0</v>
      </c>
      <c r="AM31" s="75">
        <f ca="1">+AJ31+AL31</f>
        <v>55000</v>
      </c>
      <c r="AN31" s="75">
        <f t="shared" ca="1" si="4"/>
        <v>550</v>
      </c>
      <c r="AO31" s="34">
        <f t="shared" ca="1" si="20"/>
        <v>550</v>
      </c>
      <c r="AP31" s="75"/>
      <c r="AQ31" s="75">
        <f ca="1">+INT((AJ31+AL31-AO31-AN31-AP31)/100)*100</f>
        <v>53900</v>
      </c>
      <c r="AR31" s="76">
        <f t="shared" ca="1" si="7"/>
        <v>0</v>
      </c>
      <c r="AS31" s="77">
        <f>VLOOKUP(A31,'[1]Liste personnel'!$B$3:$R$187,16,0)</f>
        <v>0</v>
      </c>
      <c r="AT31" s="75">
        <f t="shared" si="21"/>
        <v>0</v>
      </c>
      <c r="AU31" s="75">
        <f ca="1">+IF(AR31=0,0,IF(AR31-AT31&lt;200,200,AR31-AT31))</f>
        <v>0</v>
      </c>
      <c r="AV31" s="75">
        <f>IF(ISNA(VLOOKUP(A31,[1]AVANCE!$A$6:$E$122,4,0))=TRUE,0,VLOOKUP(A31,[1]AVANCE!$A$6:$E$122,4,0))</f>
        <v>0</v>
      </c>
      <c r="AW31" s="75">
        <f>IF(ISNA(VLOOKUP(A31,[1]AVANCE!$A$6:$E$122,5,0))=TRUE,0,VLOOKUP(A31,[1]AVANCE!$A$6:$E$122,5,0))</f>
        <v>0</v>
      </c>
      <c r="AX31" s="75">
        <f>+AV31+AW31</f>
        <v>0</v>
      </c>
      <c r="AY31" s="34"/>
      <c r="AZ31" s="75">
        <f ca="1">+AO31+AN31+AU31+AX31+AY31</f>
        <v>1100</v>
      </c>
      <c r="BA31" s="75">
        <f ca="1">+AJ31-AZ31</f>
        <v>53900</v>
      </c>
      <c r="BB31" s="78"/>
      <c r="BC31" s="79"/>
      <c r="BD31" s="80">
        <f ca="1">+BA31+BB31+BC31</f>
        <v>53900</v>
      </c>
      <c r="BE31" s="81">
        <f ca="1">IF(BD31-INT(BD31/100)*100&gt;0,INT(BD31/100)*100+100,INT(BD31/100)*100)</f>
        <v>53900</v>
      </c>
      <c r="BF31" s="82"/>
      <c r="BG31" s="82"/>
      <c r="BH31" s="83">
        <f t="shared" si="14"/>
        <v>0</v>
      </c>
      <c r="BI31" s="83">
        <f t="shared" si="15"/>
        <v>0</v>
      </c>
      <c r="BJ31" s="83">
        <f t="shared" si="22"/>
        <v>0</v>
      </c>
      <c r="BK31" s="83">
        <f t="shared" ca="1" si="23"/>
        <v>53900</v>
      </c>
      <c r="BL31" s="84">
        <f t="shared" si="18"/>
        <v>55000</v>
      </c>
      <c r="BN31" s="86"/>
      <c r="BO31" s="86"/>
    </row>
    <row r="32" spans="1:67" s="18" customFormat="1" ht="27.75" customHeight="1">
      <c r="A32" s="50" t="s">
        <v>92</v>
      </c>
      <c r="B32" s="51" t="s">
        <v>244</v>
      </c>
      <c r="C32" s="52"/>
      <c r="D32" s="53" t="s">
        <v>245</v>
      </c>
      <c r="E32" s="54">
        <v>39966</v>
      </c>
      <c r="F32" s="25">
        <v>42359</v>
      </c>
      <c r="G32" s="54" t="s">
        <v>246</v>
      </c>
      <c r="H32" s="55" t="s">
        <v>207</v>
      </c>
      <c r="I32" s="29">
        <v>956612</v>
      </c>
      <c r="J32" s="28">
        <v>42369</v>
      </c>
      <c r="K32" s="29">
        <v>11</v>
      </c>
      <c r="L32" s="29">
        <f t="shared" ref="L32:L44" si="24">(IF(K32&lt;30,I32*(K32)/30,I32))</f>
        <v>350757.73333333334</v>
      </c>
      <c r="M32" s="56">
        <f>IF(ISNA(VLOOKUP(A32,[1]ABSENCE!$B$5:$AK$76,35,0))=TRUE,0,VLOOKUP(A32,[1]ABSENCE!$B$5:$AK$76,35,0))</f>
        <v>0</v>
      </c>
      <c r="N32" s="33">
        <f>IF(ISNA(VLOOKUP(A32,[1]ABSENCE!$B$5:$AK$76,36,0))=TRUE,0,VLOOKUP(A32,[1]ABSENCE!$B$5:$AK$76,36,0))</f>
        <v>0</v>
      </c>
      <c r="O32" s="31">
        <f>IF(ISNA(VLOOKUP($A32,[1]HS!$B$5:$T$122,3,0))=TRUE,0,VLOOKUP($A32,[1]HS!$B$5:$T$122,3,0))</f>
        <v>0</v>
      </c>
      <c r="P32" s="32"/>
      <c r="Q32" s="33"/>
      <c r="R32" s="32"/>
      <c r="S32" s="33"/>
      <c r="T32" s="32"/>
      <c r="U32" s="33"/>
      <c r="V32" s="32"/>
      <c r="W32" s="33"/>
      <c r="X32" s="32"/>
      <c r="Y32" s="33"/>
      <c r="Z32" s="34">
        <f t="shared" si="1"/>
        <v>0</v>
      </c>
      <c r="AA32" s="31">
        <f>+VLOOKUP(A32,[1]CONGE!$A$2:$W$113,20,0)</f>
        <v>0</v>
      </c>
      <c r="AB32" s="31">
        <f>+VLOOKUP(A32,[1]CONGE!$A$2:$W$113,21,0)</f>
        <v>0</v>
      </c>
      <c r="AC32" s="33">
        <f>IF(ISNA(VLOOKUP(A32,'[1]REPAS+DEPL'!$A$6:$M$1028,13,0))=TRUE,0,VLOOKUP(A32,'[1]REPAS+DEPL'!$A$6:$M$1028,13,0))</f>
        <v>0</v>
      </c>
      <c r="AD32" s="35"/>
      <c r="AE32" s="33">
        <f>IF(ISNA(VLOOKUP(A32,[1]Préavis!$A$2:$E$98,5,0))=TRUE,0,(VLOOKUP(A32,[1]Préavis!$A$2:$E$98,5,0)))</f>
        <v>0</v>
      </c>
      <c r="AF32" s="31">
        <f>+VLOOKUP(A32,[1]CONGE!$A$2:$V$112,18,0)</f>
        <v>0</v>
      </c>
      <c r="AG32" s="33">
        <f>IF(ISNA(VLOOKUP($A32,[1]CONGE!$A$2:$S$134,19,0))=TRUE,0,VLOOKUP($A32,[1]CONGE!$A$2:$S$134,19,0))</f>
        <v>0</v>
      </c>
      <c r="AH32" s="31">
        <f>+VLOOKUP(A32,[1]CONGE!$A$2:$W$113,22,0)</f>
        <v>0</v>
      </c>
      <c r="AI32" s="31">
        <f>+VLOOKUP(A32,[1]CONGE!$A$2:$W$113,23,0)</f>
        <v>0</v>
      </c>
      <c r="AJ32" s="36">
        <f t="shared" si="2"/>
        <v>350757.73333333334</v>
      </c>
      <c r="AK32" s="33">
        <f>IF(ISNA(VLOOKUP(A32,[1]AVANTAGE!$A$5:$T$118,19,0))=TRUE,0,VLOOKUP(A32,[1]AVANTAGE!$A$5:$T$118,19,0))</f>
        <v>0</v>
      </c>
      <c r="AL32" s="33">
        <f>IF(ISNA(VLOOKUP(A32,[1]AVANTAGE!$A$5:$T$118,20,0))=TRUE,0,VLOOKUP(A32,[1]AVANTAGE!$A$5:$T$118,20,0))</f>
        <v>0</v>
      </c>
      <c r="AM32" s="37">
        <f t="shared" ref="AM32:AM44" si="25">+AJ32+AL32</f>
        <v>350757.73333333334</v>
      </c>
      <c r="AN32" s="38">
        <f t="shared" si="4"/>
        <v>3507.5773333333336</v>
      </c>
      <c r="AO32" s="33">
        <f t="shared" si="20"/>
        <v>3507.5773333333336</v>
      </c>
      <c r="AP32" s="38"/>
      <c r="AQ32" s="38">
        <f t="shared" ref="AQ32:AQ44" si="26">+INT((AJ32+AL32-AO32-AN32-AP32)/100)*100</f>
        <v>343700</v>
      </c>
      <c r="AR32" s="39">
        <f t="shared" si="7"/>
        <v>18740</v>
      </c>
      <c r="AS32" s="40">
        <f>VLOOKUP(A32,'[1]Liste personnel'!$B$3:$R$187,16,0)</f>
        <v>0</v>
      </c>
      <c r="AT32" s="38">
        <f t="shared" si="21"/>
        <v>0</v>
      </c>
      <c r="AU32" s="38">
        <f t="shared" ref="AU32:AU44" si="27">+IF(AR32=0,0,IF(AR32-AT32&lt;200,200,AR32-AT32))</f>
        <v>18740</v>
      </c>
      <c r="AV32" s="38">
        <f>IF(ISNA(VLOOKUP(A32,[1]AVANCE!$A$6:$E$122,4,0))=TRUE,0,VLOOKUP(A32,[1]AVANCE!$A$6:$E$122,4,0))</f>
        <v>0</v>
      </c>
      <c r="AW32" s="38">
        <f>IF(ISNA(VLOOKUP(A32,[1]AVANCE!$A$6:$E$122,5,0))=TRUE,0,VLOOKUP(A32,[1]AVANCE!$A$6:$E$122,5,0))</f>
        <v>0</v>
      </c>
      <c r="AX32" s="38">
        <f t="shared" ref="AX32:AX44" si="28">+AV32+AW32</f>
        <v>0</v>
      </c>
      <c r="AY32" s="57"/>
      <c r="AZ32" s="58">
        <f t="shared" ref="AZ32:AZ44" si="29">+AO32+AN32+AU32+AX32+AY32</f>
        <v>25755.154666666669</v>
      </c>
      <c r="BA32" s="38">
        <f t="shared" ref="BA32:BA44" si="30">+AJ32-AZ32</f>
        <v>325002.57866666664</v>
      </c>
      <c r="BB32" s="42"/>
      <c r="BC32" s="43"/>
      <c r="BD32" s="59">
        <f t="shared" ref="BD32:BD95" si="31">+BA32+BB32+BC32</f>
        <v>325002.57866666664</v>
      </c>
      <c r="BE32" s="60">
        <f t="shared" ref="BE32:BE44" si="32">IF(BD32-INT(BD32/100)*100&gt;0,INT(BD32/100)*100+100,INT(BD32/100)*100)</f>
        <v>325100</v>
      </c>
      <c r="BF32" s="61"/>
      <c r="BG32" s="61"/>
      <c r="BH32" s="62">
        <f t="shared" si="14"/>
        <v>0</v>
      </c>
      <c r="BI32" s="62">
        <f t="shared" si="15"/>
        <v>0</v>
      </c>
      <c r="BJ32" s="62">
        <f t="shared" si="22"/>
        <v>0</v>
      </c>
      <c r="BK32" s="63">
        <f t="shared" si="23"/>
        <v>325002.57866666664</v>
      </c>
      <c r="BL32" s="48">
        <f t="shared" si="18"/>
        <v>350757.73333333334</v>
      </c>
      <c r="BN32" s="49"/>
      <c r="BO32" s="49"/>
    </row>
    <row r="33" spans="1:67" s="18" customFormat="1" ht="27.75" customHeight="1">
      <c r="A33" s="50" t="s">
        <v>93</v>
      </c>
      <c r="B33" s="51" t="s">
        <v>247</v>
      </c>
      <c r="C33" s="52"/>
      <c r="D33" s="53" t="s">
        <v>248</v>
      </c>
      <c r="E33" s="54">
        <v>39713</v>
      </c>
      <c r="F33" s="25">
        <v>42359</v>
      </c>
      <c r="G33" s="54" t="s">
        <v>212</v>
      </c>
      <c r="H33" s="55" t="s">
        <v>169</v>
      </c>
      <c r="I33" s="29">
        <v>380000</v>
      </c>
      <c r="J33" s="28">
        <v>42369</v>
      </c>
      <c r="K33" s="29">
        <v>11</v>
      </c>
      <c r="L33" s="29">
        <f t="shared" si="24"/>
        <v>139333.33333333334</v>
      </c>
      <c r="M33" s="56">
        <f>IF(ISNA(VLOOKUP(A33,[1]ABSENCE!$B$5:$AK$76,35,0))=TRUE,0,VLOOKUP(A33,[1]ABSENCE!$B$5:$AK$76,35,0))</f>
        <v>0</v>
      </c>
      <c r="N33" s="33">
        <f>IF(ISNA(VLOOKUP(A33,[1]ABSENCE!$B$5:$AK$76,36,0))=TRUE,0,VLOOKUP(A33,[1]ABSENCE!$B$5:$AK$76,36,0))</f>
        <v>0</v>
      </c>
      <c r="O33" s="31">
        <f>IF(ISNA(VLOOKUP($A33,[1]HS!$B$5:$T$122,3,0))=TRUE,0,VLOOKUP($A33,[1]HS!$B$5:$T$122,3,0))</f>
        <v>2192.3498528817859</v>
      </c>
      <c r="P33" s="32"/>
      <c r="Q33" s="33"/>
      <c r="R33" s="32"/>
      <c r="S33" s="33"/>
      <c r="T33" s="32"/>
      <c r="U33" s="33"/>
      <c r="V33" s="32"/>
      <c r="W33" s="33"/>
      <c r="X33" s="32"/>
      <c r="Y33" s="33"/>
      <c r="Z33" s="34">
        <f t="shared" si="1"/>
        <v>0</v>
      </c>
      <c r="AA33" s="31">
        <f>+VLOOKUP(A33,[1]CONGE!$A$2:$W$113,20,0)</f>
        <v>0</v>
      </c>
      <c r="AB33" s="31">
        <f>+VLOOKUP(A33,[1]CONGE!$A$2:$W$113,21,0)</f>
        <v>0</v>
      </c>
      <c r="AC33" s="33">
        <f>IF(ISNA(VLOOKUP(A33,'[1]REPAS+DEPL'!$A$6:$M$1028,13,0))=TRUE,0,VLOOKUP(A33,'[1]REPAS+DEPL'!$A$6:$M$1028,13,0))</f>
        <v>0</v>
      </c>
      <c r="AD33" s="35"/>
      <c r="AE33" s="33">
        <f>IF(ISNA(VLOOKUP(A33,[1]Préavis!$A$2:$E$98,5,0))=TRUE,0,(VLOOKUP(A33,[1]Préavis!$A$2:$E$98,5,0)))</f>
        <v>0</v>
      </c>
      <c r="AF33" s="31">
        <f>+VLOOKUP(A33,[1]CONGE!$A$2:$V$112,18,0)</f>
        <v>0</v>
      </c>
      <c r="AG33" s="33">
        <f>IF(ISNA(VLOOKUP($A33,[1]CONGE!$A$2:$S$134,19,0))=TRUE,0,VLOOKUP($A33,[1]CONGE!$A$2:$S$134,19,0))</f>
        <v>0</v>
      </c>
      <c r="AH33" s="31">
        <f>+VLOOKUP(A33,[1]CONGE!$A$2:$W$113,22,0)</f>
        <v>0</v>
      </c>
      <c r="AI33" s="31">
        <f>+VLOOKUP(A33,[1]CONGE!$A$2:$W$113,23,0)</f>
        <v>0</v>
      </c>
      <c r="AJ33" s="36">
        <f t="shared" si="2"/>
        <v>139333.33333333334</v>
      </c>
      <c r="AK33" s="33">
        <f>IF(ISNA(VLOOKUP(A33,[1]AVANTAGE!$A$5:$T$118,19,0))=TRUE,0,VLOOKUP(A33,[1]AVANTAGE!$A$5:$T$118,19,0))</f>
        <v>0</v>
      </c>
      <c r="AL33" s="33">
        <f>IF(ISNA(VLOOKUP(A33,[1]AVANTAGE!$A$5:$T$118,20,0))=TRUE,0,VLOOKUP(A33,[1]AVANTAGE!$A$5:$T$118,20,0))</f>
        <v>0</v>
      </c>
      <c r="AM33" s="37">
        <f t="shared" si="25"/>
        <v>139333.33333333334</v>
      </c>
      <c r="AN33" s="38">
        <f t="shared" si="4"/>
        <v>1393.3333333333335</v>
      </c>
      <c r="AO33" s="33">
        <f t="shared" si="20"/>
        <v>1393.3333333333335</v>
      </c>
      <c r="AP33" s="38"/>
      <c r="AQ33" s="38">
        <f t="shared" si="26"/>
        <v>136500</v>
      </c>
      <c r="AR33" s="39">
        <f t="shared" si="7"/>
        <v>0</v>
      </c>
      <c r="AS33" s="40">
        <f>VLOOKUP(A33,'[1]Liste personnel'!$B$3:$R$187,16,0)</f>
        <v>2</v>
      </c>
      <c r="AT33" s="38">
        <f t="shared" si="21"/>
        <v>4000</v>
      </c>
      <c r="AU33" s="38">
        <f t="shared" si="27"/>
        <v>0</v>
      </c>
      <c r="AV33" s="38">
        <f>IF(ISNA(VLOOKUP(A33,[1]AVANCE!$A$6:$E$122,4,0))=TRUE,0,VLOOKUP(A33,[1]AVANCE!$A$6:$E$122,4,0))</f>
        <v>0</v>
      </c>
      <c r="AW33" s="38">
        <f>IF(ISNA(VLOOKUP(A33,[1]AVANCE!$A$6:$E$122,5,0))=TRUE,0,VLOOKUP(A33,[1]AVANCE!$A$6:$E$122,5,0))</f>
        <v>0</v>
      </c>
      <c r="AX33" s="38">
        <f t="shared" si="28"/>
        <v>0</v>
      </c>
      <c r="AY33" s="57"/>
      <c r="AZ33" s="58">
        <f t="shared" si="29"/>
        <v>2786.666666666667</v>
      </c>
      <c r="BA33" s="38">
        <f t="shared" si="30"/>
        <v>136546.66666666669</v>
      </c>
      <c r="BB33" s="42"/>
      <c r="BC33" s="43"/>
      <c r="BD33" s="59">
        <f t="shared" si="31"/>
        <v>136546.66666666669</v>
      </c>
      <c r="BE33" s="60">
        <f t="shared" si="32"/>
        <v>136600</v>
      </c>
      <c r="BF33" s="61"/>
      <c r="BG33" s="61"/>
      <c r="BH33" s="62">
        <f t="shared" si="14"/>
        <v>0</v>
      </c>
      <c r="BI33" s="62">
        <f t="shared" si="15"/>
        <v>0</v>
      </c>
      <c r="BJ33" s="62">
        <f t="shared" si="22"/>
        <v>0</v>
      </c>
      <c r="BK33" s="63">
        <f t="shared" si="23"/>
        <v>136546.66666666669</v>
      </c>
      <c r="BL33" s="48">
        <f t="shared" si="18"/>
        <v>139333.33333333334</v>
      </c>
      <c r="BN33" s="49"/>
      <c r="BO33" s="49"/>
    </row>
    <row r="34" spans="1:67" s="18" customFormat="1" ht="27.75" customHeight="1">
      <c r="A34" s="50" t="s">
        <v>94</v>
      </c>
      <c r="B34" s="51" t="s">
        <v>249</v>
      </c>
      <c r="C34" s="52"/>
      <c r="D34" s="53" t="s">
        <v>250</v>
      </c>
      <c r="E34" s="54">
        <v>39951</v>
      </c>
      <c r="F34" s="25">
        <v>42359</v>
      </c>
      <c r="G34" s="54" t="s">
        <v>212</v>
      </c>
      <c r="H34" s="55" t="s">
        <v>169</v>
      </c>
      <c r="I34" s="29">
        <v>380000</v>
      </c>
      <c r="J34" s="28">
        <v>42369</v>
      </c>
      <c r="K34" s="29">
        <v>11</v>
      </c>
      <c r="L34" s="29">
        <f t="shared" si="24"/>
        <v>139333.33333333334</v>
      </c>
      <c r="M34" s="56">
        <f>IF(ISNA(VLOOKUP(A34,[1]ABSENCE!$B$5:$AK$76,35,0))=TRUE,0,VLOOKUP(A34,[1]ABSENCE!$B$5:$AK$76,35,0))</f>
        <v>0</v>
      </c>
      <c r="N34" s="33">
        <f>IF(ISNA(VLOOKUP(A34,[1]ABSENCE!$B$5:$AK$76,36,0))=TRUE,0,VLOOKUP(A34,[1]ABSENCE!$B$5:$AK$76,36,0))</f>
        <v>0</v>
      </c>
      <c r="O34" s="31">
        <f>IF(ISNA(VLOOKUP($A34,[1]HS!$B$5:$T$122,3,0))=TRUE,0,VLOOKUP($A34,[1]HS!$B$5:$T$122,3,0))</f>
        <v>2192.3498528817859</v>
      </c>
      <c r="P34" s="32"/>
      <c r="Q34" s="33"/>
      <c r="R34" s="32"/>
      <c r="S34" s="33"/>
      <c r="T34" s="32"/>
      <c r="U34" s="33"/>
      <c r="V34" s="32"/>
      <c r="W34" s="33"/>
      <c r="X34" s="32"/>
      <c r="Y34" s="33"/>
      <c r="Z34" s="34">
        <f t="shared" si="1"/>
        <v>0</v>
      </c>
      <c r="AA34" s="31">
        <f>+VLOOKUP(A34,[1]CONGE!$A$2:$W$113,20,0)</f>
        <v>0</v>
      </c>
      <c r="AB34" s="31">
        <f>+VLOOKUP(A34,[1]CONGE!$A$2:$W$113,21,0)</f>
        <v>0</v>
      </c>
      <c r="AC34" s="33">
        <f>IF(ISNA(VLOOKUP(A34,'[1]REPAS+DEPL'!$A$6:$M$1028,13,0))=TRUE,0,VLOOKUP(A34,'[1]REPAS+DEPL'!$A$6:$M$1028,13,0))</f>
        <v>0</v>
      </c>
      <c r="AD34" s="35"/>
      <c r="AE34" s="33">
        <f>IF(ISNA(VLOOKUP(A34,[1]Préavis!$A$2:$E$98,5,0))=TRUE,0,(VLOOKUP(A34,[1]Préavis!$A$2:$E$98,5,0)))</f>
        <v>0</v>
      </c>
      <c r="AF34" s="31">
        <f>+VLOOKUP(A34,[1]CONGE!$A$2:$V$112,18,0)</f>
        <v>0</v>
      </c>
      <c r="AG34" s="33">
        <f>IF(ISNA(VLOOKUP($A34,[1]CONGE!$A$2:$S$134,19,0))=TRUE,0,VLOOKUP($A34,[1]CONGE!$A$2:$S$134,19,0))</f>
        <v>0</v>
      </c>
      <c r="AH34" s="31">
        <f>+VLOOKUP(A34,[1]CONGE!$A$2:$W$113,22,0)</f>
        <v>0</v>
      </c>
      <c r="AI34" s="31">
        <f>+VLOOKUP(A34,[1]CONGE!$A$2:$W$113,23,0)</f>
        <v>0</v>
      </c>
      <c r="AJ34" s="36">
        <f t="shared" si="2"/>
        <v>139333.33333333334</v>
      </c>
      <c r="AK34" s="33">
        <f>IF(ISNA(VLOOKUP(A34,[1]AVANTAGE!$A$5:$T$118,19,0))=TRUE,0,VLOOKUP(A34,[1]AVANTAGE!$A$5:$T$118,19,0))</f>
        <v>0</v>
      </c>
      <c r="AL34" s="33">
        <f>IF(ISNA(VLOOKUP(A34,[1]AVANTAGE!$A$5:$T$118,20,0))=TRUE,0,VLOOKUP(A34,[1]AVANTAGE!$A$5:$T$118,20,0))</f>
        <v>0</v>
      </c>
      <c r="AM34" s="37">
        <f t="shared" si="25"/>
        <v>139333.33333333334</v>
      </c>
      <c r="AN34" s="38">
        <f t="shared" si="4"/>
        <v>1393.3333333333335</v>
      </c>
      <c r="AO34" s="33">
        <f t="shared" si="20"/>
        <v>1393.3333333333335</v>
      </c>
      <c r="AP34" s="38"/>
      <c r="AQ34" s="38">
        <f t="shared" si="26"/>
        <v>136500</v>
      </c>
      <c r="AR34" s="39">
        <f t="shared" si="7"/>
        <v>0</v>
      </c>
      <c r="AS34" s="40">
        <f>VLOOKUP(A34,'[1]Liste personnel'!$B$3:$R$187,16,0)</f>
        <v>0</v>
      </c>
      <c r="AT34" s="38">
        <f t="shared" si="21"/>
        <v>0</v>
      </c>
      <c r="AU34" s="38">
        <f t="shared" si="27"/>
        <v>0</v>
      </c>
      <c r="AV34" s="38">
        <f>IF(ISNA(VLOOKUP(A34,[1]AVANCE!$A$6:$E$122,4,0))=TRUE,0,VLOOKUP(A34,[1]AVANCE!$A$6:$E$122,4,0))</f>
        <v>0</v>
      </c>
      <c r="AW34" s="38">
        <f>IF(ISNA(VLOOKUP(A34,[1]AVANCE!$A$6:$E$122,5,0))=TRUE,0,VLOOKUP(A34,[1]AVANCE!$A$6:$E$122,5,0))</f>
        <v>0</v>
      </c>
      <c r="AX34" s="38">
        <f t="shared" si="28"/>
        <v>0</v>
      </c>
      <c r="AY34" s="57"/>
      <c r="AZ34" s="58">
        <f t="shared" si="29"/>
        <v>2786.666666666667</v>
      </c>
      <c r="BA34" s="38">
        <f t="shared" si="30"/>
        <v>136546.66666666669</v>
      </c>
      <c r="BB34" s="42"/>
      <c r="BC34" s="43"/>
      <c r="BD34" s="59">
        <f t="shared" si="31"/>
        <v>136546.66666666669</v>
      </c>
      <c r="BE34" s="60">
        <f t="shared" si="32"/>
        <v>136600</v>
      </c>
      <c r="BF34" s="61"/>
      <c r="BG34" s="61"/>
      <c r="BH34" s="62">
        <f t="shared" si="14"/>
        <v>0</v>
      </c>
      <c r="BI34" s="62">
        <f t="shared" si="15"/>
        <v>0</v>
      </c>
      <c r="BJ34" s="62">
        <f t="shared" si="22"/>
        <v>0</v>
      </c>
      <c r="BK34" s="63">
        <f t="shared" si="23"/>
        <v>136546.66666666669</v>
      </c>
      <c r="BL34" s="48">
        <f t="shared" si="18"/>
        <v>139333.33333333334</v>
      </c>
      <c r="BN34" s="49"/>
      <c r="BO34" s="49"/>
    </row>
    <row r="35" spans="1:67" s="18" customFormat="1" ht="27.75" customHeight="1">
      <c r="A35" s="50" t="s">
        <v>95</v>
      </c>
      <c r="B35" s="51" t="s">
        <v>251</v>
      </c>
      <c r="C35" s="52"/>
      <c r="D35" s="53" t="s">
        <v>252</v>
      </c>
      <c r="E35" s="54">
        <v>39850</v>
      </c>
      <c r="F35" s="25">
        <v>42359</v>
      </c>
      <c r="G35" s="54" t="s">
        <v>201</v>
      </c>
      <c r="H35" s="55" t="s">
        <v>183</v>
      </c>
      <c r="I35" s="29">
        <v>220000</v>
      </c>
      <c r="J35" s="28">
        <v>42369</v>
      </c>
      <c r="K35" s="29">
        <v>11</v>
      </c>
      <c r="L35" s="29">
        <f t="shared" si="24"/>
        <v>80666.666666666672</v>
      </c>
      <c r="M35" s="56">
        <f>IF(ISNA(VLOOKUP(A35,[1]ABSENCE!$B$5:$AK$76,35,0))=TRUE,0,VLOOKUP(A35,[1]ABSENCE!$B$5:$AK$76,35,0))</f>
        <v>0</v>
      </c>
      <c r="N35" s="33">
        <f>IF(ISNA(VLOOKUP(A35,[1]ABSENCE!$B$5:$AK$76,36,0))=TRUE,0,VLOOKUP(A35,[1]ABSENCE!$B$5:$AK$76,36,0))</f>
        <v>0</v>
      </c>
      <c r="O35" s="31">
        <f>IF(ISNA(VLOOKUP($A35,[1]HS!$B$5:$T$122,3,0))=TRUE,0,VLOOKUP($A35,[1]HS!$B$5:$T$122,3,0))</f>
        <v>1269.255177984192</v>
      </c>
      <c r="P35" s="32"/>
      <c r="Q35" s="33"/>
      <c r="R35" s="32"/>
      <c r="S35" s="33"/>
      <c r="T35" s="32"/>
      <c r="U35" s="33"/>
      <c r="V35" s="32"/>
      <c r="W35" s="33"/>
      <c r="X35" s="32"/>
      <c r="Y35" s="33"/>
      <c r="Z35" s="34">
        <f t="shared" si="1"/>
        <v>0</v>
      </c>
      <c r="AA35" s="31">
        <f>+VLOOKUP(A35,[1]CONGE!$A$2:$W$113,20,0)</f>
        <v>0</v>
      </c>
      <c r="AB35" s="31">
        <f>+VLOOKUP(A35,[1]CONGE!$A$2:$W$113,21,0)</f>
        <v>0</v>
      </c>
      <c r="AC35" s="33">
        <f>IF(ISNA(VLOOKUP(A35,'[1]REPAS+DEPL'!$A$6:$M$1028,13,0))=TRUE,0,VLOOKUP(A35,'[1]REPAS+DEPL'!$A$6:$M$1028,13,0))</f>
        <v>0</v>
      </c>
      <c r="AD35" s="35"/>
      <c r="AE35" s="33">
        <f>IF(ISNA(VLOOKUP(A35,[1]Préavis!$A$2:$E$98,5,0))=TRUE,0,(VLOOKUP(A35,[1]Préavis!$A$2:$E$98,5,0)))</f>
        <v>0</v>
      </c>
      <c r="AF35" s="31">
        <f>+VLOOKUP(A35,[1]CONGE!$A$2:$V$112,18,0)</f>
        <v>0</v>
      </c>
      <c r="AG35" s="33">
        <f>IF(ISNA(VLOOKUP($A35,[1]CONGE!$A$2:$S$134,19,0))=TRUE,0,VLOOKUP($A35,[1]CONGE!$A$2:$S$134,19,0))</f>
        <v>0</v>
      </c>
      <c r="AH35" s="31">
        <f>+VLOOKUP(A35,[1]CONGE!$A$2:$W$113,22,0)</f>
        <v>0</v>
      </c>
      <c r="AI35" s="31">
        <f>+VLOOKUP(A35,[1]CONGE!$A$2:$W$113,23,0)</f>
        <v>0</v>
      </c>
      <c r="AJ35" s="36">
        <f t="shared" si="2"/>
        <v>80666.666666666672</v>
      </c>
      <c r="AK35" s="33">
        <f>IF(ISNA(VLOOKUP(A35,[1]AVANTAGE!$A$5:$T$118,19,0))=TRUE,0,VLOOKUP(A35,[1]AVANTAGE!$A$5:$T$118,19,0))</f>
        <v>0</v>
      </c>
      <c r="AL35" s="33">
        <f>IF(ISNA(VLOOKUP(A35,[1]AVANTAGE!$A$5:$T$118,20,0))=TRUE,0,VLOOKUP(A35,[1]AVANTAGE!$A$5:$T$118,20,0))</f>
        <v>0</v>
      </c>
      <c r="AM35" s="37">
        <f t="shared" si="25"/>
        <v>80666.666666666672</v>
      </c>
      <c r="AN35" s="38">
        <f t="shared" si="4"/>
        <v>806.66666666666674</v>
      </c>
      <c r="AO35" s="33">
        <f t="shared" si="20"/>
        <v>806.66666666666674</v>
      </c>
      <c r="AP35" s="38"/>
      <c r="AQ35" s="38">
        <f t="shared" si="26"/>
        <v>79000</v>
      </c>
      <c r="AR35" s="39">
        <f t="shared" si="7"/>
        <v>0</v>
      </c>
      <c r="AS35" s="40">
        <f>VLOOKUP(A35,'[1]Liste personnel'!$B$3:$R$187,16,0)</f>
        <v>0</v>
      </c>
      <c r="AT35" s="38">
        <f t="shared" si="21"/>
        <v>0</v>
      </c>
      <c r="AU35" s="38">
        <f t="shared" si="27"/>
        <v>0</v>
      </c>
      <c r="AV35" s="38">
        <f>IF(ISNA(VLOOKUP(A35,[1]AVANCE!$A$6:$E$122,4,0))=TRUE,0,VLOOKUP(A35,[1]AVANCE!$A$6:$E$122,4,0))</f>
        <v>0</v>
      </c>
      <c r="AW35" s="38">
        <f>IF(ISNA(VLOOKUP(A35,[1]AVANCE!$A$6:$E$122,5,0))=TRUE,0,VLOOKUP(A35,[1]AVANCE!$A$6:$E$122,5,0))</f>
        <v>0</v>
      </c>
      <c r="AX35" s="38">
        <f t="shared" si="28"/>
        <v>0</v>
      </c>
      <c r="AY35" s="57"/>
      <c r="AZ35" s="58">
        <f t="shared" si="29"/>
        <v>1613.3333333333335</v>
      </c>
      <c r="BA35" s="38">
        <f t="shared" si="30"/>
        <v>79053.333333333343</v>
      </c>
      <c r="BB35" s="42"/>
      <c r="BC35" s="43"/>
      <c r="BD35" s="59">
        <f t="shared" si="31"/>
        <v>79053.333333333343</v>
      </c>
      <c r="BE35" s="60">
        <f t="shared" si="32"/>
        <v>79100</v>
      </c>
      <c r="BF35" s="61"/>
      <c r="BG35" s="61"/>
      <c r="BH35" s="62">
        <f t="shared" si="14"/>
        <v>0</v>
      </c>
      <c r="BI35" s="62">
        <f t="shared" si="15"/>
        <v>0</v>
      </c>
      <c r="BJ35" s="62">
        <f t="shared" si="22"/>
        <v>0</v>
      </c>
      <c r="BK35" s="63">
        <f t="shared" si="23"/>
        <v>79053.333333333343</v>
      </c>
      <c r="BL35" s="48">
        <f t="shared" si="18"/>
        <v>80666.666666666672</v>
      </c>
      <c r="BN35" s="49"/>
      <c r="BO35" s="49"/>
    </row>
    <row r="36" spans="1:67" s="18" customFormat="1" ht="27.75" customHeight="1">
      <c r="A36" s="50" t="s">
        <v>96</v>
      </c>
      <c r="B36" s="51" t="s">
        <v>253</v>
      </c>
      <c r="C36" s="52"/>
      <c r="D36" s="53" t="s">
        <v>254</v>
      </c>
      <c r="E36" s="54">
        <v>39695</v>
      </c>
      <c r="F36" s="25">
        <v>42359</v>
      </c>
      <c r="G36" s="54" t="s">
        <v>192</v>
      </c>
      <c r="H36" s="55" t="s">
        <v>169</v>
      </c>
      <c r="I36" s="29">
        <v>555081</v>
      </c>
      <c r="J36" s="28">
        <v>42369</v>
      </c>
      <c r="K36" s="29">
        <v>11</v>
      </c>
      <c r="L36" s="29">
        <f t="shared" si="24"/>
        <v>203529.7</v>
      </c>
      <c r="M36" s="56">
        <f>IF(ISNA(VLOOKUP(A36,[1]ABSENCE!$B$5:$AK$76,35,0))=TRUE,0,VLOOKUP(A36,[1]ABSENCE!$B$5:$AK$76,35,0))</f>
        <v>0</v>
      </c>
      <c r="N36" s="33">
        <f>IF(ISNA(VLOOKUP(A36,[1]ABSENCE!$B$5:$AK$76,36,0))=TRUE,0,VLOOKUP(A36,[1]ABSENCE!$B$5:$AK$76,36,0))</f>
        <v>0</v>
      </c>
      <c r="O36" s="31">
        <f>IF(ISNA(VLOOKUP($A36,[1]HS!$B$5:$T$122,3,0))=TRUE,0,VLOOKUP($A36,[1]HS!$B$5:$T$122,3,0))</f>
        <v>3202.4519702301964</v>
      </c>
      <c r="P36" s="32"/>
      <c r="Q36" s="33"/>
      <c r="R36" s="32"/>
      <c r="S36" s="33"/>
      <c r="T36" s="32"/>
      <c r="U36" s="33"/>
      <c r="V36" s="32"/>
      <c r="W36" s="33"/>
      <c r="X36" s="32"/>
      <c r="Y36" s="33"/>
      <c r="Z36" s="34">
        <f t="shared" si="1"/>
        <v>0</v>
      </c>
      <c r="AA36" s="31">
        <f>+VLOOKUP(A36,[1]CONGE!$A$2:$W$113,20,0)</f>
        <v>0</v>
      </c>
      <c r="AB36" s="31">
        <f>+VLOOKUP(A36,[1]CONGE!$A$2:$W$113,21,0)</f>
        <v>0</v>
      </c>
      <c r="AC36" s="33">
        <f>IF(ISNA(VLOOKUP(A36,'[1]REPAS+DEPL'!$A$6:$M$1028,13,0))=TRUE,0,VLOOKUP(A36,'[1]REPAS+DEPL'!$A$6:$M$1028,13,0))</f>
        <v>0</v>
      </c>
      <c r="AD36" s="35"/>
      <c r="AE36" s="33">
        <f>IF(ISNA(VLOOKUP(A36,[1]Préavis!$A$2:$E$98,5,0))=TRUE,0,(VLOOKUP(A36,[1]Préavis!$A$2:$E$98,5,0)))</f>
        <v>0</v>
      </c>
      <c r="AF36" s="31">
        <f>+VLOOKUP(A36,[1]CONGE!$A$2:$V$112,18,0)</f>
        <v>0</v>
      </c>
      <c r="AG36" s="33">
        <f>IF(ISNA(VLOOKUP($A36,[1]CONGE!$A$2:$S$134,19,0))=TRUE,0,VLOOKUP($A36,[1]CONGE!$A$2:$S$134,19,0))</f>
        <v>0</v>
      </c>
      <c r="AH36" s="31">
        <f>+VLOOKUP(A36,[1]CONGE!$A$2:$W$113,22,0)</f>
        <v>0</v>
      </c>
      <c r="AI36" s="31">
        <f>+VLOOKUP(A36,[1]CONGE!$A$2:$W$113,23,0)</f>
        <v>0</v>
      </c>
      <c r="AJ36" s="36">
        <f t="shared" si="2"/>
        <v>203529.7</v>
      </c>
      <c r="AK36" s="33">
        <f>IF(ISNA(VLOOKUP(A36,[1]AVANTAGE!$A$5:$T$118,19,0))=TRUE,0,VLOOKUP(A36,[1]AVANTAGE!$A$5:$T$118,19,0))</f>
        <v>0</v>
      </c>
      <c r="AL36" s="33">
        <f>IF(ISNA(VLOOKUP(A36,[1]AVANTAGE!$A$5:$T$118,20,0))=TRUE,0,VLOOKUP(A36,[1]AVANTAGE!$A$5:$T$118,20,0))</f>
        <v>0</v>
      </c>
      <c r="AM36" s="37">
        <f t="shared" si="25"/>
        <v>203529.7</v>
      </c>
      <c r="AN36" s="38">
        <f t="shared" si="4"/>
        <v>2035.2970000000003</v>
      </c>
      <c r="AO36" s="33">
        <f t="shared" si="20"/>
        <v>2035.2970000000003</v>
      </c>
      <c r="AP36" s="38"/>
      <c r="AQ36" s="38">
        <f t="shared" si="26"/>
        <v>199400</v>
      </c>
      <c r="AR36" s="39">
        <f t="shared" si="7"/>
        <v>0</v>
      </c>
      <c r="AS36" s="40">
        <f>VLOOKUP(A36,'[1]Liste personnel'!$B$3:$R$187,16,0)</f>
        <v>0</v>
      </c>
      <c r="AT36" s="38">
        <f t="shared" si="21"/>
        <v>0</v>
      </c>
      <c r="AU36" s="38">
        <f t="shared" si="27"/>
        <v>0</v>
      </c>
      <c r="AV36" s="38">
        <f>IF(ISNA(VLOOKUP(A36,[1]AVANCE!$A$6:$E$122,4,0))=TRUE,0,VLOOKUP(A36,[1]AVANCE!$A$6:$E$122,4,0))</f>
        <v>0</v>
      </c>
      <c r="AW36" s="38">
        <f>IF(ISNA(VLOOKUP(A36,[1]AVANCE!$A$6:$E$122,5,0))=TRUE,0,VLOOKUP(A36,[1]AVANCE!$A$6:$E$122,5,0))</f>
        <v>0</v>
      </c>
      <c r="AX36" s="38">
        <f t="shared" si="28"/>
        <v>0</v>
      </c>
      <c r="AY36" s="57"/>
      <c r="AZ36" s="58">
        <f t="shared" si="29"/>
        <v>4070.5940000000005</v>
      </c>
      <c r="BA36" s="38">
        <f t="shared" si="30"/>
        <v>199459.106</v>
      </c>
      <c r="BB36" s="42"/>
      <c r="BC36" s="43"/>
      <c r="BD36" s="59">
        <f t="shared" si="31"/>
        <v>199459.106</v>
      </c>
      <c r="BE36" s="60">
        <f t="shared" si="32"/>
        <v>199500</v>
      </c>
      <c r="BF36" s="61"/>
      <c r="BG36" s="61"/>
      <c r="BH36" s="62">
        <f t="shared" si="14"/>
        <v>0</v>
      </c>
      <c r="BI36" s="62">
        <f t="shared" si="15"/>
        <v>0</v>
      </c>
      <c r="BJ36" s="62">
        <f t="shared" si="22"/>
        <v>0</v>
      </c>
      <c r="BK36" s="63">
        <f t="shared" si="23"/>
        <v>199459.106</v>
      </c>
      <c r="BL36" s="48">
        <f t="shared" si="18"/>
        <v>203529.7</v>
      </c>
      <c r="BN36" s="49"/>
      <c r="BO36" s="49"/>
    </row>
    <row r="37" spans="1:67" s="85" customFormat="1" ht="27.75" customHeight="1">
      <c r="A37" s="65" t="s">
        <v>97</v>
      </c>
      <c r="B37" s="66" t="s">
        <v>255</v>
      </c>
      <c r="C37" s="67"/>
      <c r="D37" s="68" t="s">
        <v>256</v>
      </c>
      <c r="E37" s="69">
        <v>39712</v>
      </c>
      <c r="F37" s="70">
        <v>42359</v>
      </c>
      <c r="G37" s="69" t="s">
        <v>257</v>
      </c>
      <c r="H37" s="71" t="s">
        <v>169</v>
      </c>
      <c r="I37" s="72">
        <v>275000</v>
      </c>
      <c r="J37" s="28">
        <v>42369</v>
      </c>
      <c r="K37" s="72">
        <v>11</v>
      </c>
      <c r="L37" s="72">
        <f t="shared" si="24"/>
        <v>100833.33333333333</v>
      </c>
      <c r="M37" s="73">
        <f>IF(ISNA(VLOOKUP(A37,[1]ABSENCE!$B$5:$AK$76,35,0))=TRUE,0,VLOOKUP(A37,[1]ABSENCE!$B$5:$AK$76,35,0))</f>
        <v>0</v>
      </c>
      <c r="N37" s="34">
        <f>IF(ISNA(VLOOKUP(A37,[1]ABSENCE!$B$5:$AK$76,36,0))=TRUE,0,VLOOKUP(A37,[1]ABSENCE!$B$5:$AK$76,36,0))</f>
        <v>0</v>
      </c>
      <c r="O37" s="31">
        <f>IF(ISNA(VLOOKUP($A37,[1]HS!$B$5:$T$122,3,0))=TRUE,0,VLOOKUP($A37,[1]HS!$B$5:$T$122,3,0))</f>
        <v>1586.5689724802398</v>
      </c>
      <c r="P37" s="32">
        <f ca="1">IF(ISNA(IF(O37=0,0,VLOOKUP($A37,[1]HS!$B$5:$T$122,10,0)))=TRUE,0,IF(O37=0,0,VLOOKUP($A37,[1]HS!$B$5:$T$122,10,0)))</f>
        <v>0</v>
      </c>
      <c r="Q37" s="33">
        <f ca="1">IF(ISNA(VLOOKUP($A37,[1]HS!$B$5:$T$122,11,0))=TRUE,0,VLOOKUP($A37,[1]HS!$B$5:$T$122,11,0))</f>
        <v>0</v>
      </c>
      <c r="R37" s="32">
        <f ca="1">IF(ISNA(IF(O37=0,0,VLOOKUP($A37,[1]HS!$B$5:$T$122,12,0)))=TRUE,0,IF(O37=0,0,VLOOKUP($A37,[1]HS!$B$5:$T$122,12,0)))</f>
        <v>0</v>
      </c>
      <c r="S37" s="33">
        <f ca="1">IF(ISNA(VLOOKUP($A37,[1]HS!$B$5:$T$122,13,0))=TRUE,0,VLOOKUP($A37,[1]HS!$B$5:$T$122,13,0))</f>
        <v>0</v>
      </c>
      <c r="T37" s="32">
        <f ca="1">IF(ISNA(IF(O37=0,0,VLOOKUP($A37,[1]HS!$B$5:$T$122,14,0)))=TRUE,0,IF(O37=0,0,VLOOKUP($A37,[1]HS!$B$5:$T$122,14,0)))</f>
        <v>0</v>
      </c>
      <c r="U37" s="33">
        <f ca="1">IF(ISNA(VLOOKUP($A37,[1]HS!$B$5:$T$122,15,0))=TRUE,0,VLOOKUP($A37,[1]HS!$B$5:$T$122,15,0))</f>
        <v>0</v>
      </c>
      <c r="V37" s="32">
        <f ca="1">(IF(O37=0,0,VLOOKUP($A37,[1]HS!$B$5:$T$122,16,0)))</f>
        <v>0</v>
      </c>
      <c r="W37" s="33">
        <f ca="1">IF(ISNA(VLOOKUP($A37,[1]HS!$B$5:$T$122,17,0))=TRUE,0,VLOOKUP($A37,[1]HS!$B$5:$T$122,17,0))</f>
        <v>0</v>
      </c>
      <c r="X37" s="32">
        <f ca="1">(IF(O37=0,0,VLOOKUP($A37,[1]HS!$B$5:$T$122,18,0)))</f>
        <v>0</v>
      </c>
      <c r="Y37" s="33">
        <f ca="1">IF(ISNA(VLOOKUP($A37,[1]HS!$B$5:$T$122,19,0))=TRUE,0,VLOOKUP($A37,[1]HS!$B$5:$T$122,19,0))</f>
        <v>0</v>
      </c>
      <c r="Z37" s="34">
        <f t="shared" ca="1" si="1"/>
        <v>0</v>
      </c>
      <c r="AA37" s="74">
        <f>+VLOOKUP(A37,[1]CONGE!$A$2:$W$113,20,0)</f>
        <v>0</v>
      </c>
      <c r="AB37" s="74">
        <f>+VLOOKUP(A37,[1]CONGE!$A$2:$W$113,21,0)</f>
        <v>0</v>
      </c>
      <c r="AC37" s="34">
        <f>IF(ISNA(VLOOKUP(A37,'[1]REPAS+DEPL'!$A$6:$M$1028,13,0))=TRUE,0,VLOOKUP(A37,'[1]REPAS+DEPL'!$A$6:$M$1028,13,0))</f>
        <v>0</v>
      </c>
      <c r="AD37" s="74"/>
      <c r="AE37" s="34">
        <f>IF(ISNA(VLOOKUP(A37,[1]Préavis!$A$2:$E$98,5,0))=TRUE,0,(VLOOKUP(A37,[1]Préavis!$A$2:$E$98,5,0)))</f>
        <v>0</v>
      </c>
      <c r="AF37" s="74">
        <f>+VLOOKUP(A37,[1]CONGE!$A$2:$V$112,18,0)</f>
        <v>0</v>
      </c>
      <c r="AG37" s="34">
        <f>IF(ISNA(VLOOKUP($A37,[1]CONGE!$A$2:$S$134,19,0))=TRUE,0,VLOOKUP($A37,[1]CONGE!$A$2:$S$134,19,0))</f>
        <v>0</v>
      </c>
      <c r="AH37" s="74">
        <f>+VLOOKUP(A37,[1]CONGE!$A$2:$W$113,22,0)</f>
        <v>0</v>
      </c>
      <c r="AI37" s="74">
        <f>+VLOOKUP(A37,[1]CONGE!$A$2:$W$113,23,0)</f>
        <v>0</v>
      </c>
      <c r="AJ37" s="74">
        <f t="shared" ca="1" si="2"/>
        <v>100833.33333333333</v>
      </c>
      <c r="AK37" s="34">
        <f>IF(ISNA(VLOOKUP(A37,[1]AVANTAGE!$A$5:$T$118,19,0))=TRUE,0,VLOOKUP(A37,[1]AVANTAGE!$A$5:$T$118,19,0))</f>
        <v>0</v>
      </c>
      <c r="AL37" s="34">
        <f>IF(ISNA(VLOOKUP(A37,[1]AVANTAGE!$A$5:$T$118,20,0))=TRUE,0,VLOOKUP(A37,[1]AVANTAGE!$A$5:$T$118,20,0))</f>
        <v>0</v>
      </c>
      <c r="AM37" s="75">
        <f t="shared" ca="1" si="25"/>
        <v>100833.33333333333</v>
      </c>
      <c r="AN37" s="75">
        <f t="shared" ca="1" si="4"/>
        <v>1008.3333333333333</v>
      </c>
      <c r="AO37" s="34">
        <f t="shared" ca="1" si="20"/>
        <v>1008.3333333333333</v>
      </c>
      <c r="AP37" s="75"/>
      <c r="AQ37" s="75">
        <f t="shared" ca="1" si="26"/>
        <v>98800</v>
      </c>
      <c r="AR37" s="76">
        <f t="shared" ca="1" si="7"/>
        <v>0</v>
      </c>
      <c r="AS37" s="77">
        <f>VLOOKUP(A37,'[1]Liste personnel'!$B$3:$R$187,16,0)</f>
        <v>3</v>
      </c>
      <c r="AT37" s="75">
        <f t="shared" si="21"/>
        <v>6000</v>
      </c>
      <c r="AU37" s="75">
        <f t="shared" ca="1" si="27"/>
        <v>0</v>
      </c>
      <c r="AV37" s="75">
        <f>IF(ISNA(VLOOKUP(A37,[1]AVANCE!$A$6:$E$122,4,0))=TRUE,0,VLOOKUP(A37,[1]AVANCE!$A$6:$E$122,4,0))</f>
        <v>0</v>
      </c>
      <c r="AW37" s="75">
        <f>IF(ISNA(VLOOKUP(A37,[1]AVANCE!$A$6:$E$122,5,0))=TRUE,0,VLOOKUP(A37,[1]AVANCE!$A$6:$E$122,5,0))</f>
        <v>0</v>
      </c>
      <c r="AX37" s="75">
        <f t="shared" si="28"/>
        <v>0</v>
      </c>
      <c r="AY37" s="34"/>
      <c r="AZ37" s="75">
        <f t="shared" ca="1" si="29"/>
        <v>2016.6666666666665</v>
      </c>
      <c r="BA37" s="75">
        <f t="shared" ca="1" si="30"/>
        <v>98816.666666666657</v>
      </c>
      <c r="BB37" s="78"/>
      <c r="BC37" s="79"/>
      <c r="BD37" s="80">
        <f t="shared" ca="1" si="31"/>
        <v>98816.666666666657</v>
      </c>
      <c r="BE37" s="81">
        <f t="shared" ca="1" si="32"/>
        <v>98900</v>
      </c>
      <c r="BF37" s="82"/>
      <c r="BG37" s="82"/>
      <c r="BH37" s="83">
        <f t="shared" si="14"/>
        <v>0</v>
      </c>
      <c r="BI37" s="83">
        <f t="shared" si="15"/>
        <v>0</v>
      </c>
      <c r="BJ37" s="83">
        <f t="shared" si="22"/>
        <v>0</v>
      </c>
      <c r="BK37" s="83">
        <f t="shared" ca="1" si="23"/>
        <v>98816.666666666657</v>
      </c>
      <c r="BL37" s="84">
        <f t="shared" si="18"/>
        <v>100833.33333333333</v>
      </c>
      <c r="BN37" s="86"/>
      <c r="BO37" s="86"/>
    </row>
    <row r="38" spans="1:67" s="85" customFormat="1" ht="27.75" customHeight="1">
      <c r="A38" s="65" t="s">
        <v>98</v>
      </c>
      <c r="B38" s="66" t="s">
        <v>258</v>
      </c>
      <c r="C38" s="67"/>
      <c r="D38" s="68" t="s">
        <v>259</v>
      </c>
      <c r="E38" s="69">
        <v>39712</v>
      </c>
      <c r="F38" s="70">
        <v>42359</v>
      </c>
      <c r="G38" s="69" t="s">
        <v>260</v>
      </c>
      <c r="H38" s="71" t="s">
        <v>187</v>
      </c>
      <c r="I38" s="72">
        <v>220000</v>
      </c>
      <c r="J38" s="28">
        <v>42369</v>
      </c>
      <c r="K38" s="72">
        <v>11</v>
      </c>
      <c r="L38" s="72">
        <f t="shared" si="24"/>
        <v>80666.666666666672</v>
      </c>
      <c r="M38" s="73">
        <f>IF(ISNA(VLOOKUP(A38,[1]ABSENCE!$B$5:$AK$76,35,0))=TRUE,0,VLOOKUP(A38,[1]ABSENCE!$B$5:$AK$76,35,0))</f>
        <v>0</v>
      </c>
      <c r="N38" s="34">
        <f>IF(ISNA(VLOOKUP(A38,[1]ABSENCE!$B$5:$AK$76,36,0))=TRUE,0,VLOOKUP(A38,[1]ABSENCE!$B$5:$AK$76,36,0))</f>
        <v>0</v>
      </c>
      <c r="O38" s="31">
        <f>IF(ISNA(VLOOKUP($A38,[1]HS!$B$5:$T$122,3,0))=TRUE,0,VLOOKUP($A38,[1]HS!$B$5:$T$122,3,0))</f>
        <v>1269.255177984192</v>
      </c>
      <c r="P38" s="32">
        <f ca="1">IF(ISNA(IF(O38=0,0,VLOOKUP($A38,[1]HS!$B$5:$T$122,10,0)))=TRUE,0,IF(O38=0,0,VLOOKUP($A38,[1]HS!$B$5:$T$122,10,0)))</f>
        <v>0</v>
      </c>
      <c r="Q38" s="33">
        <f ca="1">IF(ISNA(VLOOKUP($A38,[1]HS!$B$5:$T$122,11,0))=TRUE,0,VLOOKUP($A38,[1]HS!$B$5:$T$122,11,0))</f>
        <v>0</v>
      </c>
      <c r="R38" s="32">
        <f ca="1">IF(ISNA(IF(O38=0,0,VLOOKUP($A38,[1]HS!$B$5:$T$122,12,0)))=TRUE,0,IF(O38=0,0,VLOOKUP($A38,[1]HS!$B$5:$T$122,12,0)))</f>
        <v>0</v>
      </c>
      <c r="S38" s="33">
        <f ca="1">IF(ISNA(VLOOKUP($A38,[1]HS!$B$5:$T$122,13,0))=TRUE,0,VLOOKUP($A38,[1]HS!$B$5:$T$122,13,0))</f>
        <v>0</v>
      </c>
      <c r="T38" s="32">
        <f ca="1">IF(ISNA(IF(O38=0,0,VLOOKUP($A38,[1]HS!$B$5:$T$122,14,0)))=TRUE,0,IF(O38=0,0,VLOOKUP($A38,[1]HS!$B$5:$T$122,14,0)))</f>
        <v>0</v>
      </c>
      <c r="U38" s="33">
        <f ca="1">IF(ISNA(VLOOKUP($A38,[1]HS!$B$5:$T$122,15,0))=TRUE,0,VLOOKUP($A38,[1]HS!$B$5:$T$122,15,0))</f>
        <v>0</v>
      </c>
      <c r="V38" s="32">
        <f ca="1">(IF(O38=0,0,VLOOKUP($A38,[1]HS!$B$5:$T$122,16,0)))</f>
        <v>0</v>
      </c>
      <c r="W38" s="33">
        <f ca="1">IF(ISNA(VLOOKUP($A38,[1]HS!$B$5:$T$122,17,0))=TRUE,0,VLOOKUP($A38,[1]HS!$B$5:$T$122,17,0))</f>
        <v>0</v>
      </c>
      <c r="X38" s="32">
        <f ca="1">(IF(O38=0,0,VLOOKUP($A38,[1]HS!$B$5:$T$122,18,0)))</f>
        <v>0</v>
      </c>
      <c r="Y38" s="33">
        <f ca="1">IF(ISNA(VLOOKUP($A38,[1]HS!$B$5:$T$122,19,0))=TRUE,0,VLOOKUP($A38,[1]HS!$B$5:$T$122,19,0))</f>
        <v>0</v>
      </c>
      <c r="Z38" s="34">
        <f t="shared" ca="1" si="1"/>
        <v>0</v>
      </c>
      <c r="AA38" s="74">
        <f>+VLOOKUP(A38,[1]CONGE!$A$2:$W$113,20,0)</f>
        <v>0</v>
      </c>
      <c r="AB38" s="74">
        <f>+VLOOKUP(A38,[1]CONGE!$A$2:$W$113,21,0)</f>
        <v>0</v>
      </c>
      <c r="AC38" s="34">
        <f>IF(ISNA(VLOOKUP(A38,'[1]REPAS+DEPL'!$A$6:$M$1028,13,0))=TRUE,0,VLOOKUP(A38,'[1]REPAS+DEPL'!$A$6:$M$1028,13,0))</f>
        <v>0</v>
      </c>
      <c r="AD38" s="74"/>
      <c r="AE38" s="34">
        <f>IF(ISNA(VLOOKUP(A38,[1]Préavis!$A$2:$E$98,5,0))=TRUE,0,(VLOOKUP(A38,[1]Préavis!$A$2:$E$98,5,0)))</f>
        <v>0</v>
      </c>
      <c r="AF38" s="74">
        <f>+VLOOKUP(A38,[1]CONGE!$A$2:$V$112,18,0)</f>
        <v>0</v>
      </c>
      <c r="AG38" s="34">
        <f>IF(ISNA(VLOOKUP($A38,[1]CONGE!$A$2:$S$134,19,0))=TRUE,0,VLOOKUP($A38,[1]CONGE!$A$2:$S$134,19,0))</f>
        <v>0</v>
      </c>
      <c r="AH38" s="74">
        <f>+VLOOKUP(A38,[1]CONGE!$A$2:$W$113,22,0)</f>
        <v>0</v>
      </c>
      <c r="AI38" s="74">
        <f>+VLOOKUP(A38,[1]CONGE!$A$2:$W$113,23,0)</f>
        <v>0</v>
      </c>
      <c r="AJ38" s="74">
        <f t="shared" ca="1" si="2"/>
        <v>80666.666666666672</v>
      </c>
      <c r="AK38" s="34">
        <f>IF(ISNA(VLOOKUP(A38,[1]AVANTAGE!$A$5:$T$118,19,0))=TRUE,0,VLOOKUP(A38,[1]AVANTAGE!$A$5:$T$118,19,0))</f>
        <v>0</v>
      </c>
      <c r="AL38" s="34">
        <f>IF(ISNA(VLOOKUP(A38,[1]AVANTAGE!$A$5:$T$118,20,0))=TRUE,0,VLOOKUP(A38,[1]AVANTAGE!$A$5:$T$118,20,0))</f>
        <v>0</v>
      </c>
      <c r="AM38" s="75">
        <f t="shared" ca="1" si="25"/>
        <v>80666.666666666672</v>
      </c>
      <c r="AN38" s="75">
        <f t="shared" ca="1" si="4"/>
        <v>806.66666666666674</v>
      </c>
      <c r="AO38" s="34">
        <f t="shared" ca="1" si="20"/>
        <v>806.66666666666674</v>
      </c>
      <c r="AP38" s="75"/>
      <c r="AQ38" s="75">
        <f t="shared" ca="1" si="26"/>
        <v>79000</v>
      </c>
      <c r="AR38" s="76">
        <f t="shared" ca="1" si="7"/>
        <v>0</v>
      </c>
      <c r="AS38" s="77">
        <f>VLOOKUP(A38,'[1]Liste personnel'!$B$3:$R$187,16,0)</f>
        <v>0</v>
      </c>
      <c r="AT38" s="75">
        <f t="shared" si="21"/>
        <v>0</v>
      </c>
      <c r="AU38" s="75">
        <f t="shared" ca="1" si="27"/>
        <v>0</v>
      </c>
      <c r="AV38" s="75">
        <f>IF(ISNA(VLOOKUP(A38,[1]AVANCE!$A$6:$E$122,4,0))=TRUE,0,VLOOKUP(A38,[1]AVANCE!$A$6:$E$122,4,0))</f>
        <v>0</v>
      </c>
      <c r="AW38" s="75">
        <f>IF(ISNA(VLOOKUP(A38,[1]AVANCE!$A$6:$E$122,5,0))=TRUE,0,VLOOKUP(A38,[1]AVANCE!$A$6:$E$122,5,0))</f>
        <v>0</v>
      </c>
      <c r="AX38" s="75">
        <f t="shared" si="28"/>
        <v>0</v>
      </c>
      <c r="AY38" s="34"/>
      <c r="AZ38" s="75">
        <f t="shared" ca="1" si="29"/>
        <v>1613.3333333333335</v>
      </c>
      <c r="BA38" s="75">
        <f t="shared" ca="1" si="30"/>
        <v>79053.333333333343</v>
      </c>
      <c r="BB38" s="78"/>
      <c r="BC38" s="79"/>
      <c r="BD38" s="80">
        <f t="shared" ca="1" si="31"/>
        <v>79053.333333333343</v>
      </c>
      <c r="BE38" s="81">
        <f t="shared" ca="1" si="32"/>
        <v>79100</v>
      </c>
      <c r="BF38" s="82"/>
      <c r="BG38" s="82"/>
      <c r="BH38" s="83">
        <f t="shared" si="14"/>
        <v>0</v>
      </c>
      <c r="BI38" s="83">
        <f t="shared" si="15"/>
        <v>0</v>
      </c>
      <c r="BJ38" s="83">
        <f t="shared" si="22"/>
        <v>0</v>
      </c>
      <c r="BK38" s="83">
        <f t="shared" ca="1" si="23"/>
        <v>79053.333333333343</v>
      </c>
      <c r="BL38" s="84">
        <f t="shared" si="18"/>
        <v>80666.666666666672</v>
      </c>
      <c r="BN38" s="86"/>
      <c r="BO38" s="86"/>
    </row>
    <row r="39" spans="1:67" s="85" customFormat="1" ht="27.75" customHeight="1">
      <c r="A39" s="65" t="s">
        <v>99</v>
      </c>
      <c r="B39" s="66" t="s">
        <v>261</v>
      </c>
      <c r="C39" s="67"/>
      <c r="D39" s="68" t="s">
        <v>262</v>
      </c>
      <c r="E39" s="69">
        <v>39712</v>
      </c>
      <c r="F39" s="70">
        <v>42359</v>
      </c>
      <c r="G39" s="69" t="s">
        <v>263</v>
      </c>
      <c r="H39" s="71" t="s">
        <v>187</v>
      </c>
      <c r="I39" s="72">
        <v>165000</v>
      </c>
      <c r="J39" s="28">
        <v>42369</v>
      </c>
      <c r="K39" s="72">
        <v>11</v>
      </c>
      <c r="L39" s="72">
        <f t="shared" si="24"/>
        <v>60500</v>
      </c>
      <c r="M39" s="73">
        <f>IF(ISNA(VLOOKUP(A39,[1]ABSENCE!$B$5:$AK$76,35,0))=TRUE,0,VLOOKUP(A39,[1]ABSENCE!$B$5:$AK$76,35,0))</f>
        <v>0</v>
      </c>
      <c r="N39" s="34">
        <f>IF(ISNA(VLOOKUP(A39,[1]ABSENCE!$B$5:$AK$76,36,0))=TRUE,0,VLOOKUP(A39,[1]ABSENCE!$B$5:$AK$76,36,0))</f>
        <v>0</v>
      </c>
      <c r="O39" s="31">
        <f>IF(ISNA(VLOOKUP($A39,[1]HS!$B$5:$T$122,3,0))=TRUE,0,VLOOKUP($A39,[1]HS!$B$5:$T$122,3,0))</f>
        <v>679.01234567901236</v>
      </c>
      <c r="P39" s="32">
        <f ca="1">IF(ISNA(IF(O39=0,0,VLOOKUP($A39,[1]HS!$B$5:$T$122,10,0)))=TRUE,0,IF(O39=0,0,VLOOKUP($A39,[1]HS!$B$5:$T$122,10,0)))</f>
        <v>0</v>
      </c>
      <c r="Q39" s="33">
        <f ca="1">IF(ISNA(VLOOKUP($A39,[1]HS!$B$5:$T$122,11,0))=TRUE,0,VLOOKUP($A39,[1]HS!$B$5:$T$122,11,0))</f>
        <v>0</v>
      </c>
      <c r="R39" s="32">
        <f ca="1">IF(ISNA(IF(O39=0,0,VLOOKUP($A39,[1]HS!$B$5:$T$122,12,0)))=TRUE,0,IF(O39=0,0,VLOOKUP($A39,[1]HS!$B$5:$T$122,12,0)))</f>
        <v>0</v>
      </c>
      <c r="S39" s="33">
        <f ca="1">IF(ISNA(VLOOKUP($A39,[1]HS!$B$5:$T$122,13,0))=TRUE,0,VLOOKUP($A39,[1]HS!$B$5:$T$122,13,0))</f>
        <v>0</v>
      </c>
      <c r="T39" s="32">
        <f ca="1">IF(ISNA(IF(O39=0,0,VLOOKUP($A39,[1]HS!$B$5:$T$122,14,0)))=TRUE,0,IF(O39=0,0,VLOOKUP($A39,[1]HS!$B$5:$T$122,14,0)))</f>
        <v>0</v>
      </c>
      <c r="U39" s="33">
        <f ca="1">IF(ISNA(VLOOKUP($A39,[1]HS!$B$5:$T$122,15,0))=TRUE,0,VLOOKUP($A39,[1]HS!$B$5:$T$122,15,0))</f>
        <v>0</v>
      </c>
      <c r="V39" s="32">
        <f ca="1">(IF(O39=0,0,VLOOKUP($A39,[1]HS!$B$5:$T$122,16,0)))</f>
        <v>0</v>
      </c>
      <c r="W39" s="33">
        <f ca="1">IF(ISNA(VLOOKUP($A39,[1]HS!$B$5:$T$122,17,0))=TRUE,0,VLOOKUP($A39,[1]HS!$B$5:$T$122,17,0))</f>
        <v>0</v>
      </c>
      <c r="X39" s="32">
        <f ca="1">(IF(O39=0,0,VLOOKUP($A39,[1]HS!$B$5:$T$122,18,0)))</f>
        <v>0</v>
      </c>
      <c r="Y39" s="33">
        <f ca="1">IF(ISNA(VLOOKUP($A39,[1]HS!$B$5:$T$122,19,0))=TRUE,0,VLOOKUP($A39,[1]HS!$B$5:$T$122,19,0))</f>
        <v>0</v>
      </c>
      <c r="Z39" s="34">
        <f t="shared" ca="1" si="1"/>
        <v>0</v>
      </c>
      <c r="AA39" s="74">
        <f>+VLOOKUP(A39,[1]CONGE!$A$2:$W$113,20,0)</f>
        <v>0</v>
      </c>
      <c r="AB39" s="74">
        <f>+VLOOKUP(A39,[1]CONGE!$A$2:$W$113,21,0)</f>
        <v>0</v>
      </c>
      <c r="AC39" s="34">
        <f>IF(ISNA(VLOOKUP(A39,'[1]REPAS+DEPL'!$A$6:$M$1028,13,0))=TRUE,0,VLOOKUP(A39,'[1]REPAS+DEPL'!$A$6:$M$1028,13,0))</f>
        <v>0</v>
      </c>
      <c r="AD39" s="74"/>
      <c r="AE39" s="34">
        <f>IF(ISNA(VLOOKUP(A39,[1]Préavis!$A$2:$E$98,5,0))=TRUE,0,(VLOOKUP(A39,[1]Préavis!$A$2:$E$98,5,0)))</f>
        <v>0</v>
      </c>
      <c r="AF39" s="74">
        <f>+VLOOKUP(A39,[1]CONGE!$A$2:$V$112,18,0)</f>
        <v>0</v>
      </c>
      <c r="AG39" s="34">
        <f>IF(ISNA(VLOOKUP($A39,[1]CONGE!$A$2:$S$134,19,0))=TRUE,0,VLOOKUP($A39,[1]CONGE!$A$2:$S$134,19,0))</f>
        <v>0</v>
      </c>
      <c r="AH39" s="74">
        <f>+VLOOKUP(A39,[1]CONGE!$A$2:$W$113,22,0)</f>
        <v>0</v>
      </c>
      <c r="AI39" s="74">
        <f>+VLOOKUP(A39,[1]CONGE!$A$2:$W$113,23,0)</f>
        <v>0</v>
      </c>
      <c r="AJ39" s="74">
        <f t="shared" ca="1" si="2"/>
        <v>60500</v>
      </c>
      <c r="AK39" s="34">
        <f>IF(ISNA(VLOOKUP(A39,[1]AVANTAGE!$A$5:$T$118,19,0))=TRUE,0,VLOOKUP(A39,[1]AVANTAGE!$A$5:$T$118,19,0))</f>
        <v>0</v>
      </c>
      <c r="AL39" s="34">
        <f>IF(ISNA(VLOOKUP(A39,[1]AVANTAGE!$A$5:$T$118,20,0))=TRUE,0,VLOOKUP(A39,[1]AVANTAGE!$A$5:$T$118,20,0))</f>
        <v>0</v>
      </c>
      <c r="AM39" s="75">
        <f t="shared" ca="1" si="25"/>
        <v>60500</v>
      </c>
      <c r="AN39" s="75">
        <f t="shared" ca="1" si="4"/>
        <v>605</v>
      </c>
      <c r="AO39" s="34">
        <f t="shared" ca="1" si="20"/>
        <v>605</v>
      </c>
      <c r="AP39" s="75"/>
      <c r="AQ39" s="75">
        <f t="shared" ca="1" si="26"/>
        <v>59200</v>
      </c>
      <c r="AR39" s="76">
        <f t="shared" ca="1" si="7"/>
        <v>0</v>
      </c>
      <c r="AS39" s="77">
        <f>VLOOKUP(A39,'[1]Liste personnel'!$B$3:$R$187,16,0)</f>
        <v>1</v>
      </c>
      <c r="AT39" s="75">
        <f t="shared" si="21"/>
        <v>2000</v>
      </c>
      <c r="AU39" s="75">
        <f t="shared" ca="1" si="27"/>
        <v>0</v>
      </c>
      <c r="AV39" s="75">
        <f>IF(ISNA(VLOOKUP(A39,[1]AVANCE!$A$6:$E$122,4,0))=TRUE,0,VLOOKUP(A39,[1]AVANCE!$A$6:$E$122,4,0))</f>
        <v>0</v>
      </c>
      <c r="AW39" s="75">
        <f>IF(ISNA(VLOOKUP(A39,[1]AVANCE!$A$6:$E$122,5,0))=TRUE,0,VLOOKUP(A39,[1]AVANCE!$A$6:$E$122,5,0))</f>
        <v>0</v>
      </c>
      <c r="AX39" s="75">
        <f t="shared" si="28"/>
        <v>0</v>
      </c>
      <c r="AY39" s="34"/>
      <c r="AZ39" s="75">
        <f t="shared" ca="1" si="29"/>
        <v>1210</v>
      </c>
      <c r="BA39" s="75">
        <f t="shared" ca="1" si="30"/>
        <v>59290</v>
      </c>
      <c r="BB39" s="78"/>
      <c r="BC39" s="79"/>
      <c r="BD39" s="80">
        <f t="shared" ca="1" si="31"/>
        <v>59290</v>
      </c>
      <c r="BE39" s="81">
        <f t="shared" ca="1" si="32"/>
        <v>59300</v>
      </c>
      <c r="BF39" s="82"/>
      <c r="BG39" s="82"/>
      <c r="BH39" s="83">
        <f t="shared" si="14"/>
        <v>0</v>
      </c>
      <c r="BI39" s="83">
        <f t="shared" si="15"/>
        <v>0</v>
      </c>
      <c r="BJ39" s="83">
        <f t="shared" si="22"/>
        <v>0</v>
      </c>
      <c r="BK39" s="83">
        <f t="shared" ca="1" si="23"/>
        <v>59290</v>
      </c>
      <c r="BL39" s="84">
        <f t="shared" si="18"/>
        <v>60500</v>
      </c>
      <c r="BN39" s="86"/>
      <c r="BO39" s="86"/>
    </row>
    <row r="40" spans="1:67" s="85" customFormat="1" ht="27.75" customHeight="1">
      <c r="A40" s="65" t="s">
        <v>100</v>
      </c>
      <c r="B40" s="66" t="s">
        <v>264</v>
      </c>
      <c r="C40" s="67"/>
      <c r="D40" s="68" t="s">
        <v>265</v>
      </c>
      <c r="E40" s="69">
        <v>39742</v>
      </c>
      <c r="F40" s="70">
        <v>42359</v>
      </c>
      <c r="G40" s="69" t="s">
        <v>266</v>
      </c>
      <c r="H40" s="71" t="s">
        <v>187</v>
      </c>
      <c r="I40" s="72">
        <v>220000</v>
      </c>
      <c r="J40" s="28">
        <v>42369</v>
      </c>
      <c r="K40" s="72">
        <v>11</v>
      </c>
      <c r="L40" s="72">
        <f t="shared" si="24"/>
        <v>80666.666666666672</v>
      </c>
      <c r="M40" s="73">
        <f>IF(ISNA(VLOOKUP(A40,[1]ABSENCE!$B$5:$AK$76,35,0))=TRUE,0,VLOOKUP(A40,[1]ABSENCE!$B$5:$AK$76,35,0))</f>
        <v>0</v>
      </c>
      <c r="N40" s="34">
        <f>IF(ISNA(VLOOKUP(A40,[1]ABSENCE!$B$5:$AK$76,36,0))=TRUE,0,VLOOKUP(A40,[1]ABSENCE!$B$5:$AK$76,36,0))</f>
        <v>0</v>
      </c>
      <c r="O40" s="31">
        <f>IF(ISNA(VLOOKUP($A40,[1]HS!$B$5:$T$122,3,0))=TRUE,0,VLOOKUP($A40,[1]HS!$B$5:$T$122,3,0))</f>
        <v>1269.255177984192</v>
      </c>
      <c r="P40" s="32">
        <f ca="1">IF(ISNA(IF(O40=0,0,VLOOKUP($A40,[1]HS!$B$5:$T$122,10,0)))=TRUE,0,IF(O40=0,0,VLOOKUP($A40,[1]HS!$B$5:$T$122,10,0)))</f>
        <v>0</v>
      </c>
      <c r="Q40" s="33">
        <f ca="1">IF(ISNA(VLOOKUP($A40,[1]HS!$B$5:$T$122,11,0))=TRUE,0,VLOOKUP($A40,[1]HS!$B$5:$T$122,11,0))</f>
        <v>0</v>
      </c>
      <c r="R40" s="32">
        <f ca="1">IF(ISNA(IF(O40=0,0,VLOOKUP($A40,[1]HS!$B$5:$T$122,12,0)))=TRUE,0,IF(O40=0,0,VLOOKUP($A40,[1]HS!$B$5:$T$122,12,0)))</f>
        <v>0</v>
      </c>
      <c r="S40" s="33">
        <f ca="1">IF(ISNA(VLOOKUP($A40,[1]HS!$B$5:$T$122,13,0))=TRUE,0,VLOOKUP($A40,[1]HS!$B$5:$T$122,13,0))</f>
        <v>0</v>
      </c>
      <c r="T40" s="32">
        <f ca="1">IF(ISNA(IF(O40=0,0,VLOOKUP($A40,[1]HS!$B$5:$T$122,14,0)))=TRUE,0,IF(O40=0,0,VLOOKUP($A40,[1]HS!$B$5:$T$122,14,0)))</f>
        <v>0</v>
      </c>
      <c r="U40" s="33">
        <f ca="1">IF(ISNA(VLOOKUP($A40,[1]HS!$B$5:$T$122,15,0))=TRUE,0,VLOOKUP($A40,[1]HS!$B$5:$T$122,15,0))</f>
        <v>0</v>
      </c>
      <c r="V40" s="32">
        <f ca="1">(IF(O40=0,0,VLOOKUP($A40,[1]HS!$B$5:$T$122,16,0)))</f>
        <v>0</v>
      </c>
      <c r="W40" s="33">
        <f ca="1">IF(ISNA(VLOOKUP($A40,[1]HS!$B$5:$T$122,17,0))=TRUE,0,VLOOKUP($A40,[1]HS!$B$5:$T$122,17,0))</f>
        <v>0</v>
      </c>
      <c r="X40" s="32">
        <f ca="1">(IF(O40=0,0,VLOOKUP($A40,[1]HS!$B$5:$T$122,18,0)))</f>
        <v>0</v>
      </c>
      <c r="Y40" s="33">
        <f ca="1">IF(ISNA(VLOOKUP($A40,[1]HS!$B$5:$T$122,19,0))=TRUE,0,VLOOKUP($A40,[1]HS!$B$5:$T$122,19,0))</f>
        <v>0</v>
      </c>
      <c r="Z40" s="34">
        <f t="shared" ca="1" si="1"/>
        <v>0</v>
      </c>
      <c r="AA40" s="74">
        <f>+VLOOKUP(A40,[1]CONGE!$A$2:$W$113,20,0)</f>
        <v>0</v>
      </c>
      <c r="AB40" s="74">
        <f>+VLOOKUP(A40,[1]CONGE!$A$2:$W$113,21,0)</f>
        <v>0</v>
      </c>
      <c r="AC40" s="34">
        <f>IF(ISNA(VLOOKUP(A40,'[1]REPAS+DEPL'!$A$6:$M$1028,13,0))=TRUE,0,VLOOKUP(A40,'[1]REPAS+DEPL'!$A$6:$M$1028,13,0))</f>
        <v>0</v>
      </c>
      <c r="AD40" s="74"/>
      <c r="AE40" s="34">
        <f>IF(ISNA(VLOOKUP(A40,[1]Préavis!$A$2:$E$98,5,0))=TRUE,0,(VLOOKUP(A40,[1]Préavis!$A$2:$E$98,5,0)))</f>
        <v>0</v>
      </c>
      <c r="AF40" s="74">
        <f>+VLOOKUP(A40,[1]CONGE!$A$2:$V$112,18,0)</f>
        <v>0</v>
      </c>
      <c r="AG40" s="34">
        <f>IF(ISNA(VLOOKUP($A40,[1]CONGE!$A$2:$S$134,19,0))=TRUE,0,VLOOKUP($A40,[1]CONGE!$A$2:$S$134,19,0))</f>
        <v>0</v>
      </c>
      <c r="AH40" s="74">
        <f>+VLOOKUP(A40,[1]CONGE!$A$2:$W$113,22,0)</f>
        <v>0</v>
      </c>
      <c r="AI40" s="74">
        <f>+VLOOKUP(A40,[1]CONGE!$A$2:$W$113,23,0)</f>
        <v>0</v>
      </c>
      <c r="AJ40" s="74">
        <f t="shared" ca="1" si="2"/>
        <v>80666.666666666672</v>
      </c>
      <c r="AK40" s="34">
        <f>IF(ISNA(VLOOKUP(A40,[1]AVANTAGE!$A$5:$T$118,19,0))=TRUE,0,VLOOKUP(A40,[1]AVANTAGE!$A$5:$T$118,19,0))</f>
        <v>0</v>
      </c>
      <c r="AL40" s="34">
        <f>IF(ISNA(VLOOKUP(A40,[1]AVANTAGE!$A$5:$T$118,20,0))=TRUE,0,VLOOKUP(A40,[1]AVANTAGE!$A$5:$T$118,20,0))</f>
        <v>0</v>
      </c>
      <c r="AM40" s="75">
        <f t="shared" ca="1" si="25"/>
        <v>80666.666666666672</v>
      </c>
      <c r="AN40" s="75">
        <f t="shared" ca="1" si="4"/>
        <v>806.66666666666674</v>
      </c>
      <c r="AO40" s="34">
        <f t="shared" ca="1" si="20"/>
        <v>806.66666666666674</v>
      </c>
      <c r="AP40" s="75"/>
      <c r="AQ40" s="75">
        <f t="shared" ca="1" si="26"/>
        <v>79000</v>
      </c>
      <c r="AR40" s="76">
        <f t="shared" ca="1" si="7"/>
        <v>0</v>
      </c>
      <c r="AS40" s="77">
        <f>VLOOKUP(A40,'[1]Liste personnel'!$B$3:$R$187,16,0)</f>
        <v>2</v>
      </c>
      <c r="AT40" s="75">
        <f t="shared" si="21"/>
        <v>4000</v>
      </c>
      <c r="AU40" s="75">
        <f t="shared" ca="1" si="27"/>
        <v>0</v>
      </c>
      <c r="AV40" s="75">
        <f>IF(ISNA(VLOOKUP(A40,[1]AVANCE!$A$6:$E$122,4,0))=TRUE,0,VLOOKUP(A40,[1]AVANCE!$A$6:$E$122,4,0))</f>
        <v>0</v>
      </c>
      <c r="AW40" s="75">
        <f>IF(ISNA(VLOOKUP(A40,[1]AVANCE!$A$6:$E$122,5,0))=TRUE,0,VLOOKUP(A40,[1]AVANCE!$A$6:$E$122,5,0))</f>
        <v>0</v>
      </c>
      <c r="AX40" s="75">
        <f t="shared" si="28"/>
        <v>0</v>
      </c>
      <c r="AY40" s="34"/>
      <c r="AZ40" s="75">
        <f t="shared" ca="1" si="29"/>
        <v>1613.3333333333335</v>
      </c>
      <c r="BA40" s="75">
        <f t="shared" ca="1" si="30"/>
        <v>79053.333333333343</v>
      </c>
      <c r="BB40" s="78"/>
      <c r="BC40" s="79"/>
      <c r="BD40" s="80">
        <f t="shared" ca="1" si="31"/>
        <v>79053.333333333343</v>
      </c>
      <c r="BE40" s="81">
        <f t="shared" ca="1" si="32"/>
        <v>79100</v>
      </c>
      <c r="BF40" s="82"/>
      <c r="BG40" s="82"/>
      <c r="BH40" s="83">
        <f t="shared" si="14"/>
        <v>0</v>
      </c>
      <c r="BI40" s="83">
        <f t="shared" si="15"/>
        <v>0</v>
      </c>
      <c r="BJ40" s="83">
        <f t="shared" si="22"/>
        <v>0</v>
      </c>
      <c r="BK40" s="83">
        <f t="shared" ca="1" si="23"/>
        <v>79053.333333333343</v>
      </c>
      <c r="BL40" s="84">
        <f t="shared" si="18"/>
        <v>80666.666666666672</v>
      </c>
      <c r="BN40" s="86"/>
      <c r="BO40" s="86"/>
    </row>
    <row r="41" spans="1:67" s="18" customFormat="1" ht="27.75" customHeight="1">
      <c r="A41" s="50" t="s">
        <v>101</v>
      </c>
      <c r="B41" s="51" t="s">
        <v>267</v>
      </c>
      <c r="C41" s="52"/>
      <c r="D41" s="53" t="s">
        <v>268</v>
      </c>
      <c r="E41" s="54">
        <v>40506</v>
      </c>
      <c r="F41" s="25">
        <v>42359</v>
      </c>
      <c r="G41" s="54" t="s">
        <v>269</v>
      </c>
      <c r="H41" s="55" t="s">
        <v>187</v>
      </c>
      <c r="I41" s="29">
        <v>150000</v>
      </c>
      <c r="J41" s="28">
        <v>42369</v>
      </c>
      <c r="K41" s="29">
        <v>11</v>
      </c>
      <c r="L41" s="29">
        <f t="shared" si="24"/>
        <v>55000</v>
      </c>
      <c r="M41" s="56">
        <f>IF(ISNA(VLOOKUP(A41,[1]ABSENCE!$B$5:$AK$76,35,0))=TRUE,0,VLOOKUP(A41,[1]ABSENCE!$B$5:$AK$76,35,0))</f>
        <v>0</v>
      </c>
      <c r="N41" s="33">
        <f>IF(ISNA(VLOOKUP(A41,[1]ABSENCE!$B$5:$AK$76,36,0))=TRUE,0,VLOOKUP(A41,[1]ABSENCE!$B$5:$AK$76,36,0))</f>
        <v>0</v>
      </c>
      <c r="O41" s="31">
        <f>IF(ISNA(VLOOKUP($A41,[1]HS!$B$5:$T$122,3,0))=TRUE,0,VLOOKUP($A41,[1]HS!$B$5:$T$122,3,0))</f>
        <v>865.40125771649446</v>
      </c>
      <c r="P41" s="32"/>
      <c r="Q41" s="33"/>
      <c r="R41" s="32"/>
      <c r="S41" s="33"/>
      <c r="T41" s="32"/>
      <c r="U41" s="33"/>
      <c r="V41" s="32"/>
      <c r="W41" s="33"/>
      <c r="X41" s="32"/>
      <c r="Y41" s="33"/>
      <c r="Z41" s="34">
        <f t="shared" si="1"/>
        <v>0</v>
      </c>
      <c r="AA41" s="31">
        <f>+VLOOKUP(A41,[1]CONGE!$A$2:$W$113,20,0)</f>
        <v>0</v>
      </c>
      <c r="AB41" s="31">
        <f>+VLOOKUP(A41,[1]CONGE!$A$2:$W$113,21,0)</f>
        <v>0</v>
      </c>
      <c r="AC41" s="33">
        <f>IF(ISNA(VLOOKUP(A41,'[1]REPAS+DEPL'!$A$6:$M$1028,13,0))=TRUE,0,VLOOKUP(A41,'[1]REPAS+DEPL'!$A$6:$M$1028,13,0))</f>
        <v>0</v>
      </c>
      <c r="AD41" s="35"/>
      <c r="AE41" s="33">
        <f>IF(ISNA(VLOOKUP(A41,[1]Préavis!$A$2:$E$98,5,0))=TRUE,0,(VLOOKUP(A41,[1]Préavis!$A$2:$E$98,5,0)))</f>
        <v>0</v>
      </c>
      <c r="AF41" s="31">
        <f>+VLOOKUP(A41,[1]CONGE!$A$2:$V$112,18,0)</f>
        <v>0</v>
      </c>
      <c r="AG41" s="33">
        <f>IF(ISNA(VLOOKUP($A41,[1]CONGE!$A$2:$S$134,19,0))=TRUE,0,VLOOKUP($A41,[1]CONGE!$A$2:$S$134,19,0))</f>
        <v>0</v>
      </c>
      <c r="AH41" s="31">
        <f>+VLOOKUP(A41,[1]CONGE!$A$2:$W$113,22,0)</f>
        <v>0</v>
      </c>
      <c r="AI41" s="31">
        <f>+VLOOKUP(A41,[1]CONGE!$A$2:$W$113,23,0)</f>
        <v>0</v>
      </c>
      <c r="AJ41" s="36">
        <f t="shared" si="2"/>
        <v>55000</v>
      </c>
      <c r="AK41" s="33">
        <f>IF(ISNA(VLOOKUP(A41,[1]AVANTAGE!$A$5:$T$118,19,0))=TRUE,0,VLOOKUP(A41,[1]AVANTAGE!$A$5:$T$118,19,0))</f>
        <v>0</v>
      </c>
      <c r="AL41" s="33">
        <f>IF(ISNA(VLOOKUP(A41,[1]AVANTAGE!$A$5:$T$118,20,0))=TRUE,0,VLOOKUP(A41,[1]AVANTAGE!$A$5:$T$118,20,0))</f>
        <v>0</v>
      </c>
      <c r="AM41" s="37">
        <f t="shared" si="25"/>
        <v>55000</v>
      </c>
      <c r="AN41" s="38">
        <f t="shared" si="4"/>
        <v>550</v>
      </c>
      <c r="AO41" s="33">
        <f t="shared" si="20"/>
        <v>550</v>
      </c>
      <c r="AP41" s="38"/>
      <c r="AQ41" s="38">
        <f t="shared" si="26"/>
        <v>53900</v>
      </c>
      <c r="AR41" s="39">
        <f t="shared" si="7"/>
        <v>0</v>
      </c>
      <c r="AS41" s="40">
        <f>VLOOKUP(A41,'[1]Liste personnel'!$B$3:$R$187,16,0)</f>
        <v>0</v>
      </c>
      <c r="AT41" s="38">
        <f t="shared" si="21"/>
        <v>0</v>
      </c>
      <c r="AU41" s="38">
        <f t="shared" si="27"/>
        <v>0</v>
      </c>
      <c r="AV41" s="38">
        <f>IF(ISNA(VLOOKUP(A41,[1]AVANCE!$A$6:$E$122,4,0))=TRUE,0,VLOOKUP(A41,[1]AVANCE!$A$6:$E$122,4,0))</f>
        <v>0</v>
      </c>
      <c r="AW41" s="38">
        <f>IF(ISNA(VLOOKUP(A41,[1]AVANCE!$A$6:$E$122,5,0))=TRUE,0,VLOOKUP(A41,[1]AVANCE!$A$6:$E$122,5,0))</f>
        <v>0</v>
      </c>
      <c r="AX41" s="38">
        <f t="shared" si="28"/>
        <v>0</v>
      </c>
      <c r="AY41" s="57"/>
      <c r="AZ41" s="58">
        <f t="shared" si="29"/>
        <v>1100</v>
      </c>
      <c r="BA41" s="38">
        <f t="shared" si="30"/>
        <v>53900</v>
      </c>
      <c r="BB41" s="42"/>
      <c r="BC41" s="43"/>
      <c r="BD41" s="59">
        <f t="shared" si="31"/>
        <v>53900</v>
      </c>
      <c r="BE41" s="60">
        <f t="shared" si="32"/>
        <v>53900</v>
      </c>
      <c r="BF41" s="61"/>
      <c r="BG41" s="61"/>
      <c r="BH41" s="62">
        <f t="shared" si="14"/>
        <v>0</v>
      </c>
      <c r="BI41" s="62">
        <f t="shared" si="15"/>
        <v>0</v>
      </c>
      <c r="BJ41" s="62">
        <f t="shared" si="22"/>
        <v>0</v>
      </c>
      <c r="BK41" s="63">
        <f t="shared" si="23"/>
        <v>53900</v>
      </c>
      <c r="BL41" s="48">
        <f t="shared" si="18"/>
        <v>55000</v>
      </c>
      <c r="BN41" s="49"/>
      <c r="BO41" s="49"/>
    </row>
    <row r="42" spans="1:67" s="18" customFormat="1" ht="27.75" customHeight="1">
      <c r="A42" s="50" t="s">
        <v>102</v>
      </c>
      <c r="B42" s="51" t="s">
        <v>270</v>
      </c>
      <c r="C42" s="52"/>
      <c r="D42" s="53" t="s">
        <v>271</v>
      </c>
      <c r="E42" s="54">
        <v>39712</v>
      </c>
      <c r="F42" s="25">
        <v>42359</v>
      </c>
      <c r="G42" s="54" t="s">
        <v>220</v>
      </c>
      <c r="H42" s="55" t="s">
        <v>183</v>
      </c>
      <c r="I42" s="29">
        <v>165000</v>
      </c>
      <c r="J42" s="28">
        <v>42369</v>
      </c>
      <c r="K42" s="29">
        <v>11</v>
      </c>
      <c r="L42" s="29">
        <f t="shared" si="24"/>
        <v>60500</v>
      </c>
      <c r="M42" s="56">
        <f>IF(ISNA(VLOOKUP(A42,[1]ABSENCE!$B$5:$AK$76,35,0))=TRUE,0,VLOOKUP(A42,[1]ABSENCE!$B$5:$AK$76,35,0))</f>
        <v>0</v>
      </c>
      <c r="N42" s="33">
        <f>IF(ISNA(VLOOKUP(A42,[1]ABSENCE!$B$5:$AK$76,36,0))=TRUE,0,VLOOKUP(A42,[1]ABSENCE!$B$5:$AK$76,36,0))</f>
        <v>0</v>
      </c>
      <c r="O42" s="31">
        <f>IF(ISNA(VLOOKUP($A42,[1]HS!$B$5:$T$122,3,0))=TRUE,0,VLOOKUP($A42,[1]HS!$B$5:$T$122,3,0))</f>
        <v>951.94138348814397</v>
      </c>
      <c r="P42" s="32"/>
      <c r="Q42" s="33"/>
      <c r="R42" s="32"/>
      <c r="S42" s="33"/>
      <c r="T42" s="32"/>
      <c r="U42" s="33"/>
      <c r="V42" s="32"/>
      <c r="W42" s="33"/>
      <c r="X42" s="32"/>
      <c r="Y42" s="33"/>
      <c r="Z42" s="34">
        <f t="shared" si="1"/>
        <v>0</v>
      </c>
      <c r="AA42" s="31">
        <f>+VLOOKUP(A42,[1]CONGE!$A$2:$W$113,20,0)</f>
        <v>0</v>
      </c>
      <c r="AB42" s="31">
        <f>+VLOOKUP(A42,[1]CONGE!$A$2:$W$113,21,0)</f>
        <v>0</v>
      </c>
      <c r="AC42" s="33">
        <f>IF(ISNA(VLOOKUP(A42,'[1]REPAS+DEPL'!$A$6:$M$1028,13,0))=TRUE,0,VLOOKUP(A42,'[1]REPAS+DEPL'!$A$6:$M$1028,13,0))</f>
        <v>0</v>
      </c>
      <c r="AD42" s="35"/>
      <c r="AE42" s="33">
        <f>IF(ISNA(VLOOKUP(A42,[1]Préavis!$A$2:$E$98,5,0))=TRUE,0,(VLOOKUP(A42,[1]Préavis!$A$2:$E$98,5,0)))</f>
        <v>0</v>
      </c>
      <c r="AF42" s="31">
        <f>+VLOOKUP(A42,[1]CONGE!$A$2:$V$112,18,0)</f>
        <v>0</v>
      </c>
      <c r="AG42" s="33">
        <f>IF(ISNA(VLOOKUP($A42,[1]CONGE!$A$2:$S$134,19,0))=TRUE,0,VLOOKUP($A42,[1]CONGE!$A$2:$S$134,19,0))</f>
        <v>0</v>
      </c>
      <c r="AH42" s="31">
        <f>+VLOOKUP(A42,[1]CONGE!$A$2:$W$113,22,0)</f>
        <v>0</v>
      </c>
      <c r="AI42" s="31">
        <f>+VLOOKUP(A42,[1]CONGE!$A$2:$W$113,23,0)</f>
        <v>0</v>
      </c>
      <c r="AJ42" s="36">
        <f>+L42-N42+Z42+AC42+AG42+AD42+AE42+AB42+AI42</f>
        <v>60500</v>
      </c>
      <c r="AK42" s="33">
        <f>IF(ISNA(VLOOKUP(A42,[1]AVANTAGE!$A$5:$T$118,19,0))=TRUE,0,VLOOKUP(A42,[1]AVANTAGE!$A$5:$T$118,19,0))</f>
        <v>0</v>
      </c>
      <c r="AL42" s="33">
        <f>IF(ISNA(VLOOKUP(A42,[1]AVANTAGE!$A$5:$T$118,20,0))=TRUE,0,VLOOKUP(A42,[1]AVANTAGE!$A$5:$T$118,20,0))</f>
        <v>0</v>
      </c>
      <c r="AM42" s="37">
        <f t="shared" si="25"/>
        <v>60500</v>
      </c>
      <c r="AN42" s="38">
        <f t="shared" si="4"/>
        <v>605</v>
      </c>
      <c r="AO42" s="33">
        <f t="shared" si="20"/>
        <v>605</v>
      </c>
      <c r="AP42" s="38"/>
      <c r="AQ42" s="38">
        <f t="shared" si="26"/>
        <v>59200</v>
      </c>
      <c r="AR42" s="39">
        <f t="shared" si="7"/>
        <v>0</v>
      </c>
      <c r="AS42" s="40">
        <f>VLOOKUP(A42,'[1]Liste personnel'!$B$3:$R$187,16,0)</f>
        <v>0</v>
      </c>
      <c r="AT42" s="38">
        <f t="shared" si="21"/>
        <v>0</v>
      </c>
      <c r="AU42" s="38">
        <f t="shared" si="27"/>
        <v>0</v>
      </c>
      <c r="AV42" s="38">
        <f>IF(ISNA(VLOOKUP(A42,[1]AVANCE!$A$6:$E$122,4,0))=TRUE,0,VLOOKUP(A42,[1]AVANCE!$A$6:$E$122,4,0))</f>
        <v>0</v>
      </c>
      <c r="AW42" s="38">
        <f>IF(ISNA(VLOOKUP(A42,[1]AVANCE!$A$6:$E$122,5,0))=TRUE,0,VLOOKUP(A42,[1]AVANCE!$A$6:$E$122,5,0))</f>
        <v>0</v>
      </c>
      <c r="AX42" s="38">
        <f t="shared" si="28"/>
        <v>0</v>
      </c>
      <c r="AY42" s="57"/>
      <c r="AZ42" s="58">
        <f t="shared" si="29"/>
        <v>1210</v>
      </c>
      <c r="BA42" s="38">
        <f t="shared" si="30"/>
        <v>59290</v>
      </c>
      <c r="BB42" s="42"/>
      <c r="BC42" s="43"/>
      <c r="BD42" s="59">
        <f t="shared" si="31"/>
        <v>59290</v>
      </c>
      <c r="BE42" s="60">
        <f t="shared" si="32"/>
        <v>59300</v>
      </c>
      <c r="BF42" s="61"/>
      <c r="BG42" s="61"/>
      <c r="BH42" s="62">
        <f t="shared" si="14"/>
        <v>0</v>
      </c>
      <c r="BI42" s="62">
        <f t="shared" si="15"/>
        <v>0</v>
      </c>
      <c r="BJ42" s="62">
        <f t="shared" si="22"/>
        <v>0</v>
      </c>
      <c r="BK42" s="63">
        <f t="shared" si="23"/>
        <v>59290</v>
      </c>
      <c r="BL42" s="48">
        <f t="shared" si="18"/>
        <v>60500</v>
      </c>
      <c r="BN42" s="49"/>
      <c r="BO42" s="49"/>
    </row>
    <row r="43" spans="1:67" s="18" customFormat="1" ht="27.75" customHeight="1">
      <c r="A43" s="50" t="s">
        <v>103</v>
      </c>
      <c r="B43" s="51" t="s">
        <v>272</v>
      </c>
      <c r="C43" s="52"/>
      <c r="D43" s="53" t="s">
        <v>224</v>
      </c>
      <c r="E43" s="54">
        <v>40898</v>
      </c>
      <c r="F43" s="25">
        <v>42359</v>
      </c>
      <c r="G43" s="54" t="s">
        <v>273</v>
      </c>
      <c r="H43" s="55" t="s">
        <v>207</v>
      </c>
      <c r="I43" s="29">
        <v>1833762</v>
      </c>
      <c r="J43" s="28">
        <v>42369</v>
      </c>
      <c r="K43" s="29">
        <v>11</v>
      </c>
      <c r="L43" s="29">
        <f>(IF(K43&lt;30,I43*(K43)/30,I43))</f>
        <v>672379.4</v>
      </c>
      <c r="M43" s="56">
        <f>IF(ISNA(VLOOKUP(A43,[1]ABSENCE!$B$5:$AK$76,35,0))=TRUE,0,VLOOKUP(A43,[1]ABSENCE!$B$5:$AK$76,35,0))</f>
        <v>0</v>
      </c>
      <c r="N43" s="33">
        <f>IF(ISNA(VLOOKUP(A43,[1]ABSENCE!$B$5:$AK$76,36,0))=TRUE,0,VLOOKUP(A43,[1]ABSENCE!$B$5:$AK$76,36,0))</f>
        <v>0</v>
      </c>
      <c r="O43" s="31">
        <f>IF(ISNA(VLOOKUP($A43,[1]HS!$B$5:$T$122,3,0))=TRUE,0,VLOOKUP($A43,[1]HS!$B$5:$T$122,3,0))</f>
        <v>0</v>
      </c>
      <c r="P43" s="32"/>
      <c r="Q43" s="33"/>
      <c r="R43" s="32"/>
      <c r="S43" s="33"/>
      <c r="T43" s="32"/>
      <c r="U43" s="33"/>
      <c r="V43" s="32"/>
      <c r="W43" s="33"/>
      <c r="X43" s="32"/>
      <c r="Y43" s="33"/>
      <c r="Z43" s="34">
        <f t="shared" si="1"/>
        <v>0</v>
      </c>
      <c r="AA43" s="31">
        <f>+VLOOKUP(A43,[1]CONGE!$A$2:$W$113,20,0)</f>
        <v>0</v>
      </c>
      <c r="AB43" s="31">
        <f>+VLOOKUP(A43,[1]CONGE!$A$2:$W$113,21,0)</f>
        <v>0</v>
      </c>
      <c r="AC43" s="33">
        <f>IF(ISNA(VLOOKUP(A43,'[1]REPAS+DEPL'!$A$6:$M$1028,13,0))=TRUE,0,VLOOKUP(A43,'[1]REPAS+DEPL'!$A$6:$M$1028,13,0))</f>
        <v>0</v>
      </c>
      <c r="AD43" s="35"/>
      <c r="AE43" s="33">
        <f>IF(ISNA(VLOOKUP(A43,[1]Préavis!$A$2:$E$98,5,0))=TRUE,0,(VLOOKUP(A43,[1]Préavis!$A$2:$E$98,5,0)))</f>
        <v>0</v>
      </c>
      <c r="AF43" s="31">
        <f>+VLOOKUP(A43,[1]CONGE!$A$2:$V$112,18,0)</f>
        <v>0</v>
      </c>
      <c r="AG43" s="33">
        <f>IF(ISNA(VLOOKUP($A43,[1]CONGE!$A$2:$S$134,19,0))=TRUE,0,VLOOKUP($A43,[1]CONGE!$A$2:$S$134,19,0))</f>
        <v>0</v>
      </c>
      <c r="AH43" s="31">
        <f>+VLOOKUP(A43,[1]CONGE!$A$2:$W$113,22,0)</f>
        <v>0</v>
      </c>
      <c r="AI43" s="31">
        <f>+VLOOKUP(A43,[1]CONGE!$A$2:$W$113,23,0)</f>
        <v>0</v>
      </c>
      <c r="AJ43" s="36">
        <f>+L43-N43+Z43+AC43+AG43+AD43+AE43+AB43+AI43</f>
        <v>672379.4</v>
      </c>
      <c r="AK43" s="33">
        <f>IF(ISNA(VLOOKUP(A43,[1]AVANTAGE!$A$5:$T$118,19,0))=TRUE,0,VLOOKUP(A43,[1]AVANTAGE!$A$5:$T$118,19,0))</f>
        <v>0</v>
      </c>
      <c r="AL43" s="33">
        <f>IF(ISNA(VLOOKUP(A43,[1]AVANTAGE!$A$5:$T$118,20,0))=TRUE,0,VLOOKUP(A43,[1]AVANTAGE!$A$5:$T$118,20,0))</f>
        <v>0</v>
      </c>
      <c r="AM43" s="37">
        <f>+AJ43+AL43</f>
        <v>672379.4</v>
      </c>
      <c r="AN43" s="38">
        <f t="shared" si="4"/>
        <v>6723.7940000000008</v>
      </c>
      <c r="AO43" s="33">
        <f t="shared" si="20"/>
        <v>6723.7940000000008</v>
      </c>
      <c r="AP43" s="38"/>
      <c r="AQ43" s="38">
        <f>+INT((AJ43+AL43-AO43-AN43-AP43)/100)*100</f>
        <v>658900</v>
      </c>
      <c r="AR43" s="39">
        <f t="shared" si="7"/>
        <v>81780</v>
      </c>
      <c r="AS43" s="40">
        <f>VLOOKUP(A43,'[1]Liste personnel'!$B$3:$R$187,16,0)</f>
        <v>0</v>
      </c>
      <c r="AT43" s="38">
        <f>+AS43*2000</f>
        <v>0</v>
      </c>
      <c r="AU43" s="38">
        <f>+IF(AR43=0,0,IF(AR43-AT43&lt;200,200,AR43-AT43))</f>
        <v>81780</v>
      </c>
      <c r="AV43" s="38">
        <f>IF(ISNA(VLOOKUP(A43,[1]AVANCE!$A$6:$E$122,4,0))=TRUE,0,VLOOKUP(A43,[1]AVANCE!$A$6:$E$122,4,0))</f>
        <v>0</v>
      </c>
      <c r="AW43" s="38">
        <f>IF(ISNA(VLOOKUP(A43,[1]AVANCE!$A$6:$E$122,5,0))=TRUE,0,VLOOKUP(A43,[1]AVANCE!$A$6:$E$122,5,0))</f>
        <v>0</v>
      </c>
      <c r="AX43" s="38">
        <f>+AV43+AW43</f>
        <v>0</v>
      </c>
      <c r="AY43" s="57"/>
      <c r="AZ43" s="58">
        <f>+AO43+AN43+AU43+AX43+AY43</f>
        <v>95227.588000000003</v>
      </c>
      <c r="BA43" s="38">
        <f>+AJ43-AZ43</f>
        <v>577151.81200000003</v>
      </c>
      <c r="BB43" s="42"/>
      <c r="BC43" s="43"/>
      <c r="BD43" s="59">
        <f>+BA43+BB43+BC43</f>
        <v>577151.81200000003</v>
      </c>
      <c r="BE43" s="60">
        <f>IF(BD43-INT(BD43/100)*100&gt;0,INT(BD43/100)*100+100,INT(BD43/100)*100)</f>
        <v>577200</v>
      </c>
      <c r="BF43" s="61"/>
      <c r="BG43" s="61"/>
      <c r="BH43" s="62">
        <f>IF(BF43=0,0,I43/2)</f>
        <v>0</v>
      </c>
      <c r="BI43" s="62">
        <f>IF(BF43=0,0,+IF(BF43-J43&lt;30,J43-BF43,30))</f>
        <v>0</v>
      </c>
      <c r="BJ43" s="62">
        <f>+BI43*BH43/30</f>
        <v>0</v>
      </c>
      <c r="BK43" s="63">
        <f>+BD43+AX43+AY43</f>
        <v>577151.81200000003</v>
      </c>
      <c r="BL43" s="48">
        <f t="shared" si="18"/>
        <v>672379.4</v>
      </c>
      <c r="BN43" s="49"/>
      <c r="BO43" s="49"/>
    </row>
    <row r="44" spans="1:67" s="18" customFormat="1" ht="27.75" customHeight="1">
      <c r="A44" s="50" t="s">
        <v>104</v>
      </c>
      <c r="B44" s="51" t="s">
        <v>274</v>
      </c>
      <c r="C44" s="52"/>
      <c r="D44" s="53" t="s">
        <v>275</v>
      </c>
      <c r="E44" s="54">
        <v>39419</v>
      </c>
      <c r="F44" s="25">
        <v>42359</v>
      </c>
      <c r="G44" s="54" t="s">
        <v>276</v>
      </c>
      <c r="H44" s="55" t="s">
        <v>207</v>
      </c>
      <c r="I44" s="29">
        <v>701510</v>
      </c>
      <c r="J44" s="28">
        <v>42369</v>
      </c>
      <c r="K44" s="29">
        <v>11</v>
      </c>
      <c r="L44" s="29">
        <f t="shared" si="24"/>
        <v>257220.33333333334</v>
      </c>
      <c r="M44" s="56">
        <f>IF(ISNA(VLOOKUP(A44,[1]ABSENCE!$B$5:$AK$76,35,0))=TRUE,0,VLOOKUP(A44,[1]ABSENCE!$B$5:$AK$76,35,0))</f>
        <v>0</v>
      </c>
      <c r="N44" s="33">
        <f>IF(ISNA(VLOOKUP(A44,[1]ABSENCE!$B$5:$AK$76,36,0))=TRUE,0,VLOOKUP(A44,[1]ABSENCE!$B$5:$AK$76,36,0))</f>
        <v>0</v>
      </c>
      <c r="O44" s="31">
        <f>IF(ISNA(VLOOKUP($A44,[1]HS!$B$5:$T$122,3,0))=TRUE,0,VLOOKUP($A44,[1]HS!$B$5:$T$122,3,0))</f>
        <v>0</v>
      </c>
      <c r="P44" s="32"/>
      <c r="Q44" s="33"/>
      <c r="R44" s="32"/>
      <c r="S44" s="33"/>
      <c r="T44" s="32"/>
      <c r="U44" s="33"/>
      <c r="V44" s="32"/>
      <c r="W44" s="33"/>
      <c r="X44" s="32"/>
      <c r="Y44" s="33"/>
      <c r="Z44" s="34">
        <f t="shared" si="1"/>
        <v>0</v>
      </c>
      <c r="AA44" s="31">
        <f>+VLOOKUP(A44,[1]CONGE!$A$2:$W$113,20,0)</f>
        <v>0</v>
      </c>
      <c r="AB44" s="31">
        <f>+VLOOKUP(A44,[1]CONGE!$A$2:$W$113,21,0)</f>
        <v>0</v>
      </c>
      <c r="AC44" s="33">
        <f>IF(ISNA(VLOOKUP(A44,'[1]REPAS+DEPL'!$A$6:$M$1028,13,0))=TRUE,0,VLOOKUP(A44,'[1]REPAS+DEPL'!$A$6:$M$1028,13,0))</f>
        <v>0</v>
      </c>
      <c r="AD44" s="35"/>
      <c r="AE44" s="33">
        <f>IF(ISNA(VLOOKUP(A44,[1]Préavis!$A$2:$E$98,5,0))=TRUE,0,(VLOOKUP(A44,[1]Préavis!$A$2:$E$98,5,0)))</f>
        <v>0</v>
      </c>
      <c r="AF44" s="31">
        <f>+VLOOKUP(A44,[1]CONGE!$A$2:$V$112,18,0)</f>
        <v>0</v>
      </c>
      <c r="AG44" s="33">
        <f>IF(ISNA(VLOOKUP($A44,[1]CONGE!$A$2:$S$134,19,0))=TRUE,0,VLOOKUP($A44,[1]CONGE!$A$2:$S$134,19,0))</f>
        <v>0</v>
      </c>
      <c r="AH44" s="31">
        <f>+VLOOKUP(A44,[1]CONGE!$A$2:$W$113,22,0)</f>
        <v>0</v>
      </c>
      <c r="AI44" s="31">
        <f>+VLOOKUP(A44,[1]CONGE!$A$2:$W$113,23,0)</f>
        <v>0</v>
      </c>
      <c r="AJ44" s="36">
        <f t="shared" si="2"/>
        <v>257220.33333333334</v>
      </c>
      <c r="AK44" s="33">
        <f>IF(ISNA(VLOOKUP(A44,[1]AVANTAGE!$A$5:$T$118,19,0))=TRUE,0,VLOOKUP(A44,[1]AVANTAGE!$A$5:$T$118,19,0))</f>
        <v>0</v>
      </c>
      <c r="AL44" s="33">
        <f>IF(ISNA(VLOOKUP(A44,[1]AVANTAGE!$A$5:$T$118,20,0))=TRUE,0,VLOOKUP(A44,[1]AVANTAGE!$A$5:$T$118,20,0))</f>
        <v>0</v>
      </c>
      <c r="AM44" s="37">
        <f t="shared" si="25"/>
        <v>257220.33333333334</v>
      </c>
      <c r="AN44" s="38">
        <f t="shared" si="4"/>
        <v>2572.2033333333334</v>
      </c>
      <c r="AO44" s="33">
        <f t="shared" si="20"/>
        <v>2572.2033333333334</v>
      </c>
      <c r="AP44" s="38"/>
      <c r="AQ44" s="38">
        <f t="shared" si="26"/>
        <v>252000</v>
      </c>
      <c r="AR44" s="39">
        <f t="shared" si="7"/>
        <v>400</v>
      </c>
      <c r="AS44" s="40">
        <f>VLOOKUP(A44,'[1]Liste personnel'!$B$3:$R$187,16,0)</f>
        <v>0</v>
      </c>
      <c r="AT44" s="38">
        <f t="shared" si="21"/>
        <v>0</v>
      </c>
      <c r="AU44" s="38">
        <f t="shared" si="27"/>
        <v>400</v>
      </c>
      <c r="AV44" s="38">
        <f>IF(ISNA(VLOOKUP(A44,[1]AVANCE!$A$6:$E$122,4,0))=TRUE,0,VLOOKUP(A44,[1]AVANCE!$A$6:$E$122,4,0))</f>
        <v>0</v>
      </c>
      <c r="AW44" s="38">
        <f>IF(ISNA(VLOOKUP(A44,[1]AVANCE!$A$6:$E$122,5,0))=TRUE,0,VLOOKUP(A44,[1]AVANCE!$A$6:$E$122,5,0))</f>
        <v>0</v>
      </c>
      <c r="AX44" s="38">
        <f t="shared" si="28"/>
        <v>0</v>
      </c>
      <c r="AY44" s="57"/>
      <c r="AZ44" s="58">
        <f t="shared" si="29"/>
        <v>5544.4066666666668</v>
      </c>
      <c r="BA44" s="38">
        <f t="shared" si="30"/>
        <v>251675.92666666667</v>
      </c>
      <c r="BB44" s="42"/>
      <c r="BC44" s="43"/>
      <c r="BD44" s="59">
        <f t="shared" si="31"/>
        <v>251675.92666666667</v>
      </c>
      <c r="BE44" s="60">
        <f t="shared" si="32"/>
        <v>251700</v>
      </c>
      <c r="BF44" s="61"/>
      <c r="BG44" s="61"/>
      <c r="BH44" s="62">
        <f t="shared" si="14"/>
        <v>0</v>
      </c>
      <c r="BI44" s="62">
        <f t="shared" si="15"/>
        <v>0</v>
      </c>
      <c r="BJ44" s="62">
        <f t="shared" si="22"/>
        <v>0</v>
      </c>
      <c r="BK44" s="63">
        <f t="shared" si="23"/>
        <v>251675.92666666667</v>
      </c>
      <c r="BL44" s="48">
        <f t="shared" si="18"/>
        <v>257220.33333333334</v>
      </c>
      <c r="BN44" s="49"/>
      <c r="BO44" s="49"/>
    </row>
    <row r="45" spans="1:67" s="18" customFormat="1" ht="27.75" customHeight="1">
      <c r="A45" s="50" t="s">
        <v>105</v>
      </c>
      <c r="B45" s="51" t="s">
        <v>277</v>
      </c>
      <c r="C45" s="52"/>
      <c r="D45" s="53" t="s">
        <v>278</v>
      </c>
      <c r="E45" s="54">
        <v>39692</v>
      </c>
      <c r="F45" s="25">
        <v>42359</v>
      </c>
      <c r="G45" s="54" t="s">
        <v>279</v>
      </c>
      <c r="H45" s="55" t="s">
        <v>207</v>
      </c>
      <c r="I45" s="29">
        <v>1787501</v>
      </c>
      <c r="J45" s="28">
        <v>42369</v>
      </c>
      <c r="K45" s="29">
        <v>11</v>
      </c>
      <c r="L45" s="29">
        <f>(IF(K45&lt;30,I45*(K45)/30,I45))</f>
        <v>655417.03333333333</v>
      </c>
      <c r="M45" s="56">
        <f>IF(ISNA(VLOOKUP(A45,[1]ABSENCE!$B$5:$AK$76,35,0))=TRUE,0,VLOOKUP(A45,[1]ABSENCE!$B$5:$AK$76,35,0))</f>
        <v>0</v>
      </c>
      <c r="N45" s="33">
        <f>IF(ISNA(VLOOKUP(A45,[1]ABSENCE!$B$5:$AK$76,36,0))=TRUE,0,VLOOKUP(A45,[1]ABSENCE!$B$5:$AK$76,36,0))</f>
        <v>0</v>
      </c>
      <c r="O45" s="31">
        <f>IF(ISNA(VLOOKUP($A45,[1]HS!$B$5:$T$122,3,0))=TRUE,0,VLOOKUP($A45,[1]HS!$B$5:$T$122,3,0))</f>
        <v>0</v>
      </c>
      <c r="P45" s="32"/>
      <c r="Q45" s="33"/>
      <c r="R45" s="32"/>
      <c r="S45" s="33"/>
      <c r="T45" s="32"/>
      <c r="U45" s="33"/>
      <c r="V45" s="32"/>
      <c r="W45" s="33"/>
      <c r="X45" s="32"/>
      <c r="Y45" s="33"/>
      <c r="Z45" s="34">
        <f t="shared" si="1"/>
        <v>0</v>
      </c>
      <c r="AA45" s="31">
        <f>+VLOOKUP(A45,[1]CONGE!$A$2:$W$113,20,0)</f>
        <v>0</v>
      </c>
      <c r="AB45" s="31">
        <f>+VLOOKUP(A45,[1]CONGE!$A$2:$W$113,21,0)</f>
        <v>0</v>
      </c>
      <c r="AC45" s="33">
        <f>IF(ISNA(VLOOKUP(A45,'[1]REPAS+DEPL'!$A$6:$M$1028,13,0))=TRUE,0,VLOOKUP(A45,'[1]REPAS+DEPL'!$A$6:$M$1028,13,0))</f>
        <v>0</v>
      </c>
      <c r="AD45" s="35"/>
      <c r="AE45" s="33">
        <f>IF(ISNA(VLOOKUP(A45,[1]Préavis!$A$2:$E$98,5,0))=TRUE,0,(VLOOKUP(A45,[1]Préavis!$A$2:$E$98,5,0)))</f>
        <v>0</v>
      </c>
      <c r="AF45" s="31">
        <f>+VLOOKUP(A45,[1]CONGE!$A$2:$V$112,18,0)</f>
        <v>0</v>
      </c>
      <c r="AG45" s="33">
        <f>IF(ISNA(VLOOKUP($A45,[1]CONGE!$A$2:$S$134,19,0))=TRUE,0,VLOOKUP($A45,[1]CONGE!$A$2:$S$134,19,0))</f>
        <v>0</v>
      </c>
      <c r="AH45" s="31">
        <f>+VLOOKUP(A45,[1]CONGE!$A$2:$W$113,22,0)</f>
        <v>0</v>
      </c>
      <c r="AI45" s="31">
        <f>+VLOOKUP(A45,[1]CONGE!$A$2:$W$113,23,0)</f>
        <v>0</v>
      </c>
      <c r="AJ45" s="36">
        <f>+L45-N45+Z45+AC45+AG45+AD45+AE45+AB45+AI45</f>
        <v>655417.03333333333</v>
      </c>
      <c r="AK45" s="33">
        <f>IF(ISNA(VLOOKUP(A45,[1]AVANTAGE!$A$5:$T$118,19,0))=TRUE,0,VLOOKUP(A45,[1]AVANTAGE!$A$5:$T$118,19,0))</f>
        <v>5547649.1466666674</v>
      </c>
      <c r="AL45" s="33">
        <f>IF(ISNA(VLOOKUP(A45,[1]AVANTAGE!$A$5:$T$118,20,0))=TRUE,0,VLOOKUP(A45,[1]AVANTAGE!$A$5:$T$118,20,0))</f>
        <v>357500.2</v>
      </c>
      <c r="AM45" s="37">
        <f>+AJ45+AL45</f>
        <v>1012917.2333333334</v>
      </c>
      <c r="AN45" s="38">
        <f t="shared" si="4"/>
        <v>10129.172333333334</v>
      </c>
      <c r="AO45" s="33"/>
      <c r="AP45" s="38"/>
      <c r="AQ45" s="38">
        <f>+INT((AJ45+AL45-AO45-AN45-AP45)/100)*100</f>
        <v>1002700</v>
      </c>
      <c r="AR45" s="39">
        <f t="shared" si="7"/>
        <v>150540</v>
      </c>
      <c r="AS45" s="40">
        <f>VLOOKUP(A45,'[1]Liste personnel'!$B$3:$R$187,16,0)</f>
        <v>0</v>
      </c>
      <c r="AT45" s="38">
        <f>+AS45*2000</f>
        <v>0</v>
      </c>
      <c r="AU45" s="38">
        <f>+IF(AR45=0,0,IF(AR45-AT45&lt;200,200,AR45-AT45))</f>
        <v>150540</v>
      </c>
      <c r="AV45" s="38">
        <f>IF(ISNA(VLOOKUP(A45,[1]AVANCE!$A$6:$E$122,4,0))=TRUE,0,VLOOKUP(A45,[1]AVANCE!$A$6:$E$122,4,0))</f>
        <v>0</v>
      </c>
      <c r="AW45" s="38">
        <f>IF(ISNA(VLOOKUP(A45,[1]AVANCE!$A$6:$E$122,5,0))=TRUE,0,VLOOKUP(A45,[1]AVANCE!$A$6:$E$122,5,0))</f>
        <v>0</v>
      </c>
      <c r="AX45" s="38">
        <f>+AV45+AW45</f>
        <v>0</v>
      </c>
      <c r="AY45" s="57"/>
      <c r="AZ45" s="58">
        <f>+AO45+AN45+AU45+AX45+AY45</f>
        <v>160669.17233333332</v>
      </c>
      <c r="BA45" s="38">
        <f>+AJ45-AZ45</f>
        <v>494747.86100000003</v>
      </c>
      <c r="BB45" s="42"/>
      <c r="BC45" s="43"/>
      <c r="BD45" s="59">
        <f t="shared" si="31"/>
        <v>494747.86100000003</v>
      </c>
      <c r="BE45" s="60">
        <f>IF(BD45-INT(BD45/100)*100&gt;0,INT(BD45/100)*100+100,INT(BD45/100)*100)</f>
        <v>494800</v>
      </c>
      <c r="BF45" s="61"/>
      <c r="BG45" s="61"/>
      <c r="BH45" s="62">
        <f>IF(BF45=0,0,I45/2)</f>
        <v>0</v>
      </c>
      <c r="BI45" s="62">
        <f>IF(BF45=0,0,+IF(BF45-J45&lt;30,J45-BF45,30))</f>
        <v>0</v>
      </c>
      <c r="BJ45" s="62">
        <f>+BI45*BH45/30</f>
        <v>0</v>
      </c>
      <c r="BK45" s="63">
        <f>+BD45+AX45+AY45</f>
        <v>494747.86100000003</v>
      </c>
      <c r="BL45" s="48">
        <f t="shared" si="18"/>
        <v>655417.03333333333</v>
      </c>
      <c r="BM45" s="87"/>
      <c r="BN45" s="49"/>
      <c r="BO45" s="49"/>
    </row>
    <row r="46" spans="1:67" s="18" customFormat="1" ht="27.75" customHeight="1">
      <c r="A46" s="50" t="s">
        <v>106</v>
      </c>
      <c r="B46" s="51" t="s">
        <v>280</v>
      </c>
      <c r="C46" s="52"/>
      <c r="D46" s="53" t="s">
        <v>281</v>
      </c>
      <c r="E46" s="54">
        <v>41683</v>
      </c>
      <c r="F46" s="25">
        <v>42359</v>
      </c>
      <c r="G46" s="54" t="s">
        <v>201</v>
      </c>
      <c r="H46" s="55" t="s">
        <v>183</v>
      </c>
      <c r="I46" s="29">
        <v>220000</v>
      </c>
      <c r="J46" s="28">
        <v>42369</v>
      </c>
      <c r="K46" s="29">
        <v>11</v>
      </c>
      <c r="L46" s="29">
        <f>(IF(K46&lt;30,I46*(K46)/30,I46))</f>
        <v>80666.666666666672</v>
      </c>
      <c r="M46" s="56">
        <f>IF(ISNA(VLOOKUP(A46,[1]ABSENCE!$B$5:$AK$76,35,0))=TRUE,0,VLOOKUP(A46,[1]ABSENCE!$B$5:$AK$76,35,0))</f>
        <v>0</v>
      </c>
      <c r="N46" s="33">
        <f>IF(ISNA(VLOOKUP(A46,[1]ABSENCE!$B$5:$AK$76,36,0))=TRUE,0,VLOOKUP(A46,[1]ABSENCE!$B$5:$AK$76,36,0))</f>
        <v>0</v>
      </c>
      <c r="O46" s="31">
        <f>IF(ISNA(VLOOKUP($A46,[1]HS!$B$5:$T$122,3,0))=TRUE,0,VLOOKUP($A46,[1]HS!$B$5:$T$122,3,0))</f>
        <v>1269.255177984192</v>
      </c>
      <c r="P46" s="32"/>
      <c r="Q46" s="33"/>
      <c r="R46" s="32"/>
      <c r="S46" s="33"/>
      <c r="T46" s="32"/>
      <c r="U46" s="33"/>
      <c r="V46" s="32"/>
      <c r="W46" s="33"/>
      <c r="X46" s="32"/>
      <c r="Y46" s="33"/>
      <c r="Z46" s="34">
        <f t="shared" si="1"/>
        <v>0</v>
      </c>
      <c r="AA46" s="31">
        <f>+VLOOKUP(A46,[1]CONGE!$A$2:$W$113,20,0)</f>
        <v>0</v>
      </c>
      <c r="AB46" s="31">
        <f>+VLOOKUP(A46,[1]CONGE!$A$2:$W$113,21,0)</f>
        <v>0</v>
      </c>
      <c r="AC46" s="33">
        <f>IF(ISNA(VLOOKUP(A46,'[1]REPAS+DEPL'!$A$6:$M$1028,13,0))=TRUE,0,VLOOKUP(A46,'[1]REPAS+DEPL'!$A$6:$M$1028,13,0))</f>
        <v>0</v>
      </c>
      <c r="AD46" s="35"/>
      <c r="AE46" s="33">
        <f>IF(ISNA(VLOOKUP(A46,[1]Préavis!$A$2:$E$98,5,0))=TRUE,0,(VLOOKUP(A46,[1]Préavis!$A$2:$E$98,5,0)))</f>
        <v>0</v>
      </c>
      <c r="AF46" s="31">
        <f>+VLOOKUP(A46,[1]CONGE!$A$2:$V$112,18,0)</f>
        <v>0</v>
      </c>
      <c r="AG46" s="33">
        <f>IF(ISNA(VLOOKUP($A46,[1]CONGE!$A$2:$S$134,19,0))=TRUE,0,VLOOKUP($A46,[1]CONGE!$A$2:$S$134,19,0))</f>
        <v>0</v>
      </c>
      <c r="AH46" s="31">
        <f>+VLOOKUP(A46,[1]CONGE!$A$2:$W$113,22,0)</f>
        <v>0</v>
      </c>
      <c r="AI46" s="31">
        <f>+VLOOKUP(A46,[1]CONGE!$A$2:$W$113,23,0)</f>
        <v>0</v>
      </c>
      <c r="AJ46" s="36">
        <f>+L46-N46+Z46+AC46+AG46+AD46+AE46+AB46+AI46</f>
        <v>80666.666666666672</v>
      </c>
      <c r="AK46" s="33">
        <f>IF(ISNA(VLOOKUP(A46,[1]AVANTAGE!$A$5:$T$118,19,0))=TRUE,0,VLOOKUP(A46,[1]AVANTAGE!$A$5:$T$118,19,0))</f>
        <v>0</v>
      </c>
      <c r="AL46" s="33">
        <f>IF(ISNA(VLOOKUP(A46,[1]AVANTAGE!$A$5:$T$118,20,0))=TRUE,0,VLOOKUP(A46,[1]AVANTAGE!$A$5:$T$118,20,0))</f>
        <v>0</v>
      </c>
      <c r="AM46" s="37">
        <f>+AJ46+AL46</f>
        <v>80666.666666666672</v>
      </c>
      <c r="AN46" s="38">
        <f t="shared" si="4"/>
        <v>806.66666666666674</v>
      </c>
      <c r="AO46" s="33">
        <f t="shared" ref="AO46:AO76" si="33">IF(D46=0,0,(IF((AM46)*1%&gt;10641.07,10641.07,(AM46)*1%)))</f>
        <v>806.66666666666674</v>
      </c>
      <c r="AP46" s="38"/>
      <c r="AQ46" s="38">
        <f>+INT((AJ46+AL46-AO46-AN46-AP46)/100)*100</f>
        <v>79000</v>
      </c>
      <c r="AR46" s="39">
        <f t="shared" si="7"/>
        <v>0</v>
      </c>
      <c r="AS46" s="40">
        <f>VLOOKUP(A46,'[1]Liste personnel'!$B$3:$R$187,16,0)</f>
        <v>0</v>
      </c>
      <c r="AT46" s="38">
        <f>+AS46*2000</f>
        <v>0</v>
      </c>
      <c r="AU46" s="38">
        <f>+IF(AR46=0,0,IF(AR46-AT46&lt;200,200,AR46-AT46))</f>
        <v>0</v>
      </c>
      <c r="AV46" s="38">
        <f>IF(ISNA(VLOOKUP(A46,[1]AVANCE!$A$6:$E$122,4,0))=TRUE,0,VLOOKUP(A46,[1]AVANCE!$A$6:$E$122,4,0))</f>
        <v>0</v>
      </c>
      <c r="AW46" s="38">
        <f>IF(ISNA(VLOOKUP(A46,[1]AVANCE!$A$6:$E$122,5,0))=TRUE,0,VLOOKUP(A46,[1]AVANCE!$A$6:$E$122,5,0))</f>
        <v>0</v>
      </c>
      <c r="AX46" s="38">
        <f>+AV46+AW46</f>
        <v>0</v>
      </c>
      <c r="AY46" s="57"/>
      <c r="AZ46" s="58">
        <f>+AO46+AN46+AU46+AX46+AY46</f>
        <v>1613.3333333333335</v>
      </c>
      <c r="BA46" s="38">
        <f>+AJ46-AZ46</f>
        <v>79053.333333333343</v>
      </c>
      <c r="BB46" s="42"/>
      <c r="BC46" s="43"/>
      <c r="BD46" s="59">
        <f t="shared" si="31"/>
        <v>79053.333333333343</v>
      </c>
      <c r="BE46" s="60">
        <f>IF(BD46-INT(BD46/100)*100&gt;0,INT(BD46/100)*100+100,INT(BD46/100)*100)</f>
        <v>79100</v>
      </c>
      <c r="BF46" s="61"/>
      <c r="BG46" s="61"/>
      <c r="BH46" s="62">
        <f>IF(BF46=0,0,I46/2)</f>
        <v>0</v>
      </c>
      <c r="BI46" s="62">
        <f>IF(BF46=0,0,+IF(BF46-J46&lt;30,J46-BF46,30))</f>
        <v>0</v>
      </c>
      <c r="BJ46" s="62">
        <f>+BI46*BH46/30</f>
        <v>0</v>
      </c>
      <c r="BK46" s="63">
        <f>+BD46+AX46+AY46</f>
        <v>79053.333333333343</v>
      </c>
      <c r="BL46" s="48">
        <f t="shared" si="18"/>
        <v>80666.666666666672</v>
      </c>
      <c r="BM46" s="87"/>
      <c r="BN46" s="49"/>
      <c r="BO46" s="49"/>
    </row>
    <row r="47" spans="1:67" s="18" customFormat="1" ht="27.75" customHeight="1">
      <c r="A47" s="50" t="s">
        <v>107</v>
      </c>
      <c r="B47" s="51" t="s">
        <v>282</v>
      </c>
      <c r="C47" s="52"/>
      <c r="D47" s="53" t="s">
        <v>281</v>
      </c>
      <c r="E47" s="54">
        <v>41688</v>
      </c>
      <c r="F47" s="25">
        <v>42359</v>
      </c>
      <c r="G47" s="54" t="s">
        <v>220</v>
      </c>
      <c r="H47" s="55" t="s">
        <v>187</v>
      </c>
      <c r="I47" s="29">
        <v>136480</v>
      </c>
      <c r="J47" s="28">
        <v>42369</v>
      </c>
      <c r="K47" s="29">
        <v>11</v>
      </c>
      <c r="L47" s="29">
        <f>(IF(K47&lt;30,I47*(K47)/30,I47))</f>
        <v>50042.666666666664</v>
      </c>
      <c r="M47" s="56">
        <f>IF(ISNA(VLOOKUP(A47,[1]ABSENCE!$B$5:$AK$76,35,0))=TRUE,0,VLOOKUP(A47,[1]ABSENCE!$B$5:$AK$76,35,0))</f>
        <v>0</v>
      </c>
      <c r="N47" s="33">
        <f>IF(ISNA(VLOOKUP(A47,[1]ABSENCE!$B$5:$AK$76,36,0))=TRUE,0,VLOOKUP(A47,[1]ABSENCE!$B$5:$AK$76,36,0))</f>
        <v>0</v>
      </c>
      <c r="O47" s="31">
        <f>IF(ISNA(VLOOKUP($A47,[1]HS!$B$5:$T$122,3,0))=TRUE,0,VLOOKUP($A47,[1]HS!$B$5:$T$122,3,0))</f>
        <v>787.39975768764782</v>
      </c>
      <c r="P47" s="32"/>
      <c r="Q47" s="33"/>
      <c r="R47" s="32"/>
      <c r="S47" s="33"/>
      <c r="T47" s="32"/>
      <c r="U47" s="33"/>
      <c r="V47" s="32"/>
      <c r="W47" s="33"/>
      <c r="X47" s="32"/>
      <c r="Y47" s="33"/>
      <c r="Z47" s="34">
        <f t="shared" si="1"/>
        <v>0</v>
      </c>
      <c r="AA47" s="31">
        <f>+VLOOKUP(A47,[1]CONGE!$A$2:$W$113,20,0)</f>
        <v>0</v>
      </c>
      <c r="AB47" s="31">
        <f>+VLOOKUP(A47,[1]CONGE!$A$2:$W$113,21,0)</f>
        <v>0</v>
      </c>
      <c r="AC47" s="33">
        <f>IF(ISNA(VLOOKUP(A47,'[1]REPAS+DEPL'!$A$6:$M$1028,13,0))=TRUE,0,VLOOKUP(A47,'[1]REPAS+DEPL'!$A$6:$M$1028,13,0))</f>
        <v>0</v>
      </c>
      <c r="AD47" s="35"/>
      <c r="AE47" s="33">
        <f>IF(ISNA(VLOOKUP(A47,[1]Préavis!$A$2:$E$98,5,0))=TRUE,0,(VLOOKUP(A47,[1]Préavis!$A$2:$E$98,5,0)))</f>
        <v>0</v>
      </c>
      <c r="AF47" s="31">
        <f>+VLOOKUP(A47,[1]CONGE!$A$2:$V$112,18,0)</f>
        <v>0</v>
      </c>
      <c r="AG47" s="33">
        <f>IF(ISNA(VLOOKUP($A47,[1]CONGE!$A$2:$S$134,19,0))=TRUE,0,VLOOKUP($A47,[1]CONGE!$A$2:$S$134,19,0))</f>
        <v>0</v>
      </c>
      <c r="AH47" s="31">
        <f>+VLOOKUP(A47,[1]CONGE!$A$2:$W$113,22,0)</f>
        <v>0</v>
      </c>
      <c r="AI47" s="31">
        <f>+VLOOKUP(A47,[1]CONGE!$A$2:$W$113,23,0)</f>
        <v>0</v>
      </c>
      <c r="AJ47" s="36">
        <f>+L47-N47+Z47+AC47+AG47+AD47+AE47+AB47+AI47</f>
        <v>50042.666666666664</v>
      </c>
      <c r="AK47" s="33">
        <f>IF(ISNA(VLOOKUP(A47,[1]AVANTAGE!$A$5:$T$118,19,0))=TRUE,0,VLOOKUP(A47,[1]AVANTAGE!$A$5:$T$118,19,0))</f>
        <v>0</v>
      </c>
      <c r="AL47" s="33">
        <f>IF(ISNA(VLOOKUP(A47,[1]AVANTAGE!$A$5:$T$118,20,0))=TRUE,0,VLOOKUP(A47,[1]AVANTAGE!$A$5:$T$118,20,0))</f>
        <v>0</v>
      </c>
      <c r="AM47" s="37">
        <f>+AJ47+AL47</f>
        <v>50042.666666666664</v>
      </c>
      <c r="AN47" s="38">
        <f t="shared" si="4"/>
        <v>500.42666666666668</v>
      </c>
      <c r="AO47" s="33">
        <f t="shared" si="33"/>
        <v>500.42666666666668</v>
      </c>
      <c r="AP47" s="38"/>
      <c r="AQ47" s="38">
        <f>+INT((AJ47+AL47-AO47-AN47-AP47)/100)*100</f>
        <v>49000</v>
      </c>
      <c r="AR47" s="39">
        <f t="shared" si="7"/>
        <v>0</v>
      </c>
      <c r="AS47" s="40">
        <f>VLOOKUP(A47,'[1]Liste personnel'!$B$3:$R$187,16,0)</f>
        <v>0</v>
      </c>
      <c r="AT47" s="38">
        <f>+AS47*2000</f>
        <v>0</v>
      </c>
      <c r="AU47" s="38">
        <f>+IF(AR47=0,0,IF(AR47-AT47&lt;200,200,AR47-AT47))</f>
        <v>0</v>
      </c>
      <c r="AV47" s="38">
        <f>IF(ISNA(VLOOKUP(A47,[1]AVANCE!$A$6:$E$122,4,0))=TRUE,0,VLOOKUP(A47,[1]AVANCE!$A$6:$E$122,4,0))</f>
        <v>0</v>
      </c>
      <c r="AW47" s="38">
        <f>IF(ISNA(VLOOKUP(A47,[1]AVANCE!$A$6:$E$122,5,0))=TRUE,0,VLOOKUP(A47,[1]AVANCE!$A$6:$E$122,5,0))</f>
        <v>0</v>
      </c>
      <c r="AX47" s="38">
        <f>+AV47+AW47</f>
        <v>0</v>
      </c>
      <c r="AY47" s="57"/>
      <c r="AZ47" s="58">
        <f>+AO47+AN47+AU47+AX47+AY47</f>
        <v>1000.8533333333334</v>
      </c>
      <c r="BA47" s="38">
        <f>+AJ47-AZ47</f>
        <v>49041.813333333332</v>
      </c>
      <c r="BB47" s="42"/>
      <c r="BC47" s="43"/>
      <c r="BD47" s="59">
        <f t="shared" si="31"/>
        <v>49041.813333333332</v>
      </c>
      <c r="BE47" s="60">
        <f>IF(BD47-INT(BD47/100)*100&gt;0,INT(BD47/100)*100+100,INT(BD47/100)*100)</f>
        <v>49100</v>
      </c>
      <c r="BF47" s="61"/>
      <c r="BG47" s="61"/>
      <c r="BH47" s="62">
        <f>IF(BF47=0,0,I47/2)</f>
        <v>0</v>
      </c>
      <c r="BI47" s="62">
        <f>IF(BF47=0,0,+IF(BF47-J47&lt;30,J47-BF47,30))</f>
        <v>0</v>
      </c>
      <c r="BJ47" s="62">
        <f>+BI47*BH47/30</f>
        <v>0</v>
      </c>
      <c r="BK47" s="63">
        <f>+BD47+AX47+AY47</f>
        <v>49041.813333333332</v>
      </c>
      <c r="BL47" s="48">
        <f t="shared" si="18"/>
        <v>50042.666666666664</v>
      </c>
      <c r="BN47" s="49"/>
      <c r="BO47" s="49"/>
    </row>
    <row r="48" spans="1:67" s="18" customFormat="1" ht="27.75" customHeight="1">
      <c r="A48" s="50" t="s">
        <v>108</v>
      </c>
      <c r="B48" s="51" t="s">
        <v>283</v>
      </c>
      <c r="C48" s="52"/>
      <c r="D48" s="53" t="s">
        <v>281</v>
      </c>
      <c r="E48" s="54">
        <v>41688</v>
      </c>
      <c r="F48" s="25">
        <v>42359</v>
      </c>
      <c r="G48" s="54" t="s">
        <v>220</v>
      </c>
      <c r="H48" s="55" t="s">
        <v>187</v>
      </c>
      <c r="I48" s="29">
        <v>136480</v>
      </c>
      <c r="J48" s="28">
        <v>42369</v>
      </c>
      <c r="K48" s="29">
        <v>11</v>
      </c>
      <c r="L48" s="29">
        <f>(IF(K48&lt;30,I48*(K48)/30,I48))</f>
        <v>50042.666666666664</v>
      </c>
      <c r="M48" s="56">
        <f>IF(ISNA(VLOOKUP(A48,[1]ABSENCE!$B$5:$AK$76,35,0))=TRUE,0,VLOOKUP(A48,[1]ABSENCE!$B$5:$AK$76,35,0))</f>
        <v>0</v>
      </c>
      <c r="N48" s="33">
        <f>IF(ISNA(VLOOKUP(A48,[1]ABSENCE!$B$5:$AK$76,36,0))=TRUE,0,VLOOKUP(A48,[1]ABSENCE!$B$5:$AK$76,36,0))</f>
        <v>0</v>
      </c>
      <c r="O48" s="31">
        <f>IF(ISNA(VLOOKUP($A48,[1]HS!$B$5:$T$122,3,0))=TRUE,0,VLOOKUP($A48,[1]HS!$B$5:$T$122,3,0))</f>
        <v>787.39975768764782</v>
      </c>
      <c r="P48" s="32"/>
      <c r="Q48" s="33"/>
      <c r="R48" s="32"/>
      <c r="S48" s="33"/>
      <c r="T48" s="32"/>
      <c r="U48" s="33"/>
      <c r="V48" s="32"/>
      <c r="W48" s="33"/>
      <c r="X48" s="32"/>
      <c r="Y48" s="33"/>
      <c r="Z48" s="34">
        <f t="shared" si="1"/>
        <v>0</v>
      </c>
      <c r="AA48" s="31">
        <f>+VLOOKUP(A48,[1]CONGE!$A$2:$W$113,20,0)</f>
        <v>0</v>
      </c>
      <c r="AB48" s="31">
        <f>+VLOOKUP(A48,[1]CONGE!$A$2:$W$113,21,0)</f>
        <v>0</v>
      </c>
      <c r="AC48" s="33">
        <f>IF(ISNA(VLOOKUP(A48,'[1]REPAS+DEPL'!$A$6:$M$1028,13,0))=TRUE,0,VLOOKUP(A48,'[1]REPAS+DEPL'!$A$6:$M$1028,13,0))</f>
        <v>0</v>
      </c>
      <c r="AD48" s="35"/>
      <c r="AE48" s="33">
        <f>IF(ISNA(VLOOKUP(A48,[1]Préavis!$A$2:$E$98,5,0))=TRUE,0,(VLOOKUP(A48,[1]Préavis!$A$2:$E$98,5,0)))</f>
        <v>0</v>
      </c>
      <c r="AF48" s="31">
        <f>+VLOOKUP(A48,[1]CONGE!$A$2:$V$112,18,0)</f>
        <v>0</v>
      </c>
      <c r="AG48" s="33">
        <f>IF(ISNA(VLOOKUP($A48,[1]CONGE!$A$2:$S$134,19,0))=TRUE,0,VLOOKUP($A48,[1]CONGE!$A$2:$S$134,19,0))</f>
        <v>0</v>
      </c>
      <c r="AH48" s="31">
        <f>+VLOOKUP(A48,[1]CONGE!$A$2:$W$113,22,0)</f>
        <v>0</v>
      </c>
      <c r="AI48" s="31">
        <f>+VLOOKUP(A48,[1]CONGE!$A$2:$W$113,23,0)</f>
        <v>0</v>
      </c>
      <c r="AJ48" s="36">
        <f>+L48-N48+Z48+AC48+AG48+AD48+AE48+AB48+AI48</f>
        <v>50042.666666666664</v>
      </c>
      <c r="AK48" s="33">
        <f>IF(ISNA(VLOOKUP(A48,[1]AVANTAGE!$A$5:$T$118,19,0))=TRUE,0,VLOOKUP(A48,[1]AVANTAGE!$A$5:$T$118,19,0))</f>
        <v>0</v>
      </c>
      <c r="AL48" s="33">
        <f>IF(ISNA(VLOOKUP(A48,[1]AVANTAGE!$A$5:$T$118,20,0))=TRUE,0,VLOOKUP(A48,[1]AVANTAGE!$A$5:$T$118,20,0))</f>
        <v>0</v>
      </c>
      <c r="AM48" s="37">
        <f>+AJ48+AL48</f>
        <v>50042.666666666664</v>
      </c>
      <c r="AN48" s="38">
        <f t="shared" si="4"/>
        <v>500.42666666666668</v>
      </c>
      <c r="AO48" s="33">
        <f t="shared" si="33"/>
        <v>500.42666666666668</v>
      </c>
      <c r="AP48" s="38"/>
      <c r="AQ48" s="38">
        <f>+INT((AJ48+AL48-AO48-AN48-AP48)/100)*100</f>
        <v>49000</v>
      </c>
      <c r="AR48" s="39">
        <f t="shared" si="7"/>
        <v>0</v>
      </c>
      <c r="AS48" s="40">
        <f>VLOOKUP(A48,'[1]Liste personnel'!$B$3:$R$187,16,0)</f>
        <v>0</v>
      </c>
      <c r="AT48" s="38">
        <f>+AS48*2000</f>
        <v>0</v>
      </c>
      <c r="AU48" s="38">
        <f>+IF(AR48=0,0,IF(AR48-AT48&lt;200,200,AR48-AT48))</f>
        <v>0</v>
      </c>
      <c r="AV48" s="38">
        <f>IF(ISNA(VLOOKUP(A48,[1]AVANCE!$A$6:$E$122,4,0))=TRUE,0,VLOOKUP(A48,[1]AVANCE!$A$6:$E$122,4,0))</f>
        <v>0</v>
      </c>
      <c r="AW48" s="38">
        <f>IF(ISNA(VLOOKUP(A48,[1]AVANCE!$A$6:$E$122,5,0))=TRUE,0,VLOOKUP(A48,[1]AVANCE!$A$6:$E$122,5,0))</f>
        <v>0</v>
      </c>
      <c r="AX48" s="38">
        <f>+AV48+AW48</f>
        <v>0</v>
      </c>
      <c r="AY48" s="57"/>
      <c r="AZ48" s="58">
        <f>+AO48+AN48+AU48+AX48+AY48</f>
        <v>1000.8533333333334</v>
      </c>
      <c r="BA48" s="38">
        <f>+AJ48-AZ48</f>
        <v>49041.813333333332</v>
      </c>
      <c r="BB48" s="42"/>
      <c r="BC48" s="43"/>
      <c r="BD48" s="59">
        <f t="shared" si="31"/>
        <v>49041.813333333332</v>
      </c>
      <c r="BE48" s="60">
        <f>IF(BD48-INT(BD48/100)*100&gt;0,INT(BD48/100)*100+100,INT(BD48/100)*100)</f>
        <v>49100</v>
      </c>
      <c r="BF48" s="61"/>
      <c r="BG48" s="61"/>
      <c r="BH48" s="62">
        <f>IF(BF48=0,0,I48/2)</f>
        <v>0</v>
      </c>
      <c r="BI48" s="62">
        <f>IF(BF48=0,0,+IF(BF48-J48&lt;30,J48-BF48,30))</f>
        <v>0</v>
      </c>
      <c r="BJ48" s="62">
        <f>+BI48*BH48/30</f>
        <v>0</v>
      </c>
      <c r="BK48" s="63">
        <f>+BD48+AX48+AY48</f>
        <v>49041.813333333332</v>
      </c>
      <c r="BL48" s="48">
        <f t="shared" si="18"/>
        <v>50042.666666666664</v>
      </c>
      <c r="BN48" s="49"/>
      <c r="BO48" s="49"/>
    </row>
    <row r="49" spans="1:67" s="18" customFormat="1" ht="27.75" customHeight="1">
      <c r="A49" s="50" t="s">
        <v>109</v>
      </c>
      <c r="B49" s="51" t="s">
        <v>284</v>
      </c>
      <c r="C49" s="52"/>
      <c r="D49" s="53" t="s">
        <v>224</v>
      </c>
      <c r="E49" s="54">
        <v>41694</v>
      </c>
      <c r="F49" s="25">
        <v>42359</v>
      </c>
      <c r="G49" s="54" t="s">
        <v>201</v>
      </c>
      <c r="H49" s="55" t="s">
        <v>183</v>
      </c>
      <c r="I49" s="29">
        <v>220000</v>
      </c>
      <c r="J49" s="28">
        <v>42369</v>
      </c>
      <c r="K49" s="29">
        <v>11</v>
      </c>
      <c r="L49" s="29">
        <f t="shared" ref="L49:L76" si="34">(IF(K49&lt;30,I49*(K49)/30,I49))</f>
        <v>80666.666666666672</v>
      </c>
      <c r="M49" s="56">
        <f>IF(ISNA(VLOOKUP(A49,[1]ABSENCE!$B$5:$AK$76,35,0))=TRUE,0,VLOOKUP(A49,[1]ABSENCE!$B$5:$AK$76,35,0))</f>
        <v>0</v>
      </c>
      <c r="N49" s="33">
        <f>IF(ISNA(VLOOKUP(A49,[1]ABSENCE!$B$5:$AK$76,36,0))=TRUE,0,VLOOKUP(A49,[1]ABSENCE!$B$5:$AK$76,36,0))</f>
        <v>0</v>
      </c>
      <c r="O49" s="31">
        <f>IF(ISNA(VLOOKUP($A49,[1]HS!$B$5:$T$122,3,0))=TRUE,0,VLOOKUP($A49,[1]HS!$B$5:$T$122,3,0))</f>
        <v>1269.255177984192</v>
      </c>
      <c r="P49" s="32"/>
      <c r="Q49" s="33"/>
      <c r="R49" s="32"/>
      <c r="S49" s="33"/>
      <c r="T49" s="32"/>
      <c r="U49" s="33"/>
      <c r="V49" s="32"/>
      <c r="W49" s="33"/>
      <c r="X49" s="32"/>
      <c r="Y49" s="33"/>
      <c r="Z49" s="34">
        <f t="shared" si="1"/>
        <v>0</v>
      </c>
      <c r="AA49" s="31">
        <f>+VLOOKUP(A49,[1]CONGE!$A$2:$W$113,20,0)</f>
        <v>0</v>
      </c>
      <c r="AB49" s="31">
        <f>+VLOOKUP(A49,[1]CONGE!$A$2:$W$113,21,0)</f>
        <v>0</v>
      </c>
      <c r="AC49" s="33">
        <f>IF(ISNA(VLOOKUP(A49,'[1]REPAS+DEPL'!$A$6:$M$1028,13,0))=TRUE,0,VLOOKUP(A49,'[1]REPAS+DEPL'!$A$6:$M$1028,13,0))</f>
        <v>0</v>
      </c>
      <c r="AD49" s="35"/>
      <c r="AE49" s="33">
        <f>IF(ISNA(VLOOKUP(A49,[1]Préavis!$A$2:$E$98,5,0))=TRUE,0,(VLOOKUP(A49,[1]Préavis!$A$2:$E$98,5,0)))</f>
        <v>0</v>
      </c>
      <c r="AF49" s="31">
        <f>+VLOOKUP(A49,[1]CONGE!$A$2:$V$112,18,0)</f>
        <v>0</v>
      </c>
      <c r="AG49" s="33">
        <f>IF(ISNA(VLOOKUP($A49,[1]CONGE!$A$2:$S$134,19,0))=TRUE,0,VLOOKUP($A49,[1]CONGE!$A$2:$S$134,19,0))</f>
        <v>0</v>
      </c>
      <c r="AH49" s="31">
        <f>+VLOOKUP(A49,[1]CONGE!$A$2:$W$113,22,0)</f>
        <v>0</v>
      </c>
      <c r="AI49" s="31">
        <f>+VLOOKUP(A49,[1]CONGE!$A$2:$W$113,23,0)</f>
        <v>0</v>
      </c>
      <c r="AJ49" s="36">
        <f t="shared" ref="AJ49:AJ76" si="35">+L49-N49+Z49+AC49+AG49+AD49+AE49+AB49+AI49</f>
        <v>80666.666666666672</v>
      </c>
      <c r="AK49" s="33">
        <f>IF(ISNA(VLOOKUP(A49,[1]AVANTAGE!$A$5:$T$118,19,0))=TRUE,0,VLOOKUP(A49,[1]AVANTAGE!$A$5:$T$118,19,0))</f>
        <v>0</v>
      </c>
      <c r="AL49" s="33">
        <f>IF(ISNA(VLOOKUP(A49,[1]AVANTAGE!$A$5:$T$118,20,0))=TRUE,0,VLOOKUP(A49,[1]AVANTAGE!$A$5:$T$118,20,0))</f>
        <v>0</v>
      </c>
      <c r="AM49" s="37">
        <f t="shared" ref="AM49:AM76" si="36">+AJ49+AL49</f>
        <v>80666.666666666672</v>
      </c>
      <c r="AN49" s="38">
        <f t="shared" si="4"/>
        <v>806.66666666666674</v>
      </c>
      <c r="AO49" s="33">
        <f t="shared" si="33"/>
        <v>806.66666666666674</v>
      </c>
      <c r="AP49" s="38"/>
      <c r="AQ49" s="38">
        <f t="shared" ref="AQ49:AQ76" si="37">+INT((AJ49+AL49-AO49-AN49-AP49)/100)*100</f>
        <v>79000</v>
      </c>
      <c r="AR49" s="39">
        <f t="shared" si="7"/>
        <v>0</v>
      </c>
      <c r="AS49" s="40">
        <f>VLOOKUP(A49,'[1]Liste personnel'!$B$3:$R$187,16,0)</f>
        <v>0</v>
      </c>
      <c r="AT49" s="38">
        <f t="shared" ref="AT49:AT76" si="38">+AS49*2000</f>
        <v>0</v>
      </c>
      <c r="AU49" s="38">
        <f t="shared" ref="AU49:AU76" si="39">+IF(AR49=0,0,IF(AR49-AT49&lt;200,200,AR49-AT49))</f>
        <v>0</v>
      </c>
      <c r="AV49" s="38">
        <f>IF(ISNA(VLOOKUP(A49,[1]AVANCE!$A$6:$E$122,4,0))=TRUE,0,VLOOKUP(A49,[1]AVANCE!$A$6:$E$122,4,0))</f>
        <v>0</v>
      </c>
      <c r="AW49" s="38">
        <f>IF(ISNA(VLOOKUP(A49,[1]AVANCE!$A$6:$E$122,5,0))=TRUE,0,VLOOKUP(A49,[1]AVANCE!$A$6:$E$122,5,0))</f>
        <v>0</v>
      </c>
      <c r="AX49" s="38">
        <f t="shared" ref="AX49:AX76" si="40">+AV49+AW49</f>
        <v>0</v>
      </c>
      <c r="AY49" s="57"/>
      <c r="AZ49" s="58">
        <f t="shared" ref="AZ49:AZ76" si="41">+AO49+AN49+AU49+AX49+AY49</f>
        <v>1613.3333333333335</v>
      </c>
      <c r="BA49" s="38">
        <f t="shared" ref="BA49:BA76" si="42">+AJ49-AZ49</f>
        <v>79053.333333333343</v>
      </c>
      <c r="BB49" s="42"/>
      <c r="BC49" s="43"/>
      <c r="BD49" s="59">
        <f t="shared" si="31"/>
        <v>79053.333333333343</v>
      </c>
      <c r="BE49" s="60">
        <f t="shared" ref="BE49:BE76" si="43">IF(BD49-INT(BD49/100)*100&gt;0,INT(BD49/100)*100+100,INT(BD49/100)*100)</f>
        <v>79100</v>
      </c>
      <c r="BF49" s="61"/>
      <c r="BG49" s="61"/>
      <c r="BH49" s="62">
        <f t="shared" ref="BH49:BH76" si="44">IF(BF49=0,0,I49/2)</f>
        <v>0</v>
      </c>
      <c r="BI49" s="62">
        <f t="shared" ref="BI49:BI76" si="45">IF(BF49=0,0,+IF(BF49-J49&lt;30,J49-BF49,30))</f>
        <v>0</v>
      </c>
      <c r="BJ49" s="62">
        <f t="shared" ref="BJ49:BJ76" si="46">+BI49*BH49/30</f>
        <v>0</v>
      </c>
      <c r="BK49" s="63">
        <f t="shared" ref="BK49:BK76" si="47">+BD49+AX49+AY49</f>
        <v>79053.333333333343</v>
      </c>
      <c r="BL49" s="48">
        <f t="shared" si="18"/>
        <v>80666.666666666672</v>
      </c>
      <c r="BN49" s="49"/>
      <c r="BO49" s="49"/>
    </row>
    <row r="50" spans="1:67" s="18" customFormat="1" ht="27.75" customHeight="1">
      <c r="A50" s="50" t="s">
        <v>110</v>
      </c>
      <c r="B50" s="51" t="s">
        <v>285</v>
      </c>
      <c r="C50" s="52"/>
      <c r="D50" s="53" t="s">
        <v>224</v>
      </c>
      <c r="E50" s="54">
        <v>41694</v>
      </c>
      <c r="F50" s="25">
        <v>42359</v>
      </c>
      <c r="G50" s="54" t="s">
        <v>215</v>
      </c>
      <c r="H50" s="55" t="s">
        <v>187</v>
      </c>
      <c r="I50" s="29">
        <v>136480</v>
      </c>
      <c r="J50" s="28">
        <v>42369</v>
      </c>
      <c r="K50" s="29">
        <v>11</v>
      </c>
      <c r="L50" s="29">
        <f t="shared" si="34"/>
        <v>50042.666666666664</v>
      </c>
      <c r="M50" s="56">
        <f>IF(ISNA(VLOOKUP(A50,[1]ABSENCE!$B$5:$AK$76,35,0))=TRUE,0,VLOOKUP(A50,[1]ABSENCE!$B$5:$AK$76,35,0))</f>
        <v>0</v>
      </c>
      <c r="N50" s="33">
        <f>IF(ISNA(VLOOKUP(A50,[1]ABSENCE!$B$5:$AK$76,36,0))=TRUE,0,VLOOKUP(A50,[1]ABSENCE!$B$5:$AK$76,36,0))</f>
        <v>0</v>
      </c>
      <c r="O50" s="31">
        <f>IF(ISNA(VLOOKUP($A50,[1]HS!$B$5:$T$122,3,0))=TRUE,0,VLOOKUP($A50,[1]HS!$B$5:$T$122,3,0))</f>
        <v>787.39975768764782</v>
      </c>
      <c r="P50" s="32"/>
      <c r="Q50" s="33"/>
      <c r="R50" s="32"/>
      <c r="S50" s="33"/>
      <c r="T50" s="32"/>
      <c r="U50" s="33"/>
      <c r="V50" s="32"/>
      <c r="W50" s="33"/>
      <c r="X50" s="32"/>
      <c r="Y50" s="33"/>
      <c r="Z50" s="34">
        <f t="shared" si="1"/>
        <v>0</v>
      </c>
      <c r="AA50" s="31">
        <f>+VLOOKUP(A50,[1]CONGE!$A$2:$W$113,20,0)</f>
        <v>0</v>
      </c>
      <c r="AB50" s="31">
        <f>+VLOOKUP(A50,[1]CONGE!$A$2:$W$113,21,0)</f>
        <v>0</v>
      </c>
      <c r="AC50" s="33">
        <f>IF(ISNA(VLOOKUP(A50,'[1]REPAS+DEPL'!$A$6:$M$1028,13,0))=TRUE,0,VLOOKUP(A50,'[1]REPAS+DEPL'!$A$6:$M$1028,13,0))</f>
        <v>0</v>
      </c>
      <c r="AD50" s="35"/>
      <c r="AE50" s="33">
        <f>IF(ISNA(VLOOKUP(A50,[1]Préavis!$A$2:$E$98,5,0))=TRUE,0,(VLOOKUP(A50,[1]Préavis!$A$2:$E$98,5,0)))</f>
        <v>0</v>
      </c>
      <c r="AF50" s="31">
        <f>+VLOOKUP(A50,[1]CONGE!$A$2:$V$112,18,0)</f>
        <v>0</v>
      </c>
      <c r="AG50" s="33">
        <f>IF(ISNA(VLOOKUP($A50,[1]CONGE!$A$2:$S$134,19,0))=TRUE,0,VLOOKUP($A50,[1]CONGE!$A$2:$S$134,19,0))</f>
        <v>0</v>
      </c>
      <c r="AH50" s="31">
        <f>+VLOOKUP(A50,[1]CONGE!$A$2:$W$113,22,0)</f>
        <v>0</v>
      </c>
      <c r="AI50" s="31">
        <f>+VLOOKUP(A50,[1]CONGE!$A$2:$W$113,23,0)</f>
        <v>0</v>
      </c>
      <c r="AJ50" s="36">
        <f t="shared" si="35"/>
        <v>50042.666666666664</v>
      </c>
      <c r="AK50" s="33">
        <f>IF(ISNA(VLOOKUP(A50,[1]AVANTAGE!$A$5:$T$118,19,0))=TRUE,0,VLOOKUP(A50,[1]AVANTAGE!$A$5:$T$118,19,0))</f>
        <v>0</v>
      </c>
      <c r="AL50" s="33">
        <f>IF(ISNA(VLOOKUP(A50,[1]AVANTAGE!$A$5:$T$118,20,0))=TRUE,0,VLOOKUP(A50,[1]AVANTAGE!$A$5:$T$118,20,0))</f>
        <v>0</v>
      </c>
      <c r="AM50" s="37">
        <f t="shared" si="36"/>
        <v>50042.666666666664</v>
      </c>
      <c r="AN50" s="38">
        <f t="shared" si="4"/>
        <v>500.42666666666668</v>
      </c>
      <c r="AO50" s="33">
        <f t="shared" si="33"/>
        <v>500.42666666666668</v>
      </c>
      <c r="AP50" s="38"/>
      <c r="AQ50" s="38">
        <f t="shared" si="37"/>
        <v>49000</v>
      </c>
      <c r="AR50" s="39">
        <f t="shared" si="7"/>
        <v>0</v>
      </c>
      <c r="AS50" s="40">
        <f>VLOOKUP(A50,'[1]Liste personnel'!$B$3:$R$187,16,0)</f>
        <v>0</v>
      </c>
      <c r="AT50" s="38">
        <f t="shared" si="38"/>
        <v>0</v>
      </c>
      <c r="AU50" s="38">
        <f t="shared" si="39"/>
        <v>0</v>
      </c>
      <c r="AV50" s="38">
        <f>IF(ISNA(VLOOKUP(A50,[1]AVANCE!$A$6:$E$122,4,0))=TRUE,0,VLOOKUP(A50,[1]AVANCE!$A$6:$E$122,4,0))</f>
        <v>0</v>
      </c>
      <c r="AW50" s="38">
        <f>IF(ISNA(VLOOKUP(A50,[1]AVANCE!$A$6:$E$122,5,0))=TRUE,0,VLOOKUP(A50,[1]AVANCE!$A$6:$E$122,5,0))</f>
        <v>0</v>
      </c>
      <c r="AX50" s="38">
        <f t="shared" si="40"/>
        <v>0</v>
      </c>
      <c r="AY50" s="57"/>
      <c r="AZ50" s="58">
        <f t="shared" si="41"/>
        <v>1000.8533333333334</v>
      </c>
      <c r="BA50" s="38">
        <f t="shared" si="42"/>
        <v>49041.813333333332</v>
      </c>
      <c r="BB50" s="42"/>
      <c r="BC50" s="43"/>
      <c r="BD50" s="59">
        <f t="shared" si="31"/>
        <v>49041.813333333332</v>
      </c>
      <c r="BE50" s="60">
        <f t="shared" si="43"/>
        <v>49100</v>
      </c>
      <c r="BF50" s="61"/>
      <c r="BG50" s="61"/>
      <c r="BH50" s="62">
        <f t="shared" si="44"/>
        <v>0</v>
      </c>
      <c r="BI50" s="62">
        <f t="shared" si="45"/>
        <v>0</v>
      </c>
      <c r="BJ50" s="62">
        <f t="shared" si="46"/>
        <v>0</v>
      </c>
      <c r="BK50" s="63">
        <f t="shared" si="47"/>
        <v>49041.813333333332</v>
      </c>
      <c r="BL50" s="48">
        <f t="shared" si="18"/>
        <v>50042.666666666664</v>
      </c>
      <c r="BN50" s="49"/>
      <c r="BO50" s="49"/>
    </row>
    <row r="51" spans="1:67" s="18" customFormat="1" ht="27.75" customHeight="1">
      <c r="A51" s="50" t="s">
        <v>111</v>
      </c>
      <c r="B51" s="51" t="s">
        <v>286</v>
      </c>
      <c r="C51" s="52"/>
      <c r="D51" s="53" t="s">
        <v>287</v>
      </c>
      <c r="E51" s="54">
        <v>41710</v>
      </c>
      <c r="F51" s="25">
        <v>42359</v>
      </c>
      <c r="G51" s="54" t="s">
        <v>215</v>
      </c>
      <c r="H51" s="55" t="s">
        <v>187</v>
      </c>
      <c r="I51" s="29">
        <v>136480</v>
      </c>
      <c r="J51" s="28">
        <v>42369</v>
      </c>
      <c r="K51" s="29">
        <v>11</v>
      </c>
      <c r="L51" s="29">
        <f t="shared" si="34"/>
        <v>50042.666666666664</v>
      </c>
      <c r="M51" s="56">
        <f>IF(ISNA(VLOOKUP(A51,[1]ABSENCE!$B$5:$AK$76,35,0))=TRUE,0,VLOOKUP(A51,[1]ABSENCE!$B$5:$AK$76,35,0))</f>
        <v>0</v>
      </c>
      <c r="N51" s="33">
        <f>IF(ISNA(VLOOKUP(A51,[1]ABSENCE!$B$5:$AK$76,36,0))=TRUE,0,VLOOKUP(A51,[1]ABSENCE!$B$5:$AK$76,36,0))</f>
        <v>0</v>
      </c>
      <c r="O51" s="31">
        <f>IF(ISNA(VLOOKUP($A51,[1]HS!$B$5:$T$122,3,0))=TRUE,0,VLOOKUP($A51,[1]HS!$B$5:$T$122,3,0))</f>
        <v>787.39975768764782</v>
      </c>
      <c r="P51" s="32"/>
      <c r="Q51" s="33"/>
      <c r="R51" s="32"/>
      <c r="S51" s="33"/>
      <c r="T51" s="32"/>
      <c r="U51" s="33"/>
      <c r="V51" s="32"/>
      <c r="W51" s="33"/>
      <c r="X51" s="32"/>
      <c r="Y51" s="33"/>
      <c r="Z51" s="34">
        <f t="shared" si="1"/>
        <v>0</v>
      </c>
      <c r="AA51" s="31">
        <f>+VLOOKUP(A51,[1]CONGE!$A$2:$W$113,20,0)</f>
        <v>0</v>
      </c>
      <c r="AB51" s="31">
        <f>+VLOOKUP(A51,[1]CONGE!$A$2:$W$113,21,0)</f>
        <v>0</v>
      </c>
      <c r="AC51" s="33">
        <f>IF(ISNA(VLOOKUP(A51,'[1]REPAS+DEPL'!$A$6:$M$1028,13,0))=TRUE,0,VLOOKUP(A51,'[1]REPAS+DEPL'!$A$6:$M$1028,13,0))</f>
        <v>0</v>
      </c>
      <c r="AD51" s="35"/>
      <c r="AE51" s="33">
        <f>IF(ISNA(VLOOKUP(A51,[1]Préavis!$A$2:$E$98,5,0))=TRUE,0,(VLOOKUP(A51,[1]Préavis!$A$2:$E$98,5,0)))</f>
        <v>0</v>
      </c>
      <c r="AF51" s="31">
        <f>+VLOOKUP(A51,[1]CONGE!$A$2:$V$112,18,0)</f>
        <v>0</v>
      </c>
      <c r="AG51" s="33">
        <f>IF(ISNA(VLOOKUP($A51,[1]CONGE!$A$2:$S$134,19,0))=TRUE,0,VLOOKUP($A51,[1]CONGE!$A$2:$S$134,19,0))</f>
        <v>0</v>
      </c>
      <c r="AH51" s="31">
        <f>+VLOOKUP(A51,[1]CONGE!$A$2:$W$113,22,0)</f>
        <v>0</v>
      </c>
      <c r="AI51" s="31">
        <f>+VLOOKUP(A51,[1]CONGE!$A$2:$W$113,23,0)</f>
        <v>0</v>
      </c>
      <c r="AJ51" s="36">
        <f t="shared" si="35"/>
        <v>50042.666666666664</v>
      </c>
      <c r="AK51" s="33">
        <f>IF(ISNA(VLOOKUP(A51,[1]AVANTAGE!$A$5:$T$118,19,0))=TRUE,0,VLOOKUP(A51,[1]AVANTAGE!$A$5:$T$118,19,0))</f>
        <v>0</v>
      </c>
      <c r="AL51" s="33">
        <f>IF(ISNA(VLOOKUP(A51,[1]AVANTAGE!$A$5:$T$118,20,0))=TRUE,0,VLOOKUP(A51,[1]AVANTAGE!$A$5:$T$118,20,0))</f>
        <v>0</v>
      </c>
      <c r="AM51" s="37">
        <f t="shared" si="36"/>
        <v>50042.666666666664</v>
      </c>
      <c r="AN51" s="38">
        <f t="shared" si="4"/>
        <v>500.42666666666668</v>
      </c>
      <c r="AO51" s="33">
        <f t="shared" si="33"/>
        <v>500.42666666666668</v>
      </c>
      <c r="AP51" s="38"/>
      <c r="AQ51" s="38">
        <f t="shared" si="37"/>
        <v>49000</v>
      </c>
      <c r="AR51" s="39">
        <f t="shared" si="7"/>
        <v>0</v>
      </c>
      <c r="AS51" s="40">
        <f>VLOOKUP(A51,'[1]Liste personnel'!$B$3:$R$187,16,0)</f>
        <v>0</v>
      </c>
      <c r="AT51" s="38">
        <f t="shared" si="38"/>
        <v>0</v>
      </c>
      <c r="AU51" s="38">
        <f t="shared" si="39"/>
        <v>0</v>
      </c>
      <c r="AV51" s="38">
        <f>IF(ISNA(VLOOKUP(A51,[1]AVANCE!$A$6:$E$122,4,0))=TRUE,0,VLOOKUP(A51,[1]AVANCE!$A$6:$E$122,4,0))</f>
        <v>0</v>
      </c>
      <c r="AW51" s="38">
        <f>IF(ISNA(VLOOKUP(A51,[1]AVANCE!$A$6:$E$122,5,0))=TRUE,0,VLOOKUP(A51,[1]AVANCE!$A$6:$E$122,5,0))</f>
        <v>0</v>
      </c>
      <c r="AX51" s="38">
        <f t="shared" si="40"/>
        <v>0</v>
      </c>
      <c r="AY51" s="57"/>
      <c r="AZ51" s="58">
        <f t="shared" si="41"/>
        <v>1000.8533333333334</v>
      </c>
      <c r="BA51" s="38">
        <f t="shared" si="42"/>
        <v>49041.813333333332</v>
      </c>
      <c r="BB51" s="42"/>
      <c r="BC51" s="43"/>
      <c r="BD51" s="59">
        <f t="shared" si="31"/>
        <v>49041.813333333332</v>
      </c>
      <c r="BE51" s="60">
        <f t="shared" si="43"/>
        <v>49100</v>
      </c>
      <c r="BF51" s="61"/>
      <c r="BG51" s="61"/>
      <c r="BH51" s="62">
        <f t="shared" si="44"/>
        <v>0</v>
      </c>
      <c r="BI51" s="62">
        <f t="shared" si="45"/>
        <v>0</v>
      </c>
      <c r="BJ51" s="62">
        <f t="shared" si="46"/>
        <v>0</v>
      </c>
      <c r="BK51" s="63">
        <f t="shared" si="47"/>
        <v>49041.813333333332</v>
      </c>
      <c r="BL51" s="48">
        <f t="shared" si="18"/>
        <v>50042.666666666664</v>
      </c>
      <c r="BN51" s="49"/>
      <c r="BO51" s="49"/>
    </row>
    <row r="52" spans="1:67" s="18" customFormat="1" ht="27.75" customHeight="1">
      <c r="A52" s="50" t="s">
        <v>112</v>
      </c>
      <c r="B52" s="51" t="s">
        <v>288</v>
      </c>
      <c r="C52" s="52"/>
      <c r="D52" s="53" t="s">
        <v>224</v>
      </c>
      <c r="E52" s="54">
        <v>41716</v>
      </c>
      <c r="F52" s="25">
        <v>42359</v>
      </c>
      <c r="G52" s="54" t="s">
        <v>201</v>
      </c>
      <c r="H52" s="55" t="s">
        <v>183</v>
      </c>
      <c r="I52" s="29">
        <v>220000</v>
      </c>
      <c r="J52" s="28">
        <v>42369</v>
      </c>
      <c r="K52" s="29">
        <v>11</v>
      </c>
      <c r="L52" s="29">
        <f t="shared" si="34"/>
        <v>80666.666666666672</v>
      </c>
      <c r="M52" s="56">
        <f>IF(ISNA(VLOOKUP(A52,[1]ABSENCE!$B$5:$AK$76,35,0))=TRUE,0,VLOOKUP(A52,[1]ABSENCE!$B$5:$AK$76,35,0))</f>
        <v>0</v>
      </c>
      <c r="N52" s="33">
        <f>IF(ISNA(VLOOKUP(A52,[1]ABSENCE!$B$5:$AK$76,36,0))=TRUE,0,VLOOKUP(A52,[1]ABSENCE!$B$5:$AK$76,36,0))</f>
        <v>0</v>
      </c>
      <c r="O52" s="31">
        <f>IF(ISNA(VLOOKUP($A52,[1]HS!$B$5:$T$122,3,0))=TRUE,0,VLOOKUP($A52,[1]HS!$B$5:$T$122,3,0))</f>
        <v>1269.255177984192</v>
      </c>
      <c r="P52" s="32"/>
      <c r="Q52" s="33"/>
      <c r="R52" s="32"/>
      <c r="S52" s="33"/>
      <c r="T52" s="32"/>
      <c r="U52" s="33"/>
      <c r="V52" s="32"/>
      <c r="W52" s="33"/>
      <c r="X52" s="32"/>
      <c r="Y52" s="33"/>
      <c r="Z52" s="34">
        <f t="shared" si="1"/>
        <v>0</v>
      </c>
      <c r="AA52" s="31">
        <f>+VLOOKUP(A52,[1]CONGE!$A$2:$W$113,20,0)</f>
        <v>0</v>
      </c>
      <c r="AB52" s="31">
        <f>+VLOOKUP(A52,[1]CONGE!$A$2:$W$113,21,0)</f>
        <v>0</v>
      </c>
      <c r="AC52" s="33">
        <f>IF(ISNA(VLOOKUP(A52,'[1]REPAS+DEPL'!$A$6:$M$1028,13,0))=TRUE,0,VLOOKUP(A52,'[1]REPAS+DEPL'!$A$6:$M$1028,13,0))</f>
        <v>0</v>
      </c>
      <c r="AD52" s="35"/>
      <c r="AE52" s="33">
        <f>IF(ISNA(VLOOKUP(A52,[1]Préavis!$A$2:$E$98,5,0))=TRUE,0,(VLOOKUP(A52,[1]Préavis!$A$2:$E$98,5,0)))</f>
        <v>0</v>
      </c>
      <c r="AF52" s="31">
        <f>+VLOOKUP(A52,[1]CONGE!$A$2:$V$112,18,0)</f>
        <v>0</v>
      </c>
      <c r="AG52" s="33">
        <f>IF(ISNA(VLOOKUP($A52,[1]CONGE!$A$2:$S$134,19,0))=TRUE,0,VLOOKUP($A52,[1]CONGE!$A$2:$S$134,19,0))</f>
        <v>0</v>
      </c>
      <c r="AH52" s="31">
        <f>+VLOOKUP(A52,[1]CONGE!$A$2:$W$113,22,0)</f>
        <v>0</v>
      </c>
      <c r="AI52" s="31">
        <f>+VLOOKUP(A52,[1]CONGE!$A$2:$W$113,23,0)</f>
        <v>0</v>
      </c>
      <c r="AJ52" s="36">
        <f t="shared" si="35"/>
        <v>80666.666666666672</v>
      </c>
      <c r="AK52" s="33">
        <f>IF(ISNA(VLOOKUP(A52,[1]AVANTAGE!$A$5:$T$118,19,0))=TRUE,0,VLOOKUP(A52,[1]AVANTAGE!$A$5:$T$118,19,0))</f>
        <v>0</v>
      </c>
      <c r="AL52" s="33">
        <f>IF(ISNA(VLOOKUP(A52,[1]AVANTAGE!$A$5:$T$118,20,0))=TRUE,0,VLOOKUP(A52,[1]AVANTAGE!$A$5:$T$118,20,0))</f>
        <v>0</v>
      </c>
      <c r="AM52" s="37">
        <f t="shared" si="36"/>
        <v>80666.666666666672</v>
      </c>
      <c r="AN52" s="38">
        <f t="shared" si="4"/>
        <v>806.66666666666674</v>
      </c>
      <c r="AO52" s="33">
        <f t="shared" si="33"/>
        <v>806.66666666666674</v>
      </c>
      <c r="AP52" s="38"/>
      <c r="AQ52" s="38">
        <f t="shared" si="37"/>
        <v>79000</v>
      </c>
      <c r="AR52" s="39">
        <f t="shared" si="7"/>
        <v>0</v>
      </c>
      <c r="AS52" s="40">
        <f>VLOOKUP(A52,'[1]Liste personnel'!$B$3:$R$187,16,0)</f>
        <v>0</v>
      </c>
      <c r="AT52" s="38">
        <f t="shared" si="38"/>
        <v>0</v>
      </c>
      <c r="AU52" s="38">
        <f t="shared" si="39"/>
        <v>0</v>
      </c>
      <c r="AV52" s="38">
        <f>IF(ISNA(VLOOKUP(A52,[1]AVANCE!$A$6:$E$122,4,0))=TRUE,0,VLOOKUP(A52,[1]AVANCE!$A$6:$E$122,4,0))</f>
        <v>0</v>
      </c>
      <c r="AW52" s="38">
        <f>IF(ISNA(VLOOKUP(A52,[1]AVANCE!$A$6:$E$122,5,0))=TRUE,0,VLOOKUP(A52,[1]AVANCE!$A$6:$E$122,5,0))</f>
        <v>0</v>
      </c>
      <c r="AX52" s="38">
        <f t="shared" si="40"/>
        <v>0</v>
      </c>
      <c r="AY52" s="57"/>
      <c r="AZ52" s="58">
        <f t="shared" si="41"/>
        <v>1613.3333333333335</v>
      </c>
      <c r="BA52" s="38">
        <f t="shared" si="42"/>
        <v>79053.333333333343</v>
      </c>
      <c r="BB52" s="42"/>
      <c r="BC52" s="43"/>
      <c r="BD52" s="59">
        <f t="shared" si="31"/>
        <v>79053.333333333343</v>
      </c>
      <c r="BE52" s="60">
        <f t="shared" si="43"/>
        <v>79100</v>
      </c>
      <c r="BF52" s="61"/>
      <c r="BG52" s="61"/>
      <c r="BH52" s="62">
        <f t="shared" si="44"/>
        <v>0</v>
      </c>
      <c r="BI52" s="62">
        <f t="shared" si="45"/>
        <v>0</v>
      </c>
      <c r="BJ52" s="62">
        <f t="shared" si="46"/>
        <v>0</v>
      </c>
      <c r="BK52" s="63">
        <f t="shared" si="47"/>
        <v>79053.333333333343</v>
      </c>
      <c r="BL52" s="48">
        <f t="shared" si="18"/>
        <v>80666.666666666672</v>
      </c>
      <c r="BN52" s="49"/>
      <c r="BO52" s="49"/>
    </row>
    <row r="53" spans="1:67" s="18" customFormat="1" ht="27" customHeight="1">
      <c r="A53" s="50" t="s">
        <v>113</v>
      </c>
      <c r="B53" s="51" t="s">
        <v>289</v>
      </c>
      <c r="C53" s="52"/>
      <c r="D53" s="53" t="s">
        <v>290</v>
      </c>
      <c r="E53" s="54">
        <v>41719</v>
      </c>
      <c r="F53" s="25">
        <v>42359</v>
      </c>
      <c r="G53" s="54" t="s">
        <v>215</v>
      </c>
      <c r="H53" s="55" t="s">
        <v>187</v>
      </c>
      <c r="I53" s="29">
        <v>136480</v>
      </c>
      <c r="J53" s="28">
        <v>42369</v>
      </c>
      <c r="K53" s="29">
        <v>11</v>
      </c>
      <c r="L53" s="29">
        <f t="shared" si="34"/>
        <v>50042.666666666664</v>
      </c>
      <c r="M53" s="56">
        <f>IF(ISNA(VLOOKUP(A53,[1]ABSENCE!$B$5:$AK$76,35,0))=TRUE,0,VLOOKUP(A53,[1]ABSENCE!$B$5:$AK$76,35,0))</f>
        <v>0</v>
      </c>
      <c r="N53" s="33">
        <f>IF(ISNA(VLOOKUP(A53,[1]ABSENCE!$B$5:$AK$76,36,0))=TRUE,0,VLOOKUP(A53,[1]ABSENCE!$B$5:$AK$76,36,0))</f>
        <v>0</v>
      </c>
      <c r="O53" s="31">
        <f>IF(ISNA(VLOOKUP($A53,[1]HS!$B$5:$T$122,3,0))=TRUE,0,VLOOKUP($A53,[1]HS!$B$5:$T$122,3,0))</f>
        <v>787.39975768764782</v>
      </c>
      <c r="P53" s="32"/>
      <c r="Q53" s="33"/>
      <c r="R53" s="32"/>
      <c r="S53" s="33"/>
      <c r="T53" s="32"/>
      <c r="U53" s="33"/>
      <c r="V53" s="32"/>
      <c r="W53" s="33"/>
      <c r="X53" s="32"/>
      <c r="Y53" s="33"/>
      <c r="Z53" s="34">
        <f t="shared" si="1"/>
        <v>0</v>
      </c>
      <c r="AA53" s="31">
        <f>+VLOOKUP(A53,[1]CONGE!$A$2:$W$113,20,0)</f>
        <v>0</v>
      </c>
      <c r="AB53" s="31">
        <f>+VLOOKUP(A53,[1]CONGE!$A$2:$W$113,21,0)</f>
        <v>0</v>
      </c>
      <c r="AC53" s="33">
        <f>IF(ISNA(VLOOKUP(A53,'[1]REPAS+DEPL'!$A$6:$M$1028,13,0))=TRUE,0,VLOOKUP(A53,'[1]REPAS+DEPL'!$A$6:$M$1028,13,0))</f>
        <v>0</v>
      </c>
      <c r="AD53" s="35"/>
      <c r="AE53" s="33">
        <f>IF(ISNA(VLOOKUP(A53,[1]Préavis!$A$2:$E$98,5,0))=TRUE,0,(VLOOKUP(A53,[1]Préavis!$A$2:$E$98,5,0)))</f>
        <v>0</v>
      </c>
      <c r="AF53" s="31">
        <f>+VLOOKUP(A53,[1]CONGE!$A$2:$V$112,18,0)</f>
        <v>0</v>
      </c>
      <c r="AG53" s="33">
        <f>IF(ISNA(VLOOKUP($A53,[1]CONGE!$A$2:$S$134,19,0))=TRUE,0,VLOOKUP($A53,[1]CONGE!$A$2:$S$134,19,0))</f>
        <v>0</v>
      </c>
      <c r="AH53" s="31">
        <f>+VLOOKUP(A53,[1]CONGE!$A$2:$W$113,22,0)</f>
        <v>0</v>
      </c>
      <c r="AI53" s="31">
        <f>+VLOOKUP(A53,[1]CONGE!$A$2:$W$113,23,0)</f>
        <v>0</v>
      </c>
      <c r="AJ53" s="36">
        <f t="shared" si="35"/>
        <v>50042.666666666664</v>
      </c>
      <c r="AK53" s="33">
        <f>IF(ISNA(VLOOKUP(A53,[1]AVANTAGE!$A$5:$T$118,19,0))=TRUE,0,VLOOKUP(A53,[1]AVANTAGE!$A$5:$T$118,19,0))</f>
        <v>0</v>
      </c>
      <c r="AL53" s="33">
        <f>IF(ISNA(VLOOKUP(A53,[1]AVANTAGE!$A$5:$T$118,20,0))=TRUE,0,VLOOKUP(A53,[1]AVANTAGE!$A$5:$T$118,20,0))</f>
        <v>0</v>
      </c>
      <c r="AM53" s="37">
        <f t="shared" si="36"/>
        <v>50042.666666666664</v>
      </c>
      <c r="AN53" s="38">
        <f t="shared" si="4"/>
        <v>500.42666666666668</v>
      </c>
      <c r="AO53" s="33">
        <f t="shared" si="33"/>
        <v>500.42666666666668</v>
      </c>
      <c r="AP53" s="38"/>
      <c r="AQ53" s="38">
        <f t="shared" si="37"/>
        <v>49000</v>
      </c>
      <c r="AR53" s="39">
        <f t="shared" si="7"/>
        <v>0</v>
      </c>
      <c r="AS53" s="40">
        <f>VLOOKUP(A53,'[1]Liste personnel'!$B$3:$R$187,16,0)</f>
        <v>0</v>
      </c>
      <c r="AT53" s="38">
        <f t="shared" si="38"/>
        <v>0</v>
      </c>
      <c r="AU53" s="38">
        <f t="shared" si="39"/>
        <v>0</v>
      </c>
      <c r="AV53" s="38">
        <f>IF(ISNA(VLOOKUP(A53,[1]AVANCE!$A$6:$E$122,4,0))=TRUE,0,VLOOKUP(A53,[1]AVANCE!$A$6:$E$122,4,0))</f>
        <v>0</v>
      </c>
      <c r="AW53" s="38">
        <f>IF(ISNA(VLOOKUP(A53,[1]AVANCE!$A$6:$E$122,5,0))=TRUE,0,VLOOKUP(A53,[1]AVANCE!$A$6:$E$122,5,0))</f>
        <v>0</v>
      </c>
      <c r="AX53" s="38">
        <f t="shared" si="40"/>
        <v>0</v>
      </c>
      <c r="AY53" s="57"/>
      <c r="AZ53" s="58">
        <f t="shared" si="41"/>
        <v>1000.8533333333334</v>
      </c>
      <c r="BA53" s="38">
        <f t="shared" si="42"/>
        <v>49041.813333333332</v>
      </c>
      <c r="BB53" s="42"/>
      <c r="BC53" s="43"/>
      <c r="BD53" s="59">
        <f t="shared" si="31"/>
        <v>49041.813333333332</v>
      </c>
      <c r="BE53" s="60">
        <f t="shared" si="43"/>
        <v>49100</v>
      </c>
      <c r="BF53" s="61"/>
      <c r="BG53" s="61"/>
      <c r="BH53" s="62">
        <f t="shared" si="44"/>
        <v>0</v>
      </c>
      <c r="BI53" s="62">
        <f t="shared" si="45"/>
        <v>0</v>
      </c>
      <c r="BJ53" s="62">
        <f t="shared" si="46"/>
        <v>0</v>
      </c>
      <c r="BK53" s="63">
        <f t="shared" si="47"/>
        <v>49041.813333333332</v>
      </c>
      <c r="BL53" s="48">
        <f t="shared" si="18"/>
        <v>50042.666666666664</v>
      </c>
      <c r="BN53" s="49"/>
      <c r="BO53" s="49"/>
    </row>
    <row r="54" spans="1:67" s="18" customFormat="1" ht="27" customHeight="1">
      <c r="A54" s="50" t="s">
        <v>114</v>
      </c>
      <c r="B54" s="51" t="s">
        <v>291</v>
      </c>
      <c r="C54" s="52"/>
      <c r="D54" s="53" t="s">
        <v>290</v>
      </c>
      <c r="E54" s="54">
        <v>41719</v>
      </c>
      <c r="F54" s="25">
        <v>42359</v>
      </c>
      <c r="G54" s="54" t="s">
        <v>215</v>
      </c>
      <c r="H54" s="55" t="s">
        <v>187</v>
      </c>
      <c r="I54" s="29">
        <v>136480</v>
      </c>
      <c r="J54" s="28">
        <v>42369</v>
      </c>
      <c r="K54" s="29">
        <v>11</v>
      </c>
      <c r="L54" s="29">
        <f t="shared" si="34"/>
        <v>50042.666666666664</v>
      </c>
      <c r="M54" s="56">
        <f>IF(ISNA(VLOOKUP(A54,[1]ABSENCE!$B$5:$AK$76,35,0))=TRUE,0,VLOOKUP(A54,[1]ABSENCE!$B$5:$AK$76,35,0))</f>
        <v>0</v>
      </c>
      <c r="N54" s="33">
        <f>IF(ISNA(VLOOKUP(A54,[1]ABSENCE!$B$5:$AK$76,36,0))=TRUE,0,VLOOKUP(A54,[1]ABSENCE!$B$5:$AK$76,36,0))</f>
        <v>0</v>
      </c>
      <c r="O54" s="31">
        <f>IF(ISNA(VLOOKUP($A54,[1]HS!$B$5:$T$122,3,0))=TRUE,0,VLOOKUP($A54,[1]HS!$B$5:$T$122,3,0))</f>
        <v>787.39975768764782</v>
      </c>
      <c r="P54" s="32"/>
      <c r="Q54" s="33"/>
      <c r="R54" s="32"/>
      <c r="S54" s="33"/>
      <c r="T54" s="32"/>
      <c r="U54" s="33"/>
      <c r="V54" s="32"/>
      <c r="W54" s="33"/>
      <c r="X54" s="32"/>
      <c r="Y54" s="33"/>
      <c r="Z54" s="34">
        <f t="shared" si="1"/>
        <v>0</v>
      </c>
      <c r="AA54" s="31">
        <f>+VLOOKUP(A54,[1]CONGE!$A$2:$W$113,20,0)</f>
        <v>0</v>
      </c>
      <c r="AB54" s="31">
        <f>+VLOOKUP(A54,[1]CONGE!$A$2:$W$113,21,0)</f>
        <v>0</v>
      </c>
      <c r="AC54" s="33">
        <f>IF(ISNA(VLOOKUP(A54,'[1]REPAS+DEPL'!$A$6:$M$1028,13,0))=TRUE,0,VLOOKUP(A54,'[1]REPAS+DEPL'!$A$6:$M$1028,13,0))</f>
        <v>0</v>
      </c>
      <c r="AD54" s="35"/>
      <c r="AE54" s="33">
        <f>IF(ISNA(VLOOKUP(A54,[1]Préavis!$A$2:$E$98,5,0))=TRUE,0,(VLOOKUP(A54,[1]Préavis!$A$2:$E$98,5,0)))</f>
        <v>0</v>
      </c>
      <c r="AF54" s="31">
        <f>+VLOOKUP(A54,[1]CONGE!$A$2:$V$112,18,0)</f>
        <v>0</v>
      </c>
      <c r="AG54" s="33">
        <f>IF(ISNA(VLOOKUP($A54,[1]CONGE!$A$2:$S$134,19,0))=TRUE,0,VLOOKUP($A54,[1]CONGE!$A$2:$S$134,19,0))</f>
        <v>0</v>
      </c>
      <c r="AH54" s="31">
        <f>+VLOOKUP(A54,[1]CONGE!$A$2:$W$113,22,0)</f>
        <v>0</v>
      </c>
      <c r="AI54" s="31">
        <f>+VLOOKUP(A54,[1]CONGE!$A$2:$W$113,23,0)</f>
        <v>0</v>
      </c>
      <c r="AJ54" s="36">
        <f t="shared" si="35"/>
        <v>50042.666666666664</v>
      </c>
      <c r="AK54" s="33">
        <f>IF(ISNA(VLOOKUP(A54,[1]AVANTAGE!$A$5:$T$118,19,0))=TRUE,0,VLOOKUP(A54,[1]AVANTAGE!$A$5:$T$118,19,0))</f>
        <v>0</v>
      </c>
      <c r="AL54" s="33">
        <f>IF(ISNA(VLOOKUP(A54,[1]AVANTAGE!$A$5:$T$118,20,0))=TRUE,0,VLOOKUP(A54,[1]AVANTAGE!$A$5:$T$118,20,0))</f>
        <v>0</v>
      </c>
      <c r="AM54" s="37">
        <f t="shared" si="36"/>
        <v>50042.666666666664</v>
      </c>
      <c r="AN54" s="38">
        <f t="shared" si="4"/>
        <v>500.42666666666668</v>
      </c>
      <c r="AO54" s="33">
        <f t="shared" si="33"/>
        <v>500.42666666666668</v>
      </c>
      <c r="AP54" s="38"/>
      <c r="AQ54" s="38">
        <f t="shared" si="37"/>
        <v>49000</v>
      </c>
      <c r="AR54" s="39">
        <f t="shared" si="7"/>
        <v>0</v>
      </c>
      <c r="AS54" s="40">
        <f>VLOOKUP(A54,'[1]Liste personnel'!$B$3:$R$187,16,0)</f>
        <v>0</v>
      </c>
      <c r="AT54" s="38">
        <f t="shared" si="38"/>
        <v>0</v>
      </c>
      <c r="AU54" s="38">
        <f t="shared" si="39"/>
        <v>0</v>
      </c>
      <c r="AV54" s="38">
        <f>IF(ISNA(VLOOKUP(A54,[1]AVANCE!$A$6:$E$122,4,0))=TRUE,0,VLOOKUP(A54,[1]AVANCE!$A$6:$E$122,4,0))</f>
        <v>0</v>
      </c>
      <c r="AW54" s="38">
        <f>IF(ISNA(VLOOKUP(A54,[1]AVANCE!$A$6:$E$122,5,0))=TRUE,0,VLOOKUP(A54,[1]AVANCE!$A$6:$E$122,5,0))</f>
        <v>0</v>
      </c>
      <c r="AX54" s="38">
        <f t="shared" si="40"/>
        <v>0</v>
      </c>
      <c r="AY54" s="57"/>
      <c r="AZ54" s="58">
        <f t="shared" si="41"/>
        <v>1000.8533333333334</v>
      </c>
      <c r="BA54" s="38">
        <f t="shared" si="42"/>
        <v>49041.813333333332</v>
      </c>
      <c r="BB54" s="42"/>
      <c r="BC54" s="43"/>
      <c r="BD54" s="59">
        <f t="shared" si="31"/>
        <v>49041.813333333332</v>
      </c>
      <c r="BE54" s="60">
        <f t="shared" si="43"/>
        <v>49100</v>
      </c>
      <c r="BF54" s="61"/>
      <c r="BG54" s="61"/>
      <c r="BH54" s="62">
        <f t="shared" si="44"/>
        <v>0</v>
      </c>
      <c r="BI54" s="62">
        <f t="shared" si="45"/>
        <v>0</v>
      </c>
      <c r="BJ54" s="62">
        <f t="shared" si="46"/>
        <v>0</v>
      </c>
      <c r="BK54" s="63">
        <f t="shared" si="47"/>
        <v>49041.813333333332</v>
      </c>
      <c r="BL54" s="48">
        <f t="shared" si="18"/>
        <v>50042.666666666664</v>
      </c>
      <c r="BM54" s="19"/>
      <c r="BN54" s="49"/>
      <c r="BO54" s="49"/>
    </row>
    <row r="55" spans="1:67" s="18" customFormat="1" ht="27" customHeight="1">
      <c r="A55" s="50" t="s">
        <v>115</v>
      </c>
      <c r="B55" s="51" t="s">
        <v>292</v>
      </c>
      <c r="C55" s="52"/>
      <c r="D55" s="53" t="s">
        <v>290</v>
      </c>
      <c r="E55" s="54">
        <v>41719</v>
      </c>
      <c r="F55" s="25">
        <v>42359</v>
      </c>
      <c r="G55" s="54" t="s">
        <v>192</v>
      </c>
      <c r="H55" s="55" t="s">
        <v>293</v>
      </c>
      <c r="I55" s="29">
        <v>300000</v>
      </c>
      <c r="J55" s="28">
        <v>42369</v>
      </c>
      <c r="K55" s="29">
        <v>11</v>
      </c>
      <c r="L55" s="29">
        <f t="shared" si="34"/>
        <v>110000</v>
      </c>
      <c r="M55" s="56">
        <f>IF(ISNA(VLOOKUP(A55,[1]ABSENCE!$B$5:$AK$76,35,0))=TRUE,0,VLOOKUP(A55,[1]ABSENCE!$B$5:$AK$76,35,0))</f>
        <v>0</v>
      </c>
      <c r="N55" s="33">
        <f>IF(ISNA(VLOOKUP(A55,[1]ABSENCE!$B$5:$AK$76,36,0))=TRUE,0,VLOOKUP(A55,[1]ABSENCE!$B$5:$AK$76,36,0))</f>
        <v>0</v>
      </c>
      <c r="O55" s="31">
        <f>IF(ISNA(VLOOKUP($A55,[1]HS!$B$5:$T$122,3,0))=TRUE,0,VLOOKUP($A55,[1]HS!$B$5:$T$122,3,0))</f>
        <v>1730.8025154329889</v>
      </c>
      <c r="P55" s="32"/>
      <c r="Q55" s="33"/>
      <c r="R55" s="32"/>
      <c r="S55" s="33"/>
      <c r="T55" s="32"/>
      <c r="U55" s="33"/>
      <c r="V55" s="32"/>
      <c r="W55" s="33"/>
      <c r="X55" s="32"/>
      <c r="Y55" s="33"/>
      <c r="Z55" s="34">
        <f t="shared" si="1"/>
        <v>0</v>
      </c>
      <c r="AA55" s="31">
        <f>+VLOOKUP(A55,[1]CONGE!$A$2:$W$113,20,0)</f>
        <v>0</v>
      </c>
      <c r="AB55" s="31">
        <f>+VLOOKUP(A55,[1]CONGE!$A$2:$W$113,21,0)</f>
        <v>0</v>
      </c>
      <c r="AC55" s="33">
        <f>IF(ISNA(VLOOKUP(A55,'[1]REPAS+DEPL'!$A$6:$M$1028,13,0))=TRUE,0,VLOOKUP(A55,'[1]REPAS+DEPL'!$A$6:$M$1028,13,0))</f>
        <v>0</v>
      </c>
      <c r="AD55" s="35"/>
      <c r="AE55" s="33">
        <f>IF(ISNA(VLOOKUP(A55,[1]Préavis!$A$2:$E$98,5,0))=TRUE,0,(VLOOKUP(A55,[1]Préavis!$A$2:$E$98,5,0)))</f>
        <v>0</v>
      </c>
      <c r="AF55" s="31">
        <f>+VLOOKUP(A55,[1]CONGE!$A$2:$V$112,18,0)</f>
        <v>0</v>
      </c>
      <c r="AG55" s="33">
        <f>IF(ISNA(VLOOKUP($A55,[1]CONGE!$A$2:$S$134,19,0))=TRUE,0,VLOOKUP($A55,[1]CONGE!$A$2:$S$134,19,0))</f>
        <v>0</v>
      </c>
      <c r="AH55" s="31">
        <f>+VLOOKUP(A55,[1]CONGE!$A$2:$W$113,22,0)</f>
        <v>0</v>
      </c>
      <c r="AI55" s="31">
        <f>+VLOOKUP(A55,[1]CONGE!$A$2:$W$113,23,0)</f>
        <v>0</v>
      </c>
      <c r="AJ55" s="36">
        <f t="shared" si="35"/>
        <v>110000</v>
      </c>
      <c r="AK55" s="33">
        <f>IF(ISNA(VLOOKUP(A55,[1]AVANTAGE!$A$5:$T$118,19,0))=TRUE,0,VLOOKUP(A55,[1]AVANTAGE!$A$5:$T$118,19,0))</f>
        <v>0</v>
      </c>
      <c r="AL55" s="33">
        <f>IF(ISNA(VLOOKUP(A55,[1]AVANTAGE!$A$5:$T$118,20,0))=TRUE,0,VLOOKUP(A55,[1]AVANTAGE!$A$5:$T$118,20,0))</f>
        <v>0</v>
      </c>
      <c r="AM55" s="37">
        <f t="shared" si="36"/>
        <v>110000</v>
      </c>
      <c r="AN55" s="38">
        <f t="shared" si="4"/>
        <v>1100</v>
      </c>
      <c r="AO55" s="33">
        <f t="shared" si="33"/>
        <v>1100</v>
      </c>
      <c r="AP55" s="38"/>
      <c r="AQ55" s="38">
        <f t="shared" si="37"/>
        <v>107800</v>
      </c>
      <c r="AR55" s="39">
        <f t="shared" si="7"/>
        <v>0</v>
      </c>
      <c r="AS55" s="40">
        <f>VLOOKUP(A55,'[1]Liste personnel'!$B$3:$R$187,16,0)</f>
        <v>0</v>
      </c>
      <c r="AT55" s="38">
        <f t="shared" si="38"/>
        <v>0</v>
      </c>
      <c r="AU55" s="38">
        <f t="shared" si="39"/>
        <v>0</v>
      </c>
      <c r="AV55" s="38">
        <f>IF(ISNA(VLOOKUP(A55,[1]AVANCE!$A$6:$E$122,4,0))=TRUE,0,VLOOKUP(A55,[1]AVANCE!$A$6:$E$122,4,0))</f>
        <v>0</v>
      </c>
      <c r="AW55" s="38">
        <f>IF(ISNA(VLOOKUP(A55,[1]AVANCE!$A$6:$E$122,5,0))=TRUE,0,VLOOKUP(A55,[1]AVANCE!$A$6:$E$122,5,0))</f>
        <v>0</v>
      </c>
      <c r="AX55" s="38">
        <f t="shared" si="40"/>
        <v>0</v>
      </c>
      <c r="AY55" s="57"/>
      <c r="AZ55" s="58">
        <f t="shared" si="41"/>
        <v>2200</v>
      </c>
      <c r="BA55" s="38">
        <f t="shared" si="42"/>
        <v>107800</v>
      </c>
      <c r="BB55" s="42"/>
      <c r="BC55" s="43"/>
      <c r="BD55" s="59">
        <f t="shared" si="31"/>
        <v>107800</v>
      </c>
      <c r="BE55" s="60">
        <f t="shared" si="43"/>
        <v>107800</v>
      </c>
      <c r="BF55" s="61"/>
      <c r="BG55" s="61"/>
      <c r="BH55" s="62">
        <f t="shared" si="44"/>
        <v>0</v>
      </c>
      <c r="BI55" s="62">
        <f t="shared" si="45"/>
        <v>0</v>
      </c>
      <c r="BJ55" s="62">
        <f t="shared" si="46"/>
        <v>0</v>
      </c>
      <c r="BK55" s="63">
        <f t="shared" si="47"/>
        <v>107800</v>
      </c>
      <c r="BL55" s="48">
        <f t="shared" si="18"/>
        <v>110000</v>
      </c>
      <c r="BN55" s="49"/>
      <c r="BO55" s="49"/>
    </row>
    <row r="56" spans="1:67" s="18" customFormat="1" ht="27" customHeight="1">
      <c r="A56" s="50" t="s">
        <v>116</v>
      </c>
      <c r="B56" s="51" t="s">
        <v>294</v>
      </c>
      <c r="C56" s="52"/>
      <c r="D56" s="53" t="s">
        <v>295</v>
      </c>
      <c r="E56" s="54">
        <v>41729</v>
      </c>
      <c r="F56" s="25">
        <v>42359</v>
      </c>
      <c r="G56" s="54" t="s">
        <v>215</v>
      </c>
      <c r="H56" s="55" t="s">
        <v>187</v>
      </c>
      <c r="I56" s="29">
        <v>136480</v>
      </c>
      <c r="J56" s="28">
        <v>42369</v>
      </c>
      <c r="K56" s="29">
        <v>11</v>
      </c>
      <c r="L56" s="29">
        <f t="shared" si="34"/>
        <v>50042.666666666664</v>
      </c>
      <c r="M56" s="56">
        <f>IF(ISNA(VLOOKUP(A56,[1]ABSENCE!$B$5:$AK$76,35,0))=TRUE,0,VLOOKUP(A56,[1]ABSENCE!$B$5:$AK$76,35,0))</f>
        <v>0</v>
      </c>
      <c r="N56" s="33">
        <f>IF(ISNA(VLOOKUP(A56,[1]ABSENCE!$B$5:$AK$76,36,0))=TRUE,0,VLOOKUP(A56,[1]ABSENCE!$B$5:$AK$76,36,0))</f>
        <v>0</v>
      </c>
      <c r="O56" s="31">
        <f>IF(ISNA(VLOOKUP($A56,[1]HS!$B$5:$T$122,3,0))=TRUE,0,VLOOKUP($A56,[1]HS!$B$5:$T$122,3,0))</f>
        <v>787.39975768764782</v>
      </c>
      <c r="P56" s="32"/>
      <c r="Q56" s="33"/>
      <c r="R56" s="32"/>
      <c r="S56" s="33"/>
      <c r="T56" s="32"/>
      <c r="U56" s="33"/>
      <c r="V56" s="32"/>
      <c r="W56" s="33"/>
      <c r="X56" s="32"/>
      <c r="Y56" s="33"/>
      <c r="Z56" s="34">
        <f t="shared" si="1"/>
        <v>0</v>
      </c>
      <c r="AA56" s="31">
        <f>+VLOOKUP(A56,[1]CONGE!$A$2:$W$113,20,0)</f>
        <v>0</v>
      </c>
      <c r="AB56" s="31">
        <f>+VLOOKUP(A56,[1]CONGE!$A$2:$W$113,21,0)</f>
        <v>0</v>
      </c>
      <c r="AC56" s="33">
        <f>IF(ISNA(VLOOKUP(A56,'[1]REPAS+DEPL'!$A$6:$M$1028,13,0))=TRUE,0,VLOOKUP(A56,'[1]REPAS+DEPL'!$A$6:$M$1028,13,0))</f>
        <v>0</v>
      </c>
      <c r="AD56" s="35"/>
      <c r="AE56" s="33">
        <f>IF(ISNA(VLOOKUP(A56,[1]Préavis!$A$2:$E$98,5,0))=TRUE,0,(VLOOKUP(A56,[1]Préavis!$A$2:$E$98,5,0)))</f>
        <v>0</v>
      </c>
      <c r="AF56" s="31">
        <f>+VLOOKUP(A56,[1]CONGE!$A$2:$V$112,18,0)</f>
        <v>0</v>
      </c>
      <c r="AG56" s="33">
        <f>IF(ISNA(VLOOKUP($A56,[1]CONGE!$A$2:$S$134,19,0))=TRUE,0,VLOOKUP($A56,[1]CONGE!$A$2:$S$134,19,0))</f>
        <v>0</v>
      </c>
      <c r="AH56" s="31">
        <f>+VLOOKUP(A56,[1]CONGE!$A$2:$W$113,22,0)</f>
        <v>0</v>
      </c>
      <c r="AI56" s="31">
        <f>+VLOOKUP(A56,[1]CONGE!$A$2:$W$113,23,0)</f>
        <v>0</v>
      </c>
      <c r="AJ56" s="36">
        <f t="shared" si="35"/>
        <v>50042.666666666664</v>
      </c>
      <c r="AK56" s="33">
        <f>IF(ISNA(VLOOKUP(A56,[1]AVANTAGE!$A$5:$T$118,19,0))=TRUE,0,VLOOKUP(A56,[1]AVANTAGE!$A$5:$T$118,19,0))</f>
        <v>0</v>
      </c>
      <c r="AL56" s="33">
        <f>IF(ISNA(VLOOKUP(A56,[1]AVANTAGE!$A$5:$T$118,20,0))=TRUE,0,VLOOKUP(A56,[1]AVANTAGE!$A$5:$T$118,20,0))</f>
        <v>0</v>
      </c>
      <c r="AM56" s="37">
        <f t="shared" si="36"/>
        <v>50042.666666666664</v>
      </c>
      <c r="AN56" s="38">
        <f t="shared" si="4"/>
        <v>500.42666666666668</v>
      </c>
      <c r="AO56" s="33">
        <f t="shared" si="33"/>
        <v>500.42666666666668</v>
      </c>
      <c r="AP56" s="38"/>
      <c r="AQ56" s="38">
        <f t="shared" si="37"/>
        <v>49000</v>
      </c>
      <c r="AR56" s="39">
        <f t="shared" si="7"/>
        <v>0</v>
      </c>
      <c r="AS56" s="40">
        <f>VLOOKUP(A56,'[1]Liste personnel'!$B$3:$R$187,16,0)</f>
        <v>0</v>
      </c>
      <c r="AT56" s="38">
        <f t="shared" si="38"/>
        <v>0</v>
      </c>
      <c r="AU56" s="38">
        <f t="shared" si="39"/>
        <v>0</v>
      </c>
      <c r="AV56" s="38">
        <f>IF(ISNA(VLOOKUP(A56,[1]AVANCE!$A$6:$E$122,4,0))=TRUE,0,VLOOKUP(A56,[1]AVANCE!$A$6:$E$122,4,0))</f>
        <v>0</v>
      </c>
      <c r="AW56" s="38">
        <f>IF(ISNA(VLOOKUP(A56,[1]AVANCE!$A$6:$E$122,5,0))=TRUE,0,VLOOKUP(A56,[1]AVANCE!$A$6:$E$122,5,0))</f>
        <v>0</v>
      </c>
      <c r="AX56" s="38">
        <f t="shared" si="40"/>
        <v>0</v>
      </c>
      <c r="AY56" s="57"/>
      <c r="AZ56" s="58">
        <f t="shared" si="41"/>
        <v>1000.8533333333334</v>
      </c>
      <c r="BA56" s="38">
        <f t="shared" si="42"/>
        <v>49041.813333333332</v>
      </c>
      <c r="BB56" s="42"/>
      <c r="BC56" s="43"/>
      <c r="BD56" s="59">
        <f t="shared" si="31"/>
        <v>49041.813333333332</v>
      </c>
      <c r="BE56" s="60">
        <f t="shared" si="43"/>
        <v>49100</v>
      </c>
      <c r="BF56" s="61"/>
      <c r="BG56" s="61"/>
      <c r="BH56" s="62">
        <f t="shared" si="44"/>
        <v>0</v>
      </c>
      <c r="BI56" s="62">
        <f t="shared" si="45"/>
        <v>0</v>
      </c>
      <c r="BJ56" s="62">
        <f t="shared" si="46"/>
        <v>0</v>
      </c>
      <c r="BK56" s="63">
        <f t="shared" si="47"/>
        <v>49041.813333333332</v>
      </c>
      <c r="BL56" s="48">
        <f t="shared" si="18"/>
        <v>50042.666666666664</v>
      </c>
      <c r="BN56" s="49"/>
      <c r="BO56" s="49"/>
    </row>
    <row r="57" spans="1:67" s="85" customFormat="1" ht="27" customHeight="1">
      <c r="A57" s="65" t="s">
        <v>117</v>
      </c>
      <c r="B57" s="66" t="s">
        <v>296</v>
      </c>
      <c r="C57" s="67"/>
      <c r="D57" s="68" t="s">
        <v>290</v>
      </c>
      <c r="E57" s="69">
        <v>41780</v>
      </c>
      <c r="F57" s="70">
        <v>42359</v>
      </c>
      <c r="G57" s="69" t="s">
        <v>243</v>
      </c>
      <c r="H57" s="71" t="s">
        <v>187</v>
      </c>
      <c r="I57" s="72">
        <v>136480</v>
      </c>
      <c r="J57" s="28">
        <v>42369</v>
      </c>
      <c r="K57" s="72">
        <v>11</v>
      </c>
      <c r="L57" s="72">
        <f t="shared" si="34"/>
        <v>50042.666666666664</v>
      </c>
      <c r="M57" s="73">
        <f>IF(ISNA(VLOOKUP(A57,[1]ABSENCE!$B$5:$AK$76,35,0))=TRUE,0,VLOOKUP(A57,[1]ABSENCE!$B$5:$AK$76,35,0))</f>
        <v>0</v>
      </c>
      <c r="N57" s="34">
        <f>IF(ISNA(VLOOKUP(A57,[1]ABSENCE!$B$5:$AK$76,36,0))=TRUE,0,VLOOKUP(A57,[1]ABSENCE!$B$5:$AK$76,36,0))</f>
        <v>0</v>
      </c>
      <c r="O57" s="31">
        <f>IF(ISNA(VLOOKUP($A57,[1]HS!$B$5:$T$122,3,0))=TRUE,0,VLOOKUP($A57,[1]HS!$B$5:$T$122,3,0))</f>
        <v>561.64609053497941</v>
      </c>
      <c r="P57" s="32">
        <f ca="1">IF(ISNA(IF(O57=0,0,VLOOKUP($A57,[1]HS!$B$5:$T$122,10,0)))=TRUE,0,IF(O57=0,0,VLOOKUP($A57,[1]HS!$B$5:$T$122,10,0)))</f>
        <v>0</v>
      </c>
      <c r="Q57" s="33">
        <f ca="1">IF(ISNA(VLOOKUP($A57,[1]HS!$B$5:$T$122,11,0))=TRUE,0,VLOOKUP($A57,[1]HS!$B$5:$T$122,11,0))</f>
        <v>0</v>
      </c>
      <c r="R57" s="32">
        <f ca="1">IF(ISNA(IF(O57=0,0,VLOOKUP($A57,[1]HS!$B$5:$T$122,12,0)))=TRUE,0,IF(O57=0,0,VLOOKUP($A57,[1]HS!$B$5:$T$122,12,0)))</f>
        <v>0</v>
      </c>
      <c r="S57" s="33">
        <f ca="1">IF(ISNA(VLOOKUP($A57,[1]HS!$B$5:$T$122,13,0))=TRUE,0,VLOOKUP($A57,[1]HS!$B$5:$T$122,13,0))</f>
        <v>0</v>
      </c>
      <c r="T57" s="32">
        <f ca="1">IF(ISNA(IF(O57=0,0,VLOOKUP($A57,[1]HS!$B$5:$T$122,14,0)))=TRUE,0,IF(O57=0,0,VLOOKUP($A57,[1]HS!$B$5:$T$122,14,0)))</f>
        <v>0</v>
      </c>
      <c r="U57" s="33">
        <f ca="1">IF(ISNA(VLOOKUP($A57,[1]HS!$B$5:$T$122,15,0))=TRUE,0,VLOOKUP($A57,[1]HS!$B$5:$T$122,15,0))</f>
        <v>0</v>
      </c>
      <c r="V57" s="32">
        <f ca="1">(IF(O57=0,0,VLOOKUP($A57,[1]HS!$B$5:$T$122,16,0)))</f>
        <v>0</v>
      </c>
      <c r="W57" s="33">
        <f ca="1">IF(ISNA(VLOOKUP($A57,[1]HS!$B$5:$T$122,17,0))=TRUE,0,VLOOKUP($A57,[1]HS!$B$5:$T$122,17,0))</f>
        <v>0</v>
      </c>
      <c r="X57" s="32">
        <f ca="1">(IF(O57=0,0,VLOOKUP($A57,[1]HS!$B$5:$T$122,18,0)))</f>
        <v>0</v>
      </c>
      <c r="Y57" s="33">
        <f ca="1">IF(ISNA(VLOOKUP($A57,[1]HS!$B$5:$T$122,19,0))=TRUE,0,VLOOKUP($A57,[1]HS!$B$5:$T$122,19,0))</f>
        <v>0</v>
      </c>
      <c r="Z57" s="34">
        <f t="shared" ca="1" si="1"/>
        <v>0</v>
      </c>
      <c r="AA57" s="74">
        <f>+VLOOKUP(A57,[1]CONGE!$A$2:$W$113,20,0)</f>
        <v>0</v>
      </c>
      <c r="AB57" s="74">
        <f>+VLOOKUP(A57,[1]CONGE!$A$2:$W$113,21,0)</f>
        <v>0</v>
      </c>
      <c r="AC57" s="34">
        <f>IF(ISNA(VLOOKUP(A57,'[1]REPAS+DEPL'!$A$6:$M$1028,13,0))=TRUE,0,VLOOKUP(A57,'[1]REPAS+DEPL'!$A$6:$M$1028,13,0))</f>
        <v>0</v>
      </c>
      <c r="AD57" s="74"/>
      <c r="AE57" s="34">
        <f>IF(ISNA(VLOOKUP(A57,[1]Préavis!$A$2:$E$98,5,0))=TRUE,0,(VLOOKUP(A57,[1]Préavis!$A$2:$E$98,5,0)))</f>
        <v>0</v>
      </c>
      <c r="AF57" s="74">
        <f>+VLOOKUP(A57,[1]CONGE!$A$2:$V$112,18,0)</f>
        <v>0</v>
      </c>
      <c r="AG57" s="34">
        <f>IF(ISNA(VLOOKUP($A57,[1]CONGE!$A$2:$S$134,19,0))=TRUE,0,VLOOKUP($A57,[1]CONGE!$A$2:$S$134,19,0))</f>
        <v>0</v>
      </c>
      <c r="AH57" s="74">
        <f>+VLOOKUP(A57,[1]CONGE!$A$2:$W$113,22,0)</f>
        <v>0</v>
      </c>
      <c r="AI57" s="74">
        <f>+VLOOKUP(A57,[1]CONGE!$A$2:$W$113,23,0)</f>
        <v>0</v>
      </c>
      <c r="AJ57" s="74">
        <f t="shared" ca="1" si="35"/>
        <v>50042.666666666664</v>
      </c>
      <c r="AK57" s="34">
        <f>IF(ISNA(VLOOKUP(A57,[1]AVANTAGE!$A$5:$T$118,19,0))=TRUE,0,VLOOKUP(A57,[1]AVANTAGE!$A$5:$T$118,19,0))</f>
        <v>0</v>
      </c>
      <c r="AL57" s="34">
        <f>IF(ISNA(VLOOKUP(A57,[1]AVANTAGE!$A$5:$T$118,20,0))=TRUE,0,VLOOKUP(A57,[1]AVANTAGE!$A$5:$T$118,20,0))</f>
        <v>0</v>
      </c>
      <c r="AM57" s="75">
        <f t="shared" ca="1" si="36"/>
        <v>50042.666666666664</v>
      </c>
      <c r="AN57" s="75">
        <f t="shared" ca="1" si="4"/>
        <v>500.42666666666668</v>
      </c>
      <c r="AO57" s="34">
        <f t="shared" ca="1" si="33"/>
        <v>500.42666666666668</v>
      </c>
      <c r="AP57" s="75"/>
      <c r="AQ57" s="75">
        <f t="shared" ca="1" si="37"/>
        <v>49000</v>
      </c>
      <c r="AR57" s="76">
        <f t="shared" ca="1" si="7"/>
        <v>0</v>
      </c>
      <c r="AS57" s="77">
        <f>VLOOKUP(A57,'[1]Liste personnel'!$B$3:$R$187,16,0)</f>
        <v>0</v>
      </c>
      <c r="AT57" s="75">
        <f t="shared" si="38"/>
        <v>0</v>
      </c>
      <c r="AU57" s="75">
        <f t="shared" ca="1" si="39"/>
        <v>0</v>
      </c>
      <c r="AV57" s="75">
        <f>IF(ISNA(VLOOKUP(A57,[1]AVANCE!$A$6:$E$122,4,0))=TRUE,0,VLOOKUP(A57,[1]AVANCE!$A$6:$E$122,4,0))</f>
        <v>0</v>
      </c>
      <c r="AW57" s="75">
        <f>IF(ISNA(VLOOKUP(A57,[1]AVANCE!$A$6:$E$122,5,0))=TRUE,0,VLOOKUP(A57,[1]AVANCE!$A$6:$E$122,5,0))</f>
        <v>0</v>
      </c>
      <c r="AX57" s="75">
        <f t="shared" si="40"/>
        <v>0</v>
      </c>
      <c r="AY57" s="34"/>
      <c r="AZ57" s="75">
        <f t="shared" ca="1" si="41"/>
        <v>1000.8533333333334</v>
      </c>
      <c r="BA57" s="75">
        <f t="shared" ca="1" si="42"/>
        <v>49041.813333333332</v>
      </c>
      <c r="BB57" s="78"/>
      <c r="BC57" s="79"/>
      <c r="BD57" s="80">
        <f t="shared" ca="1" si="31"/>
        <v>49041.813333333332</v>
      </c>
      <c r="BE57" s="81">
        <f t="shared" ca="1" si="43"/>
        <v>49100</v>
      </c>
      <c r="BF57" s="82"/>
      <c r="BG57" s="82"/>
      <c r="BH57" s="83">
        <f t="shared" si="44"/>
        <v>0</v>
      </c>
      <c r="BI57" s="83">
        <f t="shared" si="45"/>
        <v>0</v>
      </c>
      <c r="BJ57" s="83">
        <f t="shared" si="46"/>
        <v>0</v>
      </c>
      <c r="BK57" s="83">
        <f t="shared" ca="1" si="47"/>
        <v>49041.813333333332</v>
      </c>
      <c r="BL57" s="84">
        <f t="shared" si="18"/>
        <v>50042.666666666664</v>
      </c>
      <c r="BN57" s="86"/>
      <c r="BO57" s="86"/>
    </row>
    <row r="58" spans="1:67" s="18" customFormat="1" ht="27" customHeight="1">
      <c r="A58" s="50" t="s">
        <v>118</v>
      </c>
      <c r="B58" s="51" t="s">
        <v>297</v>
      </c>
      <c r="C58" s="52"/>
      <c r="D58" s="53" t="s">
        <v>290</v>
      </c>
      <c r="E58" s="54">
        <v>41780</v>
      </c>
      <c r="F58" s="25">
        <v>42359</v>
      </c>
      <c r="G58" s="54" t="s">
        <v>263</v>
      </c>
      <c r="H58" s="55" t="s">
        <v>187</v>
      </c>
      <c r="I58" s="29">
        <v>136480</v>
      </c>
      <c r="J58" s="28">
        <v>42369</v>
      </c>
      <c r="K58" s="29">
        <v>11</v>
      </c>
      <c r="L58" s="29">
        <f t="shared" si="34"/>
        <v>50042.666666666664</v>
      </c>
      <c r="M58" s="56">
        <f>IF(ISNA(VLOOKUP(A58,[1]ABSENCE!$B$5:$AK$76,35,0))=TRUE,0,VLOOKUP(A58,[1]ABSENCE!$B$5:$AK$76,35,0))</f>
        <v>0</v>
      </c>
      <c r="N58" s="33">
        <f>IF(ISNA(VLOOKUP(A58,[1]ABSENCE!$B$5:$AK$76,36,0))=TRUE,0,VLOOKUP(A58,[1]ABSENCE!$B$5:$AK$76,36,0))</f>
        <v>0</v>
      </c>
      <c r="O58" s="31">
        <f>IF(ISNA(VLOOKUP($A58,[1]HS!$B$5:$T$122,3,0))=TRUE,0,VLOOKUP($A58,[1]HS!$B$5:$T$122,3,0))</f>
        <v>561.64609053497941</v>
      </c>
      <c r="P58" s="32"/>
      <c r="Q58" s="33"/>
      <c r="R58" s="32"/>
      <c r="S58" s="33"/>
      <c r="T58" s="32"/>
      <c r="U58" s="33"/>
      <c r="V58" s="32"/>
      <c r="W58" s="33"/>
      <c r="X58" s="32"/>
      <c r="Y58" s="33"/>
      <c r="Z58" s="34">
        <f t="shared" si="1"/>
        <v>0</v>
      </c>
      <c r="AA58" s="31">
        <f>+VLOOKUP(A58,[1]CONGE!$A$2:$W$113,20,0)</f>
        <v>0</v>
      </c>
      <c r="AB58" s="31">
        <f>+VLOOKUP(A58,[1]CONGE!$A$2:$W$113,21,0)</f>
        <v>0</v>
      </c>
      <c r="AC58" s="33">
        <f>IF(ISNA(VLOOKUP(A58,'[1]REPAS+DEPL'!$A$6:$M$1028,13,0))=TRUE,0,VLOOKUP(A58,'[1]REPAS+DEPL'!$A$6:$M$1028,13,0))</f>
        <v>0</v>
      </c>
      <c r="AD58" s="35"/>
      <c r="AE58" s="33">
        <f>IF(ISNA(VLOOKUP(A58,[1]Préavis!$A$2:$E$98,5,0))=TRUE,0,(VLOOKUP(A58,[1]Préavis!$A$2:$E$98,5,0)))</f>
        <v>0</v>
      </c>
      <c r="AF58" s="31">
        <f>+VLOOKUP(A58,[1]CONGE!$A$2:$V$112,18,0)</f>
        <v>0</v>
      </c>
      <c r="AG58" s="33">
        <f>IF(ISNA(VLOOKUP($A58,[1]CONGE!$A$2:$S$134,19,0))=TRUE,0,VLOOKUP($A58,[1]CONGE!$A$2:$S$134,19,0))</f>
        <v>0</v>
      </c>
      <c r="AH58" s="31">
        <f>+VLOOKUP(A58,[1]CONGE!$A$2:$W$113,22,0)</f>
        <v>0</v>
      </c>
      <c r="AI58" s="31">
        <f>+VLOOKUP(A58,[1]CONGE!$A$2:$W$113,23,0)</f>
        <v>0</v>
      </c>
      <c r="AJ58" s="36">
        <f t="shared" si="35"/>
        <v>50042.666666666664</v>
      </c>
      <c r="AK58" s="33">
        <f>IF(ISNA(VLOOKUP(A58,[1]AVANTAGE!$A$5:$T$118,19,0))=TRUE,0,VLOOKUP(A58,[1]AVANTAGE!$A$5:$T$118,19,0))</f>
        <v>0</v>
      </c>
      <c r="AL58" s="33">
        <f>IF(ISNA(VLOOKUP(A58,[1]AVANTAGE!$A$5:$T$118,20,0))=TRUE,0,VLOOKUP(A58,[1]AVANTAGE!$A$5:$T$118,20,0))</f>
        <v>0</v>
      </c>
      <c r="AM58" s="37">
        <f t="shared" si="36"/>
        <v>50042.666666666664</v>
      </c>
      <c r="AN58" s="38">
        <f t="shared" si="4"/>
        <v>500.42666666666668</v>
      </c>
      <c r="AO58" s="33">
        <f t="shared" si="33"/>
        <v>500.42666666666668</v>
      </c>
      <c r="AP58" s="38"/>
      <c r="AQ58" s="38">
        <f t="shared" si="37"/>
        <v>49000</v>
      </c>
      <c r="AR58" s="39">
        <f t="shared" si="7"/>
        <v>0</v>
      </c>
      <c r="AS58" s="40">
        <f>VLOOKUP(A58,'[1]Liste personnel'!$B$3:$R$187,16,0)</f>
        <v>0</v>
      </c>
      <c r="AT58" s="38">
        <f t="shared" si="38"/>
        <v>0</v>
      </c>
      <c r="AU58" s="38">
        <f t="shared" si="39"/>
        <v>0</v>
      </c>
      <c r="AV58" s="38">
        <f>IF(ISNA(VLOOKUP(A58,[1]AVANCE!$A$6:$E$122,4,0))=TRUE,0,VLOOKUP(A58,[1]AVANCE!$A$6:$E$122,4,0))</f>
        <v>0</v>
      </c>
      <c r="AW58" s="38">
        <f>IF(ISNA(VLOOKUP(A58,[1]AVANCE!$A$6:$E$122,5,0))=TRUE,0,VLOOKUP(A58,[1]AVANCE!$A$6:$E$122,5,0))</f>
        <v>0</v>
      </c>
      <c r="AX58" s="38">
        <f t="shared" si="40"/>
        <v>0</v>
      </c>
      <c r="AY58" s="57"/>
      <c r="AZ58" s="58">
        <f t="shared" si="41"/>
        <v>1000.8533333333334</v>
      </c>
      <c r="BA58" s="38">
        <f t="shared" si="42"/>
        <v>49041.813333333332</v>
      </c>
      <c r="BB58" s="42"/>
      <c r="BC58" s="43"/>
      <c r="BD58" s="59">
        <f t="shared" si="31"/>
        <v>49041.813333333332</v>
      </c>
      <c r="BE58" s="60">
        <f t="shared" si="43"/>
        <v>49100</v>
      </c>
      <c r="BF58" s="61"/>
      <c r="BG58" s="61"/>
      <c r="BH58" s="62">
        <f t="shared" si="44"/>
        <v>0</v>
      </c>
      <c r="BI58" s="62">
        <f t="shared" si="45"/>
        <v>0</v>
      </c>
      <c r="BJ58" s="62">
        <f t="shared" si="46"/>
        <v>0</v>
      </c>
      <c r="BK58" s="63">
        <f t="shared" si="47"/>
        <v>49041.813333333332</v>
      </c>
      <c r="BL58" s="48">
        <f t="shared" si="18"/>
        <v>50042.666666666664</v>
      </c>
      <c r="BN58" s="49"/>
      <c r="BO58" s="49"/>
    </row>
    <row r="59" spans="1:67" s="18" customFormat="1" ht="27" customHeight="1">
      <c r="A59" s="50" t="s">
        <v>119</v>
      </c>
      <c r="B59" s="51" t="s">
        <v>298</v>
      </c>
      <c r="C59" s="52"/>
      <c r="D59" s="53" t="s">
        <v>290</v>
      </c>
      <c r="E59" s="54">
        <v>41835</v>
      </c>
      <c r="F59" s="25">
        <v>42359</v>
      </c>
      <c r="G59" s="54" t="s">
        <v>299</v>
      </c>
      <c r="H59" s="55" t="s">
        <v>187</v>
      </c>
      <c r="I59" s="29">
        <v>136480</v>
      </c>
      <c r="J59" s="28">
        <v>42369</v>
      </c>
      <c r="K59" s="29">
        <v>11</v>
      </c>
      <c r="L59" s="29">
        <f t="shared" si="34"/>
        <v>50042.666666666664</v>
      </c>
      <c r="M59" s="56">
        <f>IF(ISNA(VLOOKUP(A59,[1]ABSENCE!$B$5:$AK$76,35,0))=TRUE,0,VLOOKUP(A59,[1]ABSENCE!$B$5:$AK$76,35,0))</f>
        <v>0</v>
      </c>
      <c r="N59" s="33">
        <f>IF(ISNA(VLOOKUP(A59,[1]ABSENCE!$B$5:$AK$76,36,0))=TRUE,0,VLOOKUP(A59,[1]ABSENCE!$B$5:$AK$76,36,0))</f>
        <v>0</v>
      </c>
      <c r="O59" s="31">
        <f>IF(ISNA(VLOOKUP($A59,[1]HS!$B$5:$T$122,3,0))=TRUE,0,VLOOKUP($A59,[1]HS!$B$5:$T$122,3,0))</f>
        <v>787.39975768764782</v>
      </c>
      <c r="P59" s="32"/>
      <c r="Q59" s="33"/>
      <c r="R59" s="32"/>
      <c r="S59" s="33"/>
      <c r="T59" s="32"/>
      <c r="U59" s="33"/>
      <c r="V59" s="32"/>
      <c r="W59" s="33"/>
      <c r="X59" s="32"/>
      <c r="Y59" s="33"/>
      <c r="Z59" s="34">
        <f t="shared" si="1"/>
        <v>0</v>
      </c>
      <c r="AA59" s="31">
        <f>+VLOOKUP(A59,[1]CONGE!$A$2:$W$113,20,0)</f>
        <v>0</v>
      </c>
      <c r="AB59" s="31">
        <f>+VLOOKUP(A59,[1]CONGE!$A$2:$W$113,21,0)</f>
        <v>0</v>
      </c>
      <c r="AC59" s="33">
        <f>IF(ISNA(VLOOKUP(A59,'[1]REPAS+DEPL'!$A$6:$M$1028,13,0))=TRUE,0,VLOOKUP(A59,'[1]REPAS+DEPL'!$A$6:$M$1028,13,0))</f>
        <v>0</v>
      </c>
      <c r="AD59" s="35"/>
      <c r="AE59" s="33">
        <f>IF(ISNA(VLOOKUP(A59,[1]Préavis!$A$2:$E$98,5,0))=TRUE,0,(VLOOKUP(A59,[1]Préavis!$A$2:$E$98,5,0)))</f>
        <v>0</v>
      </c>
      <c r="AF59" s="31">
        <f>+VLOOKUP(A59,[1]CONGE!$A$2:$V$112,18,0)</f>
        <v>0</v>
      </c>
      <c r="AG59" s="33">
        <f>IF(ISNA(VLOOKUP($A59,[1]CONGE!$A$2:$S$134,19,0))=TRUE,0,VLOOKUP($A59,[1]CONGE!$A$2:$S$134,19,0))</f>
        <v>0</v>
      </c>
      <c r="AH59" s="31">
        <f>+VLOOKUP(A59,[1]CONGE!$A$2:$W$113,22,0)</f>
        <v>0</v>
      </c>
      <c r="AI59" s="31">
        <f>+VLOOKUP(A59,[1]CONGE!$A$2:$W$113,23,0)</f>
        <v>0</v>
      </c>
      <c r="AJ59" s="36">
        <f t="shared" si="35"/>
        <v>50042.666666666664</v>
      </c>
      <c r="AK59" s="33">
        <f>IF(ISNA(VLOOKUP(A59,[1]AVANTAGE!$A$5:$T$118,19,0))=TRUE,0,VLOOKUP(A59,[1]AVANTAGE!$A$5:$T$118,19,0))</f>
        <v>0</v>
      </c>
      <c r="AL59" s="33">
        <f>IF(ISNA(VLOOKUP(A59,[1]AVANTAGE!$A$5:$T$118,20,0))=TRUE,0,VLOOKUP(A59,[1]AVANTAGE!$A$5:$T$118,20,0))</f>
        <v>0</v>
      </c>
      <c r="AM59" s="37">
        <f t="shared" si="36"/>
        <v>50042.666666666664</v>
      </c>
      <c r="AN59" s="38">
        <f t="shared" si="4"/>
        <v>500.42666666666668</v>
      </c>
      <c r="AO59" s="33">
        <f t="shared" si="33"/>
        <v>500.42666666666668</v>
      </c>
      <c r="AP59" s="38"/>
      <c r="AQ59" s="38">
        <f t="shared" si="37"/>
        <v>49000</v>
      </c>
      <c r="AR59" s="39">
        <f t="shared" si="7"/>
        <v>0</v>
      </c>
      <c r="AS59" s="40">
        <f>VLOOKUP(A59,'[1]Liste personnel'!$B$3:$R$187,16,0)</f>
        <v>0</v>
      </c>
      <c r="AT59" s="38">
        <f t="shared" si="38"/>
        <v>0</v>
      </c>
      <c r="AU59" s="38">
        <f t="shared" si="39"/>
        <v>0</v>
      </c>
      <c r="AV59" s="38">
        <f>IF(ISNA(VLOOKUP(A59,[1]AVANCE!$A$6:$E$122,4,0))=TRUE,0,VLOOKUP(A59,[1]AVANCE!$A$6:$E$122,4,0))</f>
        <v>0</v>
      </c>
      <c r="AW59" s="38">
        <f>IF(ISNA(VLOOKUP(A59,[1]AVANCE!$A$6:$E$122,5,0))=TRUE,0,VLOOKUP(A59,[1]AVANCE!$A$6:$E$122,5,0))</f>
        <v>0</v>
      </c>
      <c r="AX59" s="38">
        <f t="shared" si="40"/>
        <v>0</v>
      </c>
      <c r="AY59" s="57"/>
      <c r="AZ59" s="58">
        <f t="shared" si="41"/>
        <v>1000.8533333333334</v>
      </c>
      <c r="BA59" s="38">
        <f t="shared" si="42"/>
        <v>49041.813333333332</v>
      </c>
      <c r="BB59" s="42"/>
      <c r="BC59" s="43"/>
      <c r="BD59" s="59">
        <f t="shared" si="31"/>
        <v>49041.813333333332</v>
      </c>
      <c r="BE59" s="60">
        <f t="shared" si="43"/>
        <v>49100</v>
      </c>
      <c r="BF59" s="61"/>
      <c r="BG59" s="61"/>
      <c r="BH59" s="62">
        <f t="shared" si="44"/>
        <v>0</v>
      </c>
      <c r="BI59" s="62">
        <f t="shared" si="45"/>
        <v>0</v>
      </c>
      <c r="BJ59" s="62">
        <f t="shared" si="46"/>
        <v>0</v>
      </c>
      <c r="BK59" s="63">
        <f t="shared" si="47"/>
        <v>49041.813333333332</v>
      </c>
      <c r="BL59" s="48">
        <f t="shared" si="18"/>
        <v>50042.666666666664</v>
      </c>
      <c r="BN59" s="49"/>
      <c r="BO59" s="49"/>
    </row>
    <row r="60" spans="1:67" s="18" customFormat="1" ht="27" customHeight="1">
      <c r="A60" s="50" t="s">
        <v>120</v>
      </c>
      <c r="B60" s="51" t="s">
        <v>300</v>
      </c>
      <c r="C60" s="52"/>
      <c r="D60" s="53" t="s">
        <v>301</v>
      </c>
      <c r="E60" s="54">
        <v>41813</v>
      </c>
      <c r="F60" s="25">
        <v>42359</v>
      </c>
      <c r="G60" s="54" t="s">
        <v>220</v>
      </c>
      <c r="H60" s="55" t="s">
        <v>187</v>
      </c>
      <c r="I60" s="29">
        <v>136480</v>
      </c>
      <c r="J60" s="28">
        <v>42369</v>
      </c>
      <c r="K60" s="29">
        <v>11</v>
      </c>
      <c r="L60" s="29">
        <f t="shared" si="34"/>
        <v>50042.666666666664</v>
      </c>
      <c r="M60" s="56">
        <f>IF(ISNA(VLOOKUP(A60,[1]ABSENCE!$B$5:$AK$76,35,0))=TRUE,0,VLOOKUP(A60,[1]ABSENCE!$B$5:$AK$76,35,0))</f>
        <v>0</v>
      </c>
      <c r="N60" s="33">
        <f>IF(ISNA(VLOOKUP(A60,[1]ABSENCE!$B$5:$AK$76,36,0))=TRUE,0,VLOOKUP(A60,[1]ABSENCE!$B$5:$AK$76,36,0))</f>
        <v>0</v>
      </c>
      <c r="O60" s="31">
        <f>IF(ISNA(VLOOKUP($A60,[1]HS!$B$5:$T$122,3,0))=TRUE,0,VLOOKUP($A60,[1]HS!$B$5:$T$122,3,0))</f>
        <v>787.39975768764782</v>
      </c>
      <c r="P60" s="32"/>
      <c r="Q60" s="33"/>
      <c r="R60" s="32"/>
      <c r="S60" s="33"/>
      <c r="T60" s="32"/>
      <c r="U60" s="33"/>
      <c r="V60" s="32"/>
      <c r="W60" s="33"/>
      <c r="X60" s="32"/>
      <c r="Y60" s="33"/>
      <c r="Z60" s="34">
        <f t="shared" si="1"/>
        <v>0</v>
      </c>
      <c r="AA60" s="31">
        <f>+VLOOKUP(A60,[1]CONGE!$A$2:$W$113,20,0)</f>
        <v>0</v>
      </c>
      <c r="AB60" s="31">
        <f>+VLOOKUP(A60,[1]CONGE!$A$2:$W$113,21,0)</f>
        <v>0</v>
      </c>
      <c r="AC60" s="33">
        <f>IF(ISNA(VLOOKUP(A60,'[1]REPAS+DEPL'!$A$6:$M$1028,13,0))=TRUE,0,VLOOKUP(A60,'[1]REPAS+DEPL'!$A$6:$M$1028,13,0))</f>
        <v>0</v>
      </c>
      <c r="AD60" s="35"/>
      <c r="AE60" s="33">
        <f>IF(ISNA(VLOOKUP(A60,[1]Préavis!$A$2:$E$98,5,0))=TRUE,0,(VLOOKUP(A60,[1]Préavis!$A$2:$E$98,5,0)))</f>
        <v>0</v>
      </c>
      <c r="AF60" s="31">
        <f>+VLOOKUP(A60,[1]CONGE!$A$2:$V$112,18,0)</f>
        <v>0</v>
      </c>
      <c r="AG60" s="33">
        <f>IF(ISNA(VLOOKUP($A60,[1]CONGE!$A$2:$S$134,19,0))=TRUE,0,VLOOKUP($A60,[1]CONGE!$A$2:$S$134,19,0))</f>
        <v>0</v>
      </c>
      <c r="AH60" s="31">
        <f>+VLOOKUP(A60,[1]CONGE!$A$2:$W$113,22,0)</f>
        <v>0</v>
      </c>
      <c r="AI60" s="31">
        <f>+VLOOKUP(A60,[1]CONGE!$A$2:$W$113,23,0)</f>
        <v>0</v>
      </c>
      <c r="AJ60" s="36">
        <f t="shared" si="35"/>
        <v>50042.666666666664</v>
      </c>
      <c r="AK60" s="33">
        <f>IF(ISNA(VLOOKUP(A60,[1]AVANTAGE!$A$5:$T$118,19,0))=TRUE,0,VLOOKUP(A60,[1]AVANTAGE!$A$5:$T$118,19,0))</f>
        <v>0</v>
      </c>
      <c r="AL60" s="33">
        <f>IF(ISNA(VLOOKUP(A60,[1]AVANTAGE!$A$5:$T$118,20,0))=TRUE,0,VLOOKUP(A60,[1]AVANTAGE!$A$5:$T$118,20,0))</f>
        <v>0</v>
      </c>
      <c r="AM60" s="37">
        <f t="shared" si="36"/>
        <v>50042.666666666664</v>
      </c>
      <c r="AN60" s="38">
        <f t="shared" si="4"/>
        <v>500.42666666666668</v>
      </c>
      <c r="AO60" s="33">
        <f t="shared" si="33"/>
        <v>500.42666666666668</v>
      </c>
      <c r="AP60" s="38"/>
      <c r="AQ60" s="38">
        <f t="shared" si="37"/>
        <v>49000</v>
      </c>
      <c r="AR60" s="39">
        <f t="shared" si="7"/>
        <v>0</v>
      </c>
      <c r="AS60" s="40">
        <f>VLOOKUP(A60,'[1]Liste personnel'!$B$3:$R$187,16,0)</f>
        <v>0</v>
      </c>
      <c r="AT60" s="38">
        <f t="shared" si="38"/>
        <v>0</v>
      </c>
      <c r="AU60" s="38">
        <f t="shared" si="39"/>
        <v>0</v>
      </c>
      <c r="AV60" s="38">
        <f>IF(ISNA(VLOOKUP(A60,[1]AVANCE!$A$6:$E$122,4,0))=TRUE,0,VLOOKUP(A60,[1]AVANCE!$A$6:$E$122,4,0))</f>
        <v>0</v>
      </c>
      <c r="AW60" s="38">
        <f>IF(ISNA(VLOOKUP(A60,[1]AVANCE!$A$6:$E$122,5,0))=TRUE,0,VLOOKUP(A60,[1]AVANCE!$A$6:$E$122,5,0))</f>
        <v>0</v>
      </c>
      <c r="AX60" s="38">
        <f t="shared" si="40"/>
        <v>0</v>
      </c>
      <c r="AY60" s="57"/>
      <c r="AZ60" s="58">
        <f t="shared" si="41"/>
        <v>1000.8533333333334</v>
      </c>
      <c r="BA60" s="38">
        <f t="shared" si="42"/>
        <v>49041.813333333332</v>
      </c>
      <c r="BB60" s="42"/>
      <c r="BC60" s="43"/>
      <c r="BD60" s="59">
        <f t="shared" si="31"/>
        <v>49041.813333333332</v>
      </c>
      <c r="BE60" s="60">
        <f t="shared" si="43"/>
        <v>49100</v>
      </c>
      <c r="BF60" s="61"/>
      <c r="BG60" s="61"/>
      <c r="BH60" s="62">
        <f t="shared" si="44"/>
        <v>0</v>
      </c>
      <c r="BI60" s="62">
        <f t="shared" si="45"/>
        <v>0</v>
      </c>
      <c r="BJ60" s="62">
        <f t="shared" si="46"/>
        <v>0</v>
      </c>
      <c r="BK60" s="63">
        <f t="shared" si="47"/>
        <v>49041.813333333332</v>
      </c>
      <c r="BL60" s="48">
        <f t="shared" si="18"/>
        <v>50042.666666666664</v>
      </c>
      <c r="BN60" s="49"/>
      <c r="BO60" s="49"/>
    </row>
    <row r="61" spans="1:67" s="85" customFormat="1" ht="27" customHeight="1">
      <c r="A61" s="65" t="s">
        <v>121</v>
      </c>
      <c r="B61" s="66" t="s">
        <v>302</v>
      </c>
      <c r="C61" s="67"/>
      <c r="D61" s="68" t="s">
        <v>290</v>
      </c>
      <c r="E61" s="69">
        <v>41780</v>
      </c>
      <c r="F61" s="70">
        <v>42359</v>
      </c>
      <c r="G61" s="69" t="s">
        <v>260</v>
      </c>
      <c r="H61" s="71" t="s">
        <v>187</v>
      </c>
      <c r="I61" s="72">
        <v>230000</v>
      </c>
      <c r="J61" s="28">
        <v>42369</v>
      </c>
      <c r="K61" s="72">
        <v>11</v>
      </c>
      <c r="L61" s="72">
        <f t="shared" si="34"/>
        <v>84333.333333333328</v>
      </c>
      <c r="M61" s="73">
        <f>IF(ISNA(VLOOKUP(A61,[1]ABSENCE!$B$5:$AK$76,35,0))=TRUE,0,VLOOKUP(A61,[1]ABSENCE!$B$5:$AK$76,35,0))</f>
        <v>0</v>
      </c>
      <c r="N61" s="34">
        <f>IF(ISNA(VLOOKUP(A61,[1]ABSENCE!$B$5:$AK$76,36,0))=TRUE,0,VLOOKUP(A61,[1]ABSENCE!$B$5:$AK$76,36,0))</f>
        <v>0</v>
      </c>
      <c r="O61" s="31">
        <f>IF(ISNA(VLOOKUP($A61,[1]HS!$B$5:$T$122,3,0))=TRUE,0,VLOOKUP($A61,[1]HS!$B$5:$T$122,3,0))</f>
        <v>1326.9485951652916</v>
      </c>
      <c r="P61" s="32">
        <f ca="1">IF(ISNA(IF(O61=0,0,VLOOKUP($A61,[1]HS!$B$5:$T$122,10,0)))=TRUE,0,IF(O61=0,0,VLOOKUP($A61,[1]HS!$B$5:$T$122,10,0)))</f>
        <v>0</v>
      </c>
      <c r="Q61" s="33">
        <f ca="1">IF(ISNA(VLOOKUP($A61,[1]HS!$B$5:$T$122,11,0))=TRUE,0,VLOOKUP($A61,[1]HS!$B$5:$T$122,11,0))</f>
        <v>0</v>
      </c>
      <c r="R61" s="32">
        <f ca="1">IF(ISNA(IF(O61=0,0,VLOOKUP($A61,[1]HS!$B$5:$T$122,12,0)))=TRUE,0,IF(O61=0,0,VLOOKUP($A61,[1]HS!$B$5:$T$122,12,0)))</f>
        <v>0</v>
      </c>
      <c r="S61" s="33">
        <f ca="1">IF(ISNA(VLOOKUP($A61,[1]HS!$B$5:$T$122,13,0))=TRUE,0,VLOOKUP($A61,[1]HS!$B$5:$T$122,13,0))</f>
        <v>0</v>
      </c>
      <c r="T61" s="32">
        <f ca="1">IF(ISNA(IF(O61=0,0,VLOOKUP($A61,[1]HS!$B$5:$T$122,14,0)))=TRUE,0,IF(O61=0,0,VLOOKUP($A61,[1]HS!$B$5:$T$122,14,0)))</f>
        <v>0</v>
      </c>
      <c r="U61" s="33">
        <f ca="1">IF(ISNA(VLOOKUP($A61,[1]HS!$B$5:$T$122,15,0))=TRUE,0,VLOOKUP($A61,[1]HS!$B$5:$T$122,15,0))</f>
        <v>0</v>
      </c>
      <c r="V61" s="32">
        <f ca="1">(IF(O61=0,0,VLOOKUP($A61,[1]HS!$B$5:$T$122,16,0)))</f>
        <v>0</v>
      </c>
      <c r="W61" s="33">
        <f ca="1">IF(ISNA(VLOOKUP($A61,[1]HS!$B$5:$T$122,17,0))=TRUE,0,VLOOKUP($A61,[1]HS!$B$5:$T$122,17,0))</f>
        <v>0</v>
      </c>
      <c r="X61" s="32">
        <f ca="1">(IF(O61=0,0,VLOOKUP($A61,[1]HS!$B$5:$T$122,18,0)))</f>
        <v>0</v>
      </c>
      <c r="Y61" s="33">
        <f ca="1">IF(ISNA(VLOOKUP($A61,[1]HS!$B$5:$T$122,19,0))=TRUE,0,VLOOKUP($A61,[1]HS!$B$5:$T$122,19,0))</f>
        <v>0</v>
      </c>
      <c r="Z61" s="34">
        <f t="shared" ca="1" si="1"/>
        <v>0</v>
      </c>
      <c r="AA61" s="74">
        <f>+VLOOKUP(A61,[1]CONGE!$A$2:$W$113,20,0)</f>
        <v>0</v>
      </c>
      <c r="AB61" s="74">
        <f>+VLOOKUP(A61,[1]CONGE!$A$2:$W$113,21,0)</f>
        <v>0</v>
      </c>
      <c r="AC61" s="34">
        <f>IF(ISNA(VLOOKUP(A61,'[1]REPAS+DEPL'!$A$6:$M$1028,13,0))=TRUE,0,VLOOKUP(A61,'[1]REPAS+DEPL'!$A$6:$M$1028,13,0))</f>
        <v>0</v>
      </c>
      <c r="AD61" s="74"/>
      <c r="AE61" s="34">
        <f>IF(ISNA(VLOOKUP(A61,[1]Préavis!$A$2:$E$98,5,0))=TRUE,0,(VLOOKUP(A61,[1]Préavis!$A$2:$E$98,5,0)))</f>
        <v>0</v>
      </c>
      <c r="AF61" s="74">
        <f>+VLOOKUP(A61,[1]CONGE!$A$2:$V$112,18,0)</f>
        <v>0</v>
      </c>
      <c r="AG61" s="34">
        <f>IF(ISNA(VLOOKUP($A61,[1]CONGE!$A$2:$S$134,19,0))=TRUE,0,VLOOKUP($A61,[1]CONGE!$A$2:$S$134,19,0))</f>
        <v>0</v>
      </c>
      <c r="AH61" s="74">
        <f>+VLOOKUP(A61,[1]CONGE!$A$2:$W$113,22,0)</f>
        <v>0</v>
      </c>
      <c r="AI61" s="74">
        <f>+VLOOKUP(A61,[1]CONGE!$A$2:$W$113,23,0)</f>
        <v>0</v>
      </c>
      <c r="AJ61" s="74">
        <f t="shared" ca="1" si="35"/>
        <v>84333.333333333328</v>
      </c>
      <c r="AK61" s="34">
        <f>IF(ISNA(VLOOKUP(A61,[1]AVANTAGE!$A$5:$T$118,19,0))=TRUE,0,VLOOKUP(A61,[1]AVANTAGE!$A$5:$T$118,19,0))</f>
        <v>0</v>
      </c>
      <c r="AL61" s="34">
        <f>IF(ISNA(VLOOKUP(A61,[1]AVANTAGE!$A$5:$T$118,20,0))=TRUE,0,VLOOKUP(A61,[1]AVANTAGE!$A$5:$T$118,20,0))</f>
        <v>0</v>
      </c>
      <c r="AM61" s="75">
        <f t="shared" ca="1" si="36"/>
        <v>84333.333333333328</v>
      </c>
      <c r="AN61" s="75">
        <f t="shared" ca="1" si="4"/>
        <v>843.33333333333326</v>
      </c>
      <c r="AO61" s="34">
        <f t="shared" ca="1" si="33"/>
        <v>843.33333333333326</v>
      </c>
      <c r="AP61" s="75"/>
      <c r="AQ61" s="75">
        <f t="shared" ca="1" si="37"/>
        <v>82600</v>
      </c>
      <c r="AR61" s="76">
        <f t="shared" ca="1" si="7"/>
        <v>0</v>
      </c>
      <c r="AS61" s="77">
        <f>VLOOKUP(A61,'[1]Liste personnel'!$B$3:$R$187,16,0)</f>
        <v>0</v>
      </c>
      <c r="AT61" s="75">
        <f t="shared" si="38"/>
        <v>0</v>
      </c>
      <c r="AU61" s="75">
        <f t="shared" ca="1" si="39"/>
        <v>0</v>
      </c>
      <c r="AV61" s="75">
        <f>IF(ISNA(VLOOKUP(A61,[1]AVANCE!$A$6:$E$122,4,0))=TRUE,0,VLOOKUP(A61,[1]AVANCE!$A$6:$E$122,4,0))</f>
        <v>0</v>
      </c>
      <c r="AW61" s="75">
        <f>IF(ISNA(VLOOKUP(A61,[1]AVANCE!$A$6:$E$122,5,0))=TRUE,0,VLOOKUP(A61,[1]AVANCE!$A$6:$E$122,5,0))</f>
        <v>0</v>
      </c>
      <c r="AX61" s="75">
        <f t="shared" si="40"/>
        <v>0</v>
      </c>
      <c r="AY61" s="34"/>
      <c r="AZ61" s="75">
        <f t="shared" ca="1" si="41"/>
        <v>1686.6666666666665</v>
      </c>
      <c r="BA61" s="75">
        <f t="shared" ca="1" si="42"/>
        <v>82646.666666666657</v>
      </c>
      <c r="BB61" s="78"/>
      <c r="BC61" s="79"/>
      <c r="BD61" s="80">
        <f t="shared" ca="1" si="31"/>
        <v>82646.666666666657</v>
      </c>
      <c r="BE61" s="81">
        <f t="shared" ca="1" si="43"/>
        <v>82700</v>
      </c>
      <c r="BF61" s="82"/>
      <c r="BG61" s="82"/>
      <c r="BH61" s="83">
        <f t="shared" si="44"/>
        <v>0</v>
      </c>
      <c r="BI61" s="83">
        <f t="shared" si="45"/>
        <v>0</v>
      </c>
      <c r="BJ61" s="83">
        <f t="shared" si="46"/>
        <v>0</v>
      </c>
      <c r="BK61" s="83">
        <f t="shared" ca="1" si="47"/>
        <v>82646.666666666657</v>
      </c>
      <c r="BL61" s="84">
        <f t="shared" si="18"/>
        <v>84333.333333333328</v>
      </c>
      <c r="BO61" s="86"/>
    </row>
    <row r="62" spans="1:67" s="85" customFormat="1" ht="27" customHeight="1">
      <c r="A62" s="65" t="s">
        <v>122</v>
      </c>
      <c r="B62" s="66" t="s">
        <v>303</v>
      </c>
      <c r="C62" s="67"/>
      <c r="D62" s="68" t="s">
        <v>290</v>
      </c>
      <c r="E62" s="69">
        <v>41879</v>
      </c>
      <c r="F62" s="70">
        <v>42359</v>
      </c>
      <c r="G62" s="69" t="s">
        <v>263</v>
      </c>
      <c r="H62" s="71" t="s">
        <v>187</v>
      </c>
      <c r="I62" s="72">
        <v>136480</v>
      </c>
      <c r="J62" s="28">
        <v>42369</v>
      </c>
      <c r="K62" s="72">
        <v>11</v>
      </c>
      <c r="L62" s="72">
        <f t="shared" si="34"/>
        <v>50042.666666666664</v>
      </c>
      <c r="M62" s="73">
        <f>IF(ISNA(VLOOKUP(A62,[1]ABSENCE!$B$5:$AK$76,35,0))=TRUE,0,VLOOKUP(A62,[1]ABSENCE!$B$5:$AK$76,35,0))</f>
        <v>0</v>
      </c>
      <c r="N62" s="34">
        <f>IF(ISNA(VLOOKUP(A62,[1]ABSENCE!$B$5:$AK$76,36,0))=TRUE,0,VLOOKUP(A62,[1]ABSENCE!$B$5:$AK$76,36,0))</f>
        <v>0</v>
      </c>
      <c r="O62" s="31">
        <f>IF(ISNA(VLOOKUP($A62,[1]HS!$B$5:$T$122,3,0))=TRUE,0,VLOOKUP($A62,[1]HS!$B$5:$T$122,3,0))</f>
        <v>561.64609053497941</v>
      </c>
      <c r="P62" s="32">
        <f ca="1">IF(ISNA(IF(O62=0,0,VLOOKUP($A62,[1]HS!$B$5:$T$122,10,0)))=TRUE,0,IF(O62=0,0,VLOOKUP($A62,[1]HS!$B$5:$T$122,10,0)))</f>
        <v>0</v>
      </c>
      <c r="Q62" s="33">
        <f ca="1">IF(ISNA(VLOOKUP($A62,[1]HS!$B$5:$T$122,11,0))=TRUE,0,VLOOKUP($A62,[1]HS!$B$5:$T$122,11,0))</f>
        <v>0</v>
      </c>
      <c r="R62" s="32">
        <f ca="1">IF(ISNA(IF(O62=0,0,VLOOKUP($A62,[1]HS!$B$5:$T$122,12,0)))=TRUE,0,IF(O62=0,0,VLOOKUP($A62,[1]HS!$B$5:$T$122,12,0)))</f>
        <v>0</v>
      </c>
      <c r="S62" s="33">
        <f ca="1">IF(ISNA(VLOOKUP($A62,[1]HS!$B$5:$T$122,13,0))=TRUE,0,VLOOKUP($A62,[1]HS!$B$5:$T$122,13,0))</f>
        <v>0</v>
      </c>
      <c r="T62" s="32">
        <f ca="1">IF(ISNA(IF(O62=0,0,VLOOKUP($A62,[1]HS!$B$5:$T$122,14,0)))=TRUE,0,IF(O62=0,0,VLOOKUP($A62,[1]HS!$B$5:$T$122,14,0)))</f>
        <v>0</v>
      </c>
      <c r="U62" s="33">
        <f ca="1">IF(ISNA(VLOOKUP($A62,[1]HS!$B$5:$T$122,15,0))=TRUE,0,VLOOKUP($A62,[1]HS!$B$5:$T$122,15,0))</f>
        <v>0</v>
      </c>
      <c r="V62" s="32">
        <f ca="1">(IF(O62=0,0,VLOOKUP($A62,[1]HS!$B$5:$T$122,16,0)))</f>
        <v>0</v>
      </c>
      <c r="W62" s="33">
        <f ca="1">IF(ISNA(VLOOKUP($A62,[1]HS!$B$5:$T$122,17,0))=TRUE,0,VLOOKUP($A62,[1]HS!$B$5:$T$122,17,0))</f>
        <v>0</v>
      </c>
      <c r="X62" s="32">
        <f ca="1">(IF(O62=0,0,VLOOKUP($A62,[1]HS!$B$5:$T$122,18,0)))</f>
        <v>0</v>
      </c>
      <c r="Y62" s="33">
        <f ca="1">IF(ISNA(VLOOKUP($A62,[1]HS!$B$5:$T$122,19,0))=TRUE,0,VLOOKUP($A62,[1]HS!$B$5:$T$122,19,0))</f>
        <v>0</v>
      </c>
      <c r="Z62" s="34">
        <f t="shared" ca="1" si="1"/>
        <v>0</v>
      </c>
      <c r="AA62" s="74">
        <f>+VLOOKUP(A62,[1]CONGE!$A$2:$W$113,20,0)</f>
        <v>0</v>
      </c>
      <c r="AB62" s="74">
        <f>+VLOOKUP(A62,[1]CONGE!$A$2:$W$113,21,0)</f>
        <v>0</v>
      </c>
      <c r="AC62" s="34">
        <f>IF(ISNA(VLOOKUP(A62,'[1]REPAS+DEPL'!$A$6:$M$1028,13,0))=TRUE,0,VLOOKUP(A62,'[1]REPAS+DEPL'!$A$6:$M$1028,13,0))</f>
        <v>0</v>
      </c>
      <c r="AD62" s="74"/>
      <c r="AE62" s="34">
        <f>IF(ISNA(VLOOKUP(A62,[1]Préavis!$A$2:$E$98,5,0))=TRUE,0,(VLOOKUP(A62,[1]Préavis!$A$2:$E$98,5,0)))</f>
        <v>0</v>
      </c>
      <c r="AF62" s="74">
        <f>+VLOOKUP(A62,[1]CONGE!$A$2:$V$112,18,0)</f>
        <v>0</v>
      </c>
      <c r="AG62" s="34">
        <f>IF(ISNA(VLOOKUP($A62,[1]CONGE!$A$2:$S$134,19,0))=TRUE,0,VLOOKUP($A62,[1]CONGE!$A$2:$S$134,19,0))</f>
        <v>0</v>
      </c>
      <c r="AH62" s="74">
        <f>+VLOOKUP(A62,[1]CONGE!$A$2:$W$113,22,0)</f>
        <v>0</v>
      </c>
      <c r="AI62" s="74">
        <f>+VLOOKUP(A62,[1]CONGE!$A$2:$W$113,23,0)</f>
        <v>0</v>
      </c>
      <c r="AJ62" s="74">
        <f t="shared" ca="1" si="35"/>
        <v>50042.666666666664</v>
      </c>
      <c r="AK62" s="34">
        <f>IF(ISNA(VLOOKUP(A62,[1]AVANTAGE!$A$5:$T$118,19,0))=TRUE,0,VLOOKUP(A62,[1]AVANTAGE!$A$5:$T$118,19,0))</f>
        <v>0</v>
      </c>
      <c r="AL62" s="34">
        <f>IF(ISNA(VLOOKUP(A62,[1]AVANTAGE!$A$5:$T$118,20,0))=TRUE,0,VLOOKUP(A62,[1]AVANTAGE!$A$5:$T$118,20,0))</f>
        <v>0</v>
      </c>
      <c r="AM62" s="75">
        <f t="shared" ca="1" si="36"/>
        <v>50042.666666666664</v>
      </c>
      <c r="AN62" s="75">
        <f t="shared" ca="1" si="4"/>
        <v>500.42666666666668</v>
      </c>
      <c r="AO62" s="34">
        <f t="shared" ca="1" si="33"/>
        <v>500.42666666666668</v>
      </c>
      <c r="AP62" s="75"/>
      <c r="AQ62" s="75">
        <f t="shared" ca="1" si="37"/>
        <v>49000</v>
      </c>
      <c r="AR62" s="76">
        <f t="shared" ca="1" si="7"/>
        <v>0</v>
      </c>
      <c r="AS62" s="77">
        <f>VLOOKUP(A62,'[1]Liste personnel'!$B$3:$R$187,16,0)</f>
        <v>0</v>
      </c>
      <c r="AT62" s="75">
        <f t="shared" si="38"/>
        <v>0</v>
      </c>
      <c r="AU62" s="75">
        <f t="shared" ca="1" si="39"/>
        <v>0</v>
      </c>
      <c r="AV62" s="75">
        <f>IF(ISNA(VLOOKUP(A62,[1]AVANCE!$A$6:$E$122,4,0))=TRUE,0,VLOOKUP(A62,[1]AVANCE!$A$6:$E$122,4,0))</f>
        <v>0</v>
      </c>
      <c r="AW62" s="75">
        <f>IF(ISNA(VLOOKUP(A62,[1]AVANCE!$A$6:$E$122,5,0))=TRUE,0,VLOOKUP(A62,[1]AVANCE!$A$6:$E$122,5,0))</f>
        <v>0</v>
      </c>
      <c r="AX62" s="75">
        <f t="shared" si="40"/>
        <v>0</v>
      </c>
      <c r="AY62" s="34"/>
      <c r="AZ62" s="75">
        <f t="shared" ca="1" si="41"/>
        <v>1000.8533333333334</v>
      </c>
      <c r="BA62" s="75">
        <f t="shared" ca="1" si="42"/>
        <v>49041.813333333332</v>
      </c>
      <c r="BB62" s="78"/>
      <c r="BC62" s="79"/>
      <c r="BD62" s="80">
        <f t="shared" ca="1" si="31"/>
        <v>49041.813333333332</v>
      </c>
      <c r="BE62" s="81">
        <f ca="1">IF(BD62-INT(BD62/100)*100&gt;0,INT(BD62/100)*100+100,INT(BD62/100)*100)</f>
        <v>49100</v>
      </c>
      <c r="BF62" s="82"/>
      <c r="BG62" s="82"/>
      <c r="BH62" s="83">
        <f t="shared" si="44"/>
        <v>0</v>
      </c>
      <c r="BI62" s="83">
        <f t="shared" si="45"/>
        <v>0</v>
      </c>
      <c r="BJ62" s="83">
        <f t="shared" si="46"/>
        <v>0</v>
      </c>
      <c r="BK62" s="83">
        <f t="shared" ca="1" si="47"/>
        <v>49041.813333333332</v>
      </c>
      <c r="BL62" s="84">
        <f t="shared" si="18"/>
        <v>50042.666666666664</v>
      </c>
      <c r="BM62" s="88"/>
      <c r="BN62" s="89"/>
      <c r="BO62" s="86"/>
    </row>
    <row r="63" spans="1:67" s="85" customFormat="1" ht="27" customHeight="1">
      <c r="A63" s="65" t="s">
        <v>123</v>
      </c>
      <c r="B63" s="66" t="s">
        <v>304</v>
      </c>
      <c r="C63" s="67"/>
      <c r="D63" s="68" t="s">
        <v>290</v>
      </c>
      <c r="E63" s="69">
        <v>41890</v>
      </c>
      <c r="F63" s="70">
        <v>42359</v>
      </c>
      <c r="G63" s="69" t="s">
        <v>305</v>
      </c>
      <c r="H63" s="71" t="s">
        <v>187</v>
      </c>
      <c r="I63" s="72">
        <v>230000</v>
      </c>
      <c r="J63" s="28">
        <v>42369</v>
      </c>
      <c r="K63" s="72">
        <v>11</v>
      </c>
      <c r="L63" s="72">
        <f t="shared" si="34"/>
        <v>84333.333333333328</v>
      </c>
      <c r="M63" s="73">
        <f>IF(ISNA(VLOOKUP(A63,[1]ABSENCE!$B$5:$AK$76,35,0))=TRUE,0,VLOOKUP(A63,[1]ABSENCE!$B$5:$AK$76,35,0))</f>
        <v>0</v>
      </c>
      <c r="N63" s="34">
        <f>IF(ISNA(VLOOKUP(A63,[1]ABSENCE!$B$5:$AK$76,36,0))=TRUE,0,VLOOKUP(A63,[1]ABSENCE!$B$5:$AK$76,36,0))</f>
        <v>0</v>
      </c>
      <c r="O63" s="31">
        <f>IF(ISNA(VLOOKUP($A63,[1]HS!$B$5:$T$122,3,0))=TRUE,0,VLOOKUP($A63,[1]HS!$B$5:$T$122,3,0))</f>
        <v>1326.9485951652916</v>
      </c>
      <c r="P63" s="32">
        <f ca="1">IF(ISNA(IF(O63=0,0,VLOOKUP($A63,[1]HS!$B$5:$T$122,10,0)))=TRUE,0,IF(O63=0,0,VLOOKUP($A63,[1]HS!$B$5:$T$122,10,0)))</f>
        <v>0</v>
      </c>
      <c r="Q63" s="33">
        <f ca="1">IF(ISNA(VLOOKUP($A63,[1]HS!$B$5:$T$122,11,0))=TRUE,0,VLOOKUP($A63,[1]HS!$B$5:$T$122,11,0))</f>
        <v>0</v>
      </c>
      <c r="R63" s="32">
        <f ca="1">IF(ISNA(IF(O63=0,0,VLOOKUP($A63,[1]HS!$B$5:$T$122,12,0)))=TRUE,0,IF(O63=0,0,VLOOKUP($A63,[1]HS!$B$5:$T$122,12,0)))</f>
        <v>0</v>
      </c>
      <c r="S63" s="33">
        <f ca="1">IF(ISNA(VLOOKUP($A63,[1]HS!$B$5:$T$122,13,0))=TRUE,0,VLOOKUP($A63,[1]HS!$B$5:$T$122,13,0))</f>
        <v>0</v>
      </c>
      <c r="T63" s="32">
        <f ca="1">IF(ISNA(IF(O63=0,0,VLOOKUP($A63,[1]HS!$B$5:$T$122,14,0)))=TRUE,0,IF(O63=0,0,VLOOKUP($A63,[1]HS!$B$5:$T$122,14,0)))</f>
        <v>0</v>
      </c>
      <c r="U63" s="33">
        <f ca="1">IF(ISNA(VLOOKUP($A63,[1]HS!$B$5:$T$122,15,0))=TRUE,0,VLOOKUP($A63,[1]HS!$B$5:$T$122,15,0))</f>
        <v>0</v>
      </c>
      <c r="V63" s="32">
        <f ca="1">(IF(O63=0,0,VLOOKUP($A63,[1]HS!$B$5:$T$122,16,0)))</f>
        <v>0</v>
      </c>
      <c r="W63" s="33">
        <f ca="1">IF(ISNA(VLOOKUP($A63,[1]HS!$B$5:$T$122,17,0))=TRUE,0,VLOOKUP($A63,[1]HS!$B$5:$T$122,17,0))</f>
        <v>0</v>
      </c>
      <c r="X63" s="32">
        <f ca="1">(IF(O63=0,0,VLOOKUP($A63,[1]HS!$B$5:$T$122,18,0)))</f>
        <v>0</v>
      </c>
      <c r="Y63" s="33">
        <f ca="1">IF(ISNA(VLOOKUP($A63,[1]HS!$B$5:$T$122,19,0))=TRUE,0,VLOOKUP($A63,[1]HS!$B$5:$T$122,19,0))</f>
        <v>0</v>
      </c>
      <c r="Z63" s="34">
        <f t="shared" ca="1" si="1"/>
        <v>0</v>
      </c>
      <c r="AA63" s="74">
        <f>+VLOOKUP(A63,[1]CONGE!$A$2:$W$113,20,0)</f>
        <v>0</v>
      </c>
      <c r="AB63" s="74">
        <f>+VLOOKUP(A63,[1]CONGE!$A$2:$W$113,21,0)</f>
        <v>0</v>
      </c>
      <c r="AC63" s="34">
        <f>IF(ISNA(VLOOKUP(A63,'[1]REPAS+DEPL'!$A$6:$M$1028,13,0))=TRUE,0,VLOOKUP(A63,'[1]REPAS+DEPL'!$A$6:$M$1028,13,0))</f>
        <v>0</v>
      </c>
      <c r="AD63" s="74"/>
      <c r="AE63" s="34">
        <f>IF(ISNA(VLOOKUP(A63,[1]Préavis!$A$2:$E$98,5,0))=TRUE,0,(VLOOKUP(A63,[1]Préavis!$A$2:$E$98,5,0)))</f>
        <v>0</v>
      </c>
      <c r="AF63" s="74">
        <f>+VLOOKUP(A63,[1]CONGE!$A$2:$V$112,18,0)</f>
        <v>0</v>
      </c>
      <c r="AG63" s="34">
        <f>IF(ISNA(VLOOKUP($A63,[1]CONGE!$A$2:$S$134,19,0))=TRUE,0,VLOOKUP($A63,[1]CONGE!$A$2:$S$134,19,0))</f>
        <v>0</v>
      </c>
      <c r="AH63" s="74">
        <f>+VLOOKUP(A63,[1]CONGE!$A$2:$W$113,22,0)</f>
        <v>0</v>
      </c>
      <c r="AI63" s="74">
        <f>+VLOOKUP(A63,[1]CONGE!$A$2:$W$113,23,0)</f>
        <v>0</v>
      </c>
      <c r="AJ63" s="74">
        <f t="shared" ca="1" si="35"/>
        <v>84333.333333333328</v>
      </c>
      <c r="AK63" s="34">
        <f>IF(ISNA(VLOOKUP(A63,[1]AVANTAGE!$A$5:$T$118,19,0))=TRUE,0,VLOOKUP(A63,[1]AVANTAGE!$A$5:$T$118,19,0))</f>
        <v>0</v>
      </c>
      <c r="AL63" s="34">
        <f>IF(ISNA(VLOOKUP(A63,[1]AVANTAGE!$A$5:$T$118,20,0))=TRUE,0,VLOOKUP(A63,[1]AVANTAGE!$A$5:$T$118,20,0))</f>
        <v>0</v>
      </c>
      <c r="AM63" s="75">
        <f t="shared" ca="1" si="36"/>
        <v>84333.333333333328</v>
      </c>
      <c r="AN63" s="75">
        <f t="shared" ca="1" si="4"/>
        <v>843.33333333333326</v>
      </c>
      <c r="AO63" s="34">
        <f t="shared" ca="1" si="33"/>
        <v>843.33333333333326</v>
      </c>
      <c r="AP63" s="75"/>
      <c r="AQ63" s="75">
        <f t="shared" ca="1" si="37"/>
        <v>82600</v>
      </c>
      <c r="AR63" s="76">
        <f t="shared" ca="1" si="7"/>
        <v>0</v>
      </c>
      <c r="AS63" s="77">
        <f>VLOOKUP(A63,'[1]Liste personnel'!$B$3:$R$187,16,0)</f>
        <v>0</v>
      </c>
      <c r="AT63" s="75">
        <f t="shared" si="38"/>
        <v>0</v>
      </c>
      <c r="AU63" s="75">
        <f t="shared" ca="1" si="39"/>
        <v>0</v>
      </c>
      <c r="AV63" s="75">
        <f>IF(ISNA(VLOOKUP(A63,[1]AVANCE!$A$6:$E$122,4,0))=TRUE,0,VLOOKUP(A63,[1]AVANCE!$A$6:$E$122,4,0))</f>
        <v>0</v>
      </c>
      <c r="AW63" s="75">
        <f>IF(ISNA(VLOOKUP(A63,[1]AVANCE!$A$6:$E$122,5,0))=TRUE,0,VLOOKUP(A63,[1]AVANCE!$A$6:$E$122,5,0))</f>
        <v>0</v>
      </c>
      <c r="AX63" s="75">
        <f t="shared" si="40"/>
        <v>0</v>
      </c>
      <c r="AY63" s="34"/>
      <c r="AZ63" s="75">
        <f t="shared" ca="1" si="41"/>
        <v>1686.6666666666665</v>
      </c>
      <c r="BA63" s="75">
        <f t="shared" ca="1" si="42"/>
        <v>82646.666666666657</v>
      </c>
      <c r="BB63" s="78"/>
      <c r="BC63" s="79"/>
      <c r="BD63" s="80">
        <f t="shared" ca="1" si="31"/>
        <v>82646.666666666657</v>
      </c>
      <c r="BE63" s="81">
        <f t="shared" ca="1" si="43"/>
        <v>82700</v>
      </c>
      <c r="BF63" s="82"/>
      <c r="BG63" s="82"/>
      <c r="BH63" s="83">
        <f t="shared" si="44"/>
        <v>0</v>
      </c>
      <c r="BI63" s="83">
        <f t="shared" si="45"/>
        <v>0</v>
      </c>
      <c r="BJ63" s="83">
        <f t="shared" si="46"/>
        <v>0</v>
      </c>
      <c r="BK63" s="83">
        <f t="shared" ca="1" si="47"/>
        <v>82646.666666666657</v>
      </c>
      <c r="BL63" s="84">
        <f t="shared" si="18"/>
        <v>84333.333333333328</v>
      </c>
      <c r="BN63" s="90"/>
      <c r="BO63" s="86"/>
    </row>
    <row r="64" spans="1:67" s="18" customFormat="1" ht="27" customHeight="1">
      <c r="A64" s="50" t="s">
        <v>124</v>
      </c>
      <c r="B64" s="51" t="s">
        <v>306</v>
      </c>
      <c r="C64" s="52"/>
      <c r="D64" s="53" t="s">
        <v>301</v>
      </c>
      <c r="E64" s="54">
        <v>41969</v>
      </c>
      <c r="F64" s="25">
        <v>42359</v>
      </c>
      <c r="G64" s="54" t="s">
        <v>307</v>
      </c>
      <c r="H64" s="55" t="s">
        <v>187</v>
      </c>
      <c r="I64" s="29">
        <v>133100</v>
      </c>
      <c r="J64" s="28">
        <v>42369</v>
      </c>
      <c r="K64" s="29">
        <v>11</v>
      </c>
      <c r="L64" s="29">
        <f t="shared" si="34"/>
        <v>48803.333333333336</v>
      </c>
      <c r="M64" s="56">
        <f>IF(ISNA(VLOOKUP(A64,[1]ABSENCE!$B$5:$AK$76,35,0))=TRUE,0,VLOOKUP(A64,[1]ABSENCE!$B$5:$AK$76,35,0))</f>
        <v>0</v>
      </c>
      <c r="N64" s="33">
        <f>IF(ISNA(VLOOKUP(A64,[1]ABSENCE!$B$5:$AK$76,36,0))=TRUE,0,VLOOKUP(A64,[1]ABSENCE!$B$5:$AK$76,36,0))</f>
        <v>0</v>
      </c>
      <c r="O64" s="31">
        <f>IF(ISNA(VLOOKUP($A64,[1]HS!$B$5:$T$122,3,0))=TRUE,0,VLOOKUP($A64,[1]HS!$B$5:$T$122,3,0))</f>
        <v>767.89938268043613</v>
      </c>
      <c r="P64" s="32"/>
      <c r="Q64" s="33"/>
      <c r="R64" s="32"/>
      <c r="S64" s="33"/>
      <c r="T64" s="32"/>
      <c r="U64" s="33"/>
      <c r="V64" s="32"/>
      <c r="W64" s="33"/>
      <c r="X64" s="32"/>
      <c r="Y64" s="33"/>
      <c r="Z64" s="34">
        <f t="shared" si="1"/>
        <v>0</v>
      </c>
      <c r="AA64" s="31">
        <f>+VLOOKUP(A64,[1]CONGE!$A$2:$W$113,20,0)</f>
        <v>0</v>
      </c>
      <c r="AB64" s="31">
        <f>+VLOOKUP(A64,[1]CONGE!$A$2:$W$113,21,0)</f>
        <v>0</v>
      </c>
      <c r="AC64" s="33">
        <f>IF(ISNA(VLOOKUP(A64,'[1]REPAS+DEPL'!$A$6:$M$1028,13,0))=TRUE,0,VLOOKUP(A64,'[1]REPAS+DEPL'!$A$6:$M$1028,13,0))</f>
        <v>0</v>
      </c>
      <c r="AD64" s="35"/>
      <c r="AE64" s="33">
        <f>IF(ISNA(VLOOKUP(A64,[1]Préavis!$A$2:$E$98,5,0))=TRUE,0,(VLOOKUP(A64,[1]Préavis!$A$2:$E$98,5,0)))</f>
        <v>0</v>
      </c>
      <c r="AF64" s="31">
        <f>+VLOOKUP(A64,[1]CONGE!$A$2:$V$112,18,0)</f>
        <v>0</v>
      </c>
      <c r="AG64" s="33">
        <f>IF(ISNA(VLOOKUP($A64,[1]CONGE!$A$2:$S$134,19,0))=TRUE,0,VLOOKUP($A64,[1]CONGE!$A$2:$S$134,19,0))</f>
        <v>0</v>
      </c>
      <c r="AH64" s="31">
        <f>+VLOOKUP(A64,[1]CONGE!$A$2:$W$113,22,0)</f>
        <v>0</v>
      </c>
      <c r="AI64" s="31">
        <f>+VLOOKUP(A64,[1]CONGE!$A$2:$W$113,23,0)</f>
        <v>0</v>
      </c>
      <c r="AJ64" s="36">
        <f t="shared" si="35"/>
        <v>48803.333333333336</v>
      </c>
      <c r="AK64" s="33">
        <f>IF(ISNA(VLOOKUP(A64,[1]AVANTAGE!$A$5:$T$118,19,0))=TRUE,0,VLOOKUP(A64,[1]AVANTAGE!$A$5:$T$118,19,0))</f>
        <v>0</v>
      </c>
      <c r="AL64" s="33">
        <f>IF(ISNA(VLOOKUP(A64,[1]AVANTAGE!$A$5:$T$118,20,0))=TRUE,0,VLOOKUP(A64,[1]AVANTAGE!$A$5:$T$118,20,0))</f>
        <v>0</v>
      </c>
      <c r="AM64" s="37">
        <f t="shared" si="36"/>
        <v>48803.333333333336</v>
      </c>
      <c r="AN64" s="38">
        <f t="shared" si="4"/>
        <v>488.03333333333336</v>
      </c>
      <c r="AO64" s="33">
        <f t="shared" si="33"/>
        <v>488.03333333333336</v>
      </c>
      <c r="AP64" s="38"/>
      <c r="AQ64" s="38">
        <f t="shared" si="37"/>
        <v>47800</v>
      </c>
      <c r="AR64" s="39">
        <f>IF(AQ64=0,0,IF(AQ64&lt;=250000,0,(AQ64-250000)*20%))</f>
        <v>0</v>
      </c>
      <c r="AS64" s="40">
        <f>VLOOKUP(A64,'[1]Liste personnel'!$B$3:$R$187,16,0)</f>
        <v>0</v>
      </c>
      <c r="AT64" s="38">
        <f t="shared" si="38"/>
        <v>0</v>
      </c>
      <c r="AU64" s="38">
        <f t="shared" si="39"/>
        <v>0</v>
      </c>
      <c r="AV64" s="38">
        <f>IF(ISNA(VLOOKUP(A64,[1]AVANCE!$A$6:$E$122,4,0))=TRUE,0,VLOOKUP(A64,[1]AVANCE!$A$6:$E$122,4,0))</f>
        <v>0</v>
      </c>
      <c r="AW64" s="38">
        <f>IF(ISNA(VLOOKUP(A64,[1]AVANCE!$A$6:$E$122,5,0))=TRUE,0,VLOOKUP(A64,[1]AVANCE!$A$6:$E$122,5,0))</f>
        <v>0</v>
      </c>
      <c r="AX64" s="38">
        <f t="shared" si="40"/>
        <v>0</v>
      </c>
      <c r="AY64" s="57"/>
      <c r="AZ64" s="58">
        <f t="shared" si="41"/>
        <v>976.06666666666672</v>
      </c>
      <c r="BA64" s="38">
        <f t="shared" si="42"/>
        <v>47827.26666666667</v>
      </c>
      <c r="BB64" s="42"/>
      <c r="BC64" s="43"/>
      <c r="BD64" s="59">
        <f t="shared" si="31"/>
        <v>47827.26666666667</v>
      </c>
      <c r="BE64" s="60">
        <f t="shared" si="43"/>
        <v>47900</v>
      </c>
      <c r="BF64" s="61"/>
      <c r="BG64" s="61"/>
      <c r="BH64" s="62">
        <f t="shared" si="44"/>
        <v>0</v>
      </c>
      <c r="BI64" s="62">
        <f t="shared" si="45"/>
        <v>0</v>
      </c>
      <c r="BJ64" s="62">
        <f t="shared" si="46"/>
        <v>0</v>
      </c>
      <c r="BK64" s="63">
        <f t="shared" si="47"/>
        <v>47827.26666666667</v>
      </c>
      <c r="BL64" s="48">
        <f>+L64-N64</f>
        <v>48803.333333333336</v>
      </c>
      <c r="BN64" s="49"/>
      <c r="BO64" s="49"/>
    </row>
    <row r="65" spans="1:67" s="18" customFormat="1" ht="27" customHeight="1">
      <c r="A65" s="50" t="s">
        <v>125</v>
      </c>
      <c r="B65" s="51" t="s">
        <v>308</v>
      </c>
      <c r="C65" s="52"/>
      <c r="D65" s="53" t="s">
        <v>309</v>
      </c>
      <c r="E65" s="54">
        <v>42037</v>
      </c>
      <c r="F65" s="25">
        <v>42359</v>
      </c>
      <c r="G65" s="54" t="s">
        <v>310</v>
      </c>
      <c r="H65" s="55" t="s">
        <v>173</v>
      </c>
      <c r="I65" s="29">
        <v>701510</v>
      </c>
      <c r="J65" s="28">
        <v>42369</v>
      </c>
      <c r="K65" s="29">
        <v>11</v>
      </c>
      <c r="L65" s="29">
        <f t="shared" si="34"/>
        <v>257220.33333333334</v>
      </c>
      <c r="M65" s="56">
        <f>IF(ISNA(VLOOKUP(A65,[1]ABSENCE!$B$5:$AK$76,35,0))=TRUE,0,VLOOKUP(A65,[1]ABSENCE!$B$5:$AK$76,35,0))</f>
        <v>0</v>
      </c>
      <c r="N65" s="33">
        <f>IF(ISNA(VLOOKUP(A65,[1]ABSENCE!$B$5:$AK$76,36,0))=TRUE,0,VLOOKUP(A65,[1]ABSENCE!$B$5:$AK$76,36,0))</f>
        <v>0</v>
      </c>
      <c r="O65" s="31">
        <f>IF(ISNA(VLOOKUP($A65,[1]HS!$B$5:$T$122,3,0))=TRUE,0,VLOOKUP($A65,[1]HS!$B$5:$T$122,3,0))</f>
        <v>4047.2509086713203</v>
      </c>
      <c r="P65" s="32"/>
      <c r="Q65" s="33"/>
      <c r="R65" s="32"/>
      <c r="S65" s="33"/>
      <c r="T65" s="32"/>
      <c r="U65" s="33"/>
      <c r="V65" s="32"/>
      <c r="W65" s="33"/>
      <c r="X65" s="32"/>
      <c r="Y65" s="33"/>
      <c r="Z65" s="34">
        <f t="shared" si="1"/>
        <v>0</v>
      </c>
      <c r="AA65" s="31">
        <f>+VLOOKUP(A65,[1]CONGE!$A$2:$W$113,20,0)</f>
        <v>0</v>
      </c>
      <c r="AB65" s="31">
        <f>+VLOOKUP(A65,[1]CONGE!$A$2:$W$113,21,0)</f>
        <v>0</v>
      </c>
      <c r="AC65" s="33">
        <f>IF(ISNA(VLOOKUP(A65,'[1]REPAS+DEPL'!$A$6:$M$1028,13,0))=TRUE,0,VLOOKUP(A65,'[1]REPAS+DEPL'!$A$6:$M$1028,13,0))</f>
        <v>0</v>
      </c>
      <c r="AD65" s="35"/>
      <c r="AE65" s="33">
        <f>IF(ISNA(VLOOKUP(A65,[1]Préavis!$A$2:$E$98,5,0))=TRUE,0,(VLOOKUP(A65,[1]Préavis!$A$2:$E$98,5,0)))</f>
        <v>0</v>
      </c>
      <c r="AF65" s="31">
        <f>+VLOOKUP(A65,[1]CONGE!$A$2:$V$112,18,0)</f>
        <v>0</v>
      </c>
      <c r="AG65" s="33">
        <f>IF(ISNA(VLOOKUP($A65,[1]CONGE!$A$2:$S$134,19,0))=TRUE,0,VLOOKUP($A65,[1]CONGE!$A$2:$S$134,19,0))</f>
        <v>0</v>
      </c>
      <c r="AH65" s="31">
        <f>+VLOOKUP(A65,[1]CONGE!$A$2:$W$113,22,0)</f>
        <v>0</v>
      </c>
      <c r="AI65" s="31">
        <f>+VLOOKUP(A65,[1]CONGE!$A$2:$W$113,23,0)</f>
        <v>0</v>
      </c>
      <c r="AJ65" s="36">
        <f t="shared" si="35"/>
        <v>257220.33333333334</v>
      </c>
      <c r="AK65" s="33">
        <f>IF(ISNA(VLOOKUP(A65,[1]AVANTAGE!$A$5:$T$118,19,0))=TRUE,0,VLOOKUP(A65,[1]AVANTAGE!$A$5:$T$118,19,0))</f>
        <v>0</v>
      </c>
      <c r="AL65" s="33">
        <f>IF(ISNA(VLOOKUP(A65,[1]AVANTAGE!$A$5:$T$118,20,0))=TRUE,0,VLOOKUP(A65,[1]AVANTAGE!$A$5:$T$118,20,0))</f>
        <v>0</v>
      </c>
      <c r="AM65" s="37">
        <f t="shared" si="36"/>
        <v>257220.33333333334</v>
      </c>
      <c r="AN65" s="38">
        <f t="shared" si="4"/>
        <v>2572.2033333333334</v>
      </c>
      <c r="AO65" s="33">
        <f t="shared" si="33"/>
        <v>2572.2033333333334</v>
      </c>
      <c r="AP65" s="38"/>
      <c r="AQ65" s="38">
        <f t="shared" si="37"/>
        <v>252000</v>
      </c>
      <c r="AR65" s="39">
        <f>IF(AQ65=0,0,IF(AQ65&lt;=250000,0,(AQ65-250000)*20%))</f>
        <v>400</v>
      </c>
      <c r="AS65" s="40">
        <f>VLOOKUP(A65,'[1]Liste personnel'!$B$3:$R$187,16,0)</f>
        <v>0</v>
      </c>
      <c r="AT65" s="38">
        <f t="shared" si="38"/>
        <v>0</v>
      </c>
      <c r="AU65" s="38">
        <f t="shared" si="39"/>
        <v>400</v>
      </c>
      <c r="AV65" s="38">
        <f>IF(ISNA(VLOOKUP(A65,[1]AVANCE!$A$6:$E$122,4,0))=TRUE,0,VLOOKUP(A65,[1]AVANCE!$A$6:$E$122,4,0))</f>
        <v>0</v>
      </c>
      <c r="AW65" s="38">
        <f>IF(ISNA(VLOOKUP(A65,[1]AVANCE!$A$6:$E$122,5,0))=TRUE,0,VLOOKUP(A65,[1]AVANCE!$A$6:$E$122,5,0))</f>
        <v>0</v>
      </c>
      <c r="AX65" s="38">
        <f t="shared" si="40"/>
        <v>0</v>
      </c>
      <c r="AY65" s="57"/>
      <c r="AZ65" s="58">
        <f t="shared" si="41"/>
        <v>5544.4066666666668</v>
      </c>
      <c r="BA65" s="38">
        <f t="shared" si="42"/>
        <v>251675.92666666667</v>
      </c>
      <c r="BB65" s="42"/>
      <c r="BC65" s="43"/>
      <c r="BD65" s="59">
        <f t="shared" si="31"/>
        <v>251675.92666666667</v>
      </c>
      <c r="BE65" s="60">
        <f t="shared" si="43"/>
        <v>251700</v>
      </c>
      <c r="BF65" s="61"/>
      <c r="BG65" s="61"/>
      <c r="BH65" s="62">
        <f t="shared" si="44"/>
        <v>0</v>
      </c>
      <c r="BI65" s="62">
        <f t="shared" si="45"/>
        <v>0</v>
      </c>
      <c r="BJ65" s="62">
        <f t="shared" si="46"/>
        <v>0</v>
      </c>
      <c r="BK65" s="63">
        <f t="shared" si="47"/>
        <v>251675.92666666667</v>
      </c>
      <c r="BL65" s="48">
        <f>+L65-N65</f>
        <v>257220.33333333334</v>
      </c>
      <c r="BN65" s="49"/>
      <c r="BO65" s="49"/>
    </row>
    <row r="66" spans="1:67" s="85" customFormat="1" ht="27" customHeight="1">
      <c r="A66" s="65" t="s">
        <v>126</v>
      </c>
      <c r="B66" s="66" t="s">
        <v>311</v>
      </c>
      <c r="C66" s="67"/>
      <c r="D66" s="68" t="s">
        <v>290</v>
      </c>
      <c r="E66" s="69">
        <v>42066</v>
      </c>
      <c r="F66" s="70">
        <v>42359</v>
      </c>
      <c r="G66" s="69" t="s">
        <v>260</v>
      </c>
      <c r="H66" s="71" t="s">
        <v>187</v>
      </c>
      <c r="I66" s="72">
        <v>133100</v>
      </c>
      <c r="J66" s="28">
        <v>42369</v>
      </c>
      <c r="K66" s="72">
        <v>11</v>
      </c>
      <c r="L66" s="72">
        <f t="shared" si="34"/>
        <v>48803.333333333336</v>
      </c>
      <c r="M66" s="73">
        <f>IF(ISNA(VLOOKUP(A66,[1]ABSENCE!$B$5:$AK$76,35,0))=TRUE,0,VLOOKUP(A66,[1]ABSENCE!$B$5:$AK$76,35,0))</f>
        <v>0</v>
      </c>
      <c r="N66" s="34">
        <f>IF(ISNA(VLOOKUP(A66,[1]ABSENCE!$B$5:$AK$76,36,0))=TRUE,0,VLOOKUP(A66,[1]ABSENCE!$B$5:$AK$76,36,0))</f>
        <v>0</v>
      </c>
      <c r="O66" s="31">
        <f>IF(ISNA(VLOOKUP($A66,[1]HS!$B$5:$T$122,3,0))=TRUE,0,VLOOKUP($A66,[1]HS!$B$5:$T$122,3,0))</f>
        <v>0</v>
      </c>
      <c r="P66" s="32">
        <f>IF(ISNA(IF(O66=0,0,VLOOKUP($A66,[1]HS!$B$5:$T$122,10,0)))=TRUE,0,IF(O66=0,0,VLOOKUP($A66,[1]HS!$B$5:$T$122,10,0)))</f>
        <v>0</v>
      </c>
      <c r="Q66" s="33">
        <f>IF(ISNA(VLOOKUP($A66,[1]HS!$B$5:$T$122,11,0))=TRUE,0,VLOOKUP($A66,[1]HS!$B$5:$T$122,11,0))</f>
        <v>0</v>
      </c>
      <c r="R66" s="32">
        <f>IF(ISNA(IF(O66=0,0,VLOOKUP($A66,[1]HS!$B$5:$T$122,12,0)))=TRUE,0,IF(O66=0,0,VLOOKUP($A66,[1]HS!$B$5:$T$122,12,0)))</f>
        <v>0</v>
      </c>
      <c r="S66" s="33">
        <f>IF(ISNA(VLOOKUP($A66,[1]HS!$B$5:$T$122,13,0))=TRUE,0,VLOOKUP($A66,[1]HS!$B$5:$T$122,13,0))</f>
        <v>0</v>
      </c>
      <c r="T66" s="32">
        <f>IF(ISNA(IF(O66=0,0,VLOOKUP($A66,[1]HS!$B$5:$T$122,14,0)))=TRUE,0,IF(O66=0,0,VLOOKUP($A66,[1]HS!$B$5:$T$122,14,0)))</f>
        <v>0</v>
      </c>
      <c r="U66" s="33">
        <f>IF(ISNA(VLOOKUP($A66,[1]HS!$B$5:$T$122,15,0))=TRUE,0,VLOOKUP($A66,[1]HS!$B$5:$T$122,15,0))</f>
        <v>0</v>
      </c>
      <c r="V66" s="32">
        <f>(IF(O66=0,0,VLOOKUP($A66,[1]HS!$B$5:$T$122,16,0)))</f>
        <v>0</v>
      </c>
      <c r="W66" s="33">
        <f>IF(ISNA(VLOOKUP($A66,[1]HS!$B$5:$T$122,17,0))=TRUE,0,VLOOKUP($A66,[1]HS!$B$5:$T$122,17,0))</f>
        <v>0</v>
      </c>
      <c r="X66" s="32">
        <f>(IF(O66=0,0,VLOOKUP($A66,[1]HS!$B$5:$T$122,18,0)))</f>
        <v>0</v>
      </c>
      <c r="Y66" s="33">
        <f>IF(ISNA(VLOOKUP($A66,[1]HS!$B$5:$T$122,19,0))=TRUE,0,VLOOKUP($A66,[1]HS!$B$5:$T$122,19,0))</f>
        <v>0</v>
      </c>
      <c r="Z66" s="34">
        <f t="shared" ref="Z66:Z107" si="48">+Q66+S66+U66+W66+Y66</f>
        <v>0</v>
      </c>
      <c r="AA66" s="74">
        <f>+VLOOKUP(A66,[1]CONGE!$A$2:$W$113,20,0)</f>
        <v>0</v>
      </c>
      <c r="AB66" s="74">
        <f>+VLOOKUP(A66,[1]CONGE!$A$2:$W$113,21,0)</f>
        <v>0</v>
      </c>
      <c r="AC66" s="34">
        <f>IF(ISNA(VLOOKUP(A66,'[1]REPAS+DEPL'!$A$6:$M$1028,13,0))=TRUE,0,VLOOKUP(A66,'[1]REPAS+DEPL'!$A$6:$M$1028,13,0))</f>
        <v>0</v>
      </c>
      <c r="AD66" s="74"/>
      <c r="AE66" s="34">
        <f>IF(ISNA(VLOOKUP(A66,[1]Préavis!$A$2:$E$98,5,0))=TRUE,0,(VLOOKUP(A66,[1]Préavis!$A$2:$E$98,5,0)))</f>
        <v>0</v>
      </c>
      <c r="AF66" s="74">
        <f>+VLOOKUP(A66,[1]CONGE!$A$2:$V$112,18,0)</f>
        <v>0</v>
      </c>
      <c r="AG66" s="34">
        <f>IF(ISNA(VLOOKUP($A66,[1]CONGE!$A$2:$S$134,19,0))=TRUE,0,VLOOKUP($A66,[1]CONGE!$A$2:$S$134,19,0))</f>
        <v>0</v>
      </c>
      <c r="AH66" s="74">
        <f>+VLOOKUP(A66,[1]CONGE!$A$2:$W$113,22,0)</f>
        <v>0</v>
      </c>
      <c r="AI66" s="74">
        <f>+VLOOKUP(A66,[1]CONGE!$A$2:$W$113,23,0)</f>
        <v>0</v>
      </c>
      <c r="AJ66" s="74">
        <f t="shared" si="35"/>
        <v>48803.333333333336</v>
      </c>
      <c r="AK66" s="34">
        <f>IF(ISNA(VLOOKUP(A66,[1]AVANTAGE!$A$5:$T$118,19,0))=TRUE,0,VLOOKUP(A66,[1]AVANTAGE!$A$5:$T$118,19,0))</f>
        <v>0</v>
      </c>
      <c r="AL66" s="34">
        <f>IF(ISNA(VLOOKUP(A66,[1]AVANTAGE!$A$5:$T$118,20,0))=TRUE,0,VLOOKUP(A66,[1]AVANTAGE!$A$5:$T$118,20,0))</f>
        <v>0</v>
      </c>
      <c r="AM66" s="75">
        <f t="shared" si="36"/>
        <v>48803.333333333336</v>
      </c>
      <c r="AN66" s="75">
        <f t="shared" ref="AN66:AN76" si="49">IF(D66=0,0,(IF((AM66)*1%&gt;10641.07,10641.07,(AM66)*1%)))</f>
        <v>488.03333333333336</v>
      </c>
      <c r="AO66" s="34">
        <f t="shared" si="33"/>
        <v>488.03333333333336</v>
      </c>
      <c r="AP66" s="75"/>
      <c r="AQ66" s="75">
        <f t="shared" si="37"/>
        <v>47800</v>
      </c>
      <c r="AR66" s="76">
        <f>IF(AQ66=0,0,IF(AQ66&lt;=250000,0,(AQ66-250000)*20%))</f>
        <v>0</v>
      </c>
      <c r="AS66" s="77">
        <f>VLOOKUP(A66,'[1]Liste personnel'!$B$3:$R$187,16,0)</f>
        <v>0</v>
      </c>
      <c r="AT66" s="75">
        <f t="shared" si="38"/>
        <v>0</v>
      </c>
      <c r="AU66" s="75">
        <f t="shared" si="39"/>
        <v>0</v>
      </c>
      <c r="AV66" s="75">
        <f>IF(ISNA(VLOOKUP(A66,[1]AVANCE!$A$6:$E$122,4,0))=TRUE,0,VLOOKUP(A66,[1]AVANCE!$A$6:$E$122,4,0))</f>
        <v>0</v>
      </c>
      <c r="AW66" s="75">
        <f>IF(ISNA(VLOOKUP(A66,[1]AVANCE!$A$6:$E$122,5,0))=TRUE,0,VLOOKUP(A66,[1]AVANCE!$A$6:$E$122,5,0))</f>
        <v>0</v>
      </c>
      <c r="AX66" s="75">
        <f t="shared" si="40"/>
        <v>0</v>
      </c>
      <c r="AY66" s="34"/>
      <c r="AZ66" s="75">
        <f t="shared" si="41"/>
        <v>976.06666666666672</v>
      </c>
      <c r="BA66" s="75">
        <f t="shared" si="42"/>
        <v>47827.26666666667</v>
      </c>
      <c r="BB66" s="78"/>
      <c r="BC66" s="79"/>
      <c r="BD66" s="80">
        <f t="shared" si="31"/>
        <v>47827.26666666667</v>
      </c>
      <c r="BE66" s="81">
        <f t="shared" si="43"/>
        <v>47900</v>
      </c>
      <c r="BF66" s="82"/>
      <c r="BG66" s="82"/>
      <c r="BH66" s="83">
        <f t="shared" si="44"/>
        <v>0</v>
      </c>
      <c r="BI66" s="83">
        <f t="shared" si="45"/>
        <v>0</v>
      </c>
      <c r="BJ66" s="83">
        <f t="shared" si="46"/>
        <v>0</v>
      </c>
      <c r="BK66" s="83">
        <f t="shared" si="47"/>
        <v>47827.26666666667</v>
      </c>
      <c r="BL66" s="84">
        <f>+L66-N66</f>
        <v>48803.333333333336</v>
      </c>
      <c r="BM66" s="91"/>
      <c r="BN66" s="92"/>
      <c r="BO66" s="86"/>
    </row>
    <row r="67" spans="1:67" s="18" customFormat="1" ht="27" customHeight="1">
      <c r="A67" s="50" t="s">
        <v>127</v>
      </c>
      <c r="B67" s="51" t="s">
        <v>312</v>
      </c>
      <c r="C67" s="52"/>
      <c r="D67" s="53" t="s">
        <v>301</v>
      </c>
      <c r="E67" s="54">
        <v>42110</v>
      </c>
      <c r="F67" s="25">
        <v>42359</v>
      </c>
      <c r="G67" s="54" t="s">
        <v>215</v>
      </c>
      <c r="H67" s="55" t="s">
        <v>187</v>
      </c>
      <c r="I67" s="29">
        <v>133100</v>
      </c>
      <c r="J67" s="28">
        <v>42369</v>
      </c>
      <c r="K67" s="29">
        <v>11</v>
      </c>
      <c r="L67" s="29">
        <f t="shared" si="34"/>
        <v>48803.333333333336</v>
      </c>
      <c r="M67" s="56">
        <f>IF(ISNA(VLOOKUP(A67,[1]ABSENCE!$B$5:$AK$76,35,0))=TRUE,0,VLOOKUP(A67,[1]ABSENCE!$B$5:$AK$76,35,0))</f>
        <v>0</v>
      </c>
      <c r="N67" s="33">
        <f>IF(ISNA(VLOOKUP(A67,[1]ABSENCE!$B$5:$AK$76,36,0))=TRUE,0,VLOOKUP(A67,[1]ABSENCE!$B$5:$AK$76,36,0))</f>
        <v>0</v>
      </c>
      <c r="O67" s="31">
        <f>IF(ISNA(VLOOKUP($A67,[1]HS!$B$5:$T$122,3,0))=TRUE,0,VLOOKUP($A67,[1]HS!$B$5:$T$122,3,0))</f>
        <v>767.89938268043613</v>
      </c>
      <c r="P67" s="32"/>
      <c r="Q67" s="33"/>
      <c r="R67" s="32"/>
      <c r="S67" s="33"/>
      <c r="T67" s="32"/>
      <c r="U67" s="33"/>
      <c r="V67" s="32"/>
      <c r="W67" s="33"/>
      <c r="X67" s="32"/>
      <c r="Y67" s="33"/>
      <c r="Z67" s="34">
        <f t="shared" si="48"/>
        <v>0</v>
      </c>
      <c r="AA67" s="31">
        <f>+VLOOKUP(A67,[1]CONGE!$A$2:$W$113,20,0)</f>
        <v>0</v>
      </c>
      <c r="AB67" s="31">
        <f>+VLOOKUP(A67,[1]CONGE!$A$2:$W$113,21,0)</f>
        <v>0</v>
      </c>
      <c r="AC67" s="33">
        <f>IF(ISNA(VLOOKUP(A67,'[1]REPAS+DEPL'!$A$6:$M$1028,13,0))=TRUE,0,VLOOKUP(A67,'[1]REPAS+DEPL'!$A$6:$M$1028,13,0))</f>
        <v>0</v>
      </c>
      <c r="AD67" s="35"/>
      <c r="AE67" s="33">
        <f>IF(ISNA(VLOOKUP(A67,[1]Préavis!$A$2:$E$98,5,0))=TRUE,0,(VLOOKUP(A67,[1]Préavis!$A$2:$E$98,5,0)))</f>
        <v>0</v>
      </c>
      <c r="AF67" s="31">
        <f>+VLOOKUP(A67,[1]CONGE!$A$2:$V$112,18,0)</f>
        <v>0</v>
      </c>
      <c r="AG67" s="33">
        <f>IF(ISNA(VLOOKUP($A67,[1]CONGE!$A$2:$S$134,19,0))=TRUE,0,VLOOKUP($A67,[1]CONGE!$A$2:$S$134,19,0))</f>
        <v>0</v>
      </c>
      <c r="AH67" s="31">
        <f>+VLOOKUP(A67,[1]CONGE!$A$2:$W$113,22,0)</f>
        <v>0</v>
      </c>
      <c r="AI67" s="31">
        <f>+VLOOKUP(A67,[1]CONGE!$A$2:$W$113,23,0)</f>
        <v>0</v>
      </c>
      <c r="AJ67" s="36">
        <f t="shared" si="35"/>
        <v>48803.333333333336</v>
      </c>
      <c r="AK67" s="33">
        <f>IF(ISNA(VLOOKUP(A67,[1]AVANTAGE!$A$5:$T$118,19,0))=TRUE,0,VLOOKUP(A67,[1]AVANTAGE!$A$5:$T$118,19,0))</f>
        <v>0</v>
      </c>
      <c r="AL67" s="33">
        <f>IF(ISNA(VLOOKUP(A67,[1]AVANTAGE!$A$5:$T$118,20,0))=TRUE,0,VLOOKUP(A67,[1]AVANTAGE!$A$5:$T$118,20,0))</f>
        <v>0</v>
      </c>
      <c r="AM67" s="37">
        <f t="shared" si="36"/>
        <v>48803.333333333336</v>
      </c>
      <c r="AN67" s="38">
        <f t="shared" si="49"/>
        <v>488.03333333333336</v>
      </c>
      <c r="AO67" s="33">
        <f t="shared" si="33"/>
        <v>488.03333333333336</v>
      </c>
      <c r="AP67" s="38"/>
      <c r="AQ67" s="38">
        <f t="shared" si="37"/>
        <v>47800</v>
      </c>
      <c r="AR67" s="39">
        <f>IF(AQ67=0,0,IF(AQ67&lt;=250000,0,(AQ67-250000)*20%))</f>
        <v>0</v>
      </c>
      <c r="AS67" s="40">
        <f>VLOOKUP(A67,'[1]Liste personnel'!$B$3:$R$187,16,0)</f>
        <v>0</v>
      </c>
      <c r="AT67" s="38">
        <f t="shared" si="38"/>
        <v>0</v>
      </c>
      <c r="AU67" s="38">
        <f t="shared" si="39"/>
        <v>0</v>
      </c>
      <c r="AV67" s="38">
        <f>IF(ISNA(VLOOKUP(A67,[1]AVANCE!$A$6:$E$122,4,0))=TRUE,0,VLOOKUP(A67,[1]AVANCE!$A$6:$E$122,4,0))</f>
        <v>0</v>
      </c>
      <c r="AW67" s="38">
        <f>IF(ISNA(VLOOKUP(A67,[1]AVANCE!$A$6:$E$122,5,0))=TRUE,0,VLOOKUP(A67,[1]AVANCE!$A$6:$E$122,5,0))</f>
        <v>0</v>
      </c>
      <c r="AX67" s="38">
        <f t="shared" si="40"/>
        <v>0</v>
      </c>
      <c r="AY67" s="57"/>
      <c r="AZ67" s="58">
        <f t="shared" si="41"/>
        <v>976.06666666666672</v>
      </c>
      <c r="BA67" s="38">
        <f t="shared" si="42"/>
        <v>47827.26666666667</v>
      </c>
      <c r="BB67" s="42"/>
      <c r="BC67" s="43"/>
      <c r="BD67" s="59">
        <f t="shared" si="31"/>
        <v>47827.26666666667</v>
      </c>
      <c r="BE67" s="60">
        <f t="shared" si="43"/>
        <v>47900</v>
      </c>
      <c r="BF67" s="61"/>
      <c r="BG67" s="61"/>
      <c r="BH67" s="62">
        <f t="shared" si="44"/>
        <v>0</v>
      </c>
      <c r="BI67" s="62">
        <f t="shared" si="45"/>
        <v>0</v>
      </c>
      <c r="BJ67" s="62">
        <f t="shared" si="46"/>
        <v>0</v>
      </c>
      <c r="BK67" s="63">
        <f t="shared" si="47"/>
        <v>47827.26666666667</v>
      </c>
      <c r="BL67" s="48">
        <f>+L67-N67</f>
        <v>48803.333333333336</v>
      </c>
      <c r="BN67" s="49"/>
      <c r="BO67" s="49"/>
    </row>
    <row r="68" spans="1:67" s="18" customFormat="1" ht="27" customHeight="1">
      <c r="A68" s="50" t="s">
        <v>128</v>
      </c>
      <c r="B68" s="51" t="s">
        <v>313</v>
      </c>
      <c r="C68" s="52"/>
      <c r="D68" s="53" t="s">
        <v>301</v>
      </c>
      <c r="E68" s="54">
        <v>42109</v>
      </c>
      <c r="F68" s="25">
        <v>42359</v>
      </c>
      <c r="G68" s="54" t="s">
        <v>215</v>
      </c>
      <c r="H68" s="55" t="s">
        <v>187</v>
      </c>
      <c r="I68" s="29">
        <v>133100</v>
      </c>
      <c r="J68" s="28">
        <v>42369</v>
      </c>
      <c r="K68" s="29">
        <v>11</v>
      </c>
      <c r="L68" s="29">
        <f t="shared" si="34"/>
        <v>48803.333333333336</v>
      </c>
      <c r="M68" s="56">
        <f>IF(ISNA(VLOOKUP(A68,[1]ABSENCE!$B$5:$AK$76,35,0))=TRUE,0,VLOOKUP(A68,[1]ABSENCE!$B$5:$AK$76,35,0))</f>
        <v>0</v>
      </c>
      <c r="N68" s="33">
        <f>IF(ISNA(VLOOKUP(A68,[1]ABSENCE!$B$5:$AK$76,36,0))=TRUE,0,VLOOKUP(A68,[1]ABSENCE!$B$5:$AK$76,36,0))</f>
        <v>0</v>
      </c>
      <c r="O68" s="31">
        <f>IF(ISNA(VLOOKUP($A68,[1]HS!$B$5:$T$122,3,0))=TRUE,0,VLOOKUP($A68,[1]HS!$B$5:$T$122,3,0))</f>
        <v>767.89938268043613</v>
      </c>
      <c r="P68" s="32"/>
      <c r="Q68" s="33"/>
      <c r="R68" s="32"/>
      <c r="S68" s="33"/>
      <c r="T68" s="32"/>
      <c r="U68" s="33"/>
      <c r="V68" s="32"/>
      <c r="W68" s="33"/>
      <c r="X68" s="32"/>
      <c r="Y68" s="33"/>
      <c r="Z68" s="34">
        <f t="shared" si="48"/>
        <v>0</v>
      </c>
      <c r="AA68" s="31">
        <f>+VLOOKUP(A68,[1]CONGE!$A$2:$W$113,20,0)</f>
        <v>0</v>
      </c>
      <c r="AB68" s="31">
        <f>+VLOOKUP(A68,[1]CONGE!$A$2:$W$113,21,0)</f>
        <v>0</v>
      </c>
      <c r="AC68" s="33">
        <f>IF(ISNA(VLOOKUP(A68,'[1]REPAS+DEPL'!$A$6:$M$1028,13,0))=TRUE,0,VLOOKUP(A68,'[1]REPAS+DEPL'!$A$6:$M$1028,13,0))</f>
        <v>0</v>
      </c>
      <c r="AD68" s="35"/>
      <c r="AE68" s="33">
        <f>IF(ISNA(VLOOKUP(A68,[1]Préavis!$A$2:$E$98,5,0))=TRUE,0,(VLOOKUP(A68,[1]Préavis!$A$2:$E$98,5,0)))</f>
        <v>0</v>
      </c>
      <c r="AF68" s="31">
        <f>+VLOOKUP(A68,[1]CONGE!$A$2:$V$112,18,0)</f>
        <v>0</v>
      </c>
      <c r="AG68" s="33">
        <f>IF(ISNA(VLOOKUP($A68,[1]CONGE!$A$2:$S$134,19,0))=TRUE,0,VLOOKUP($A68,[1]CONGE!$A$2:$S$134,19,0))</f>
        <v>0</v>
      </c>
      <c r="AH68" s="31">
        <f>+VLOOKUP(A68,[1]CONGE!$A$2:$W$113,22,0)</f>
        <v>0</v>
      </c>
      <c r="AI68" s="31">
        <f>+VLOOKUP(A68,[1]CONGE!$A$2:$W$113,23,0)</f>
        <v>0</v>
      </c>
      <c r="AJ68" s="36">
        <f t="shared" si="35"/>
        <v>48803.333333333336</v>
      </c>
      <c r="AK68" s="33">
        <f>IF(ISNA(VLOOKUP(A68,[1]AVANTAGE!$A$5:$T$118,19,0))=TRUE,0,VLOOKUP(A68,[1]AVANTAGE!$A$5:$T$118,19,0))</f>
        <v>0</v>
      </c>
      <c r="AL68" s="33">
        <f>IF(ISNA(VLOOKUP(A68,[1]AVANTAGE!$A$5:$T$118,20,0))=TRUE,0,VLOOKUP(A68,[1]AVANTAGE!$A$5:$T$118,20,0))</f>
        <v>0</v>
      </c>
      <c r="AM68" s="37">
        <f t="shared" si="36"/>
        <v>48803.333333333336</v>
      </c>
      <c r="AN68" s="38">
        <f t="shared" si="49"/>
        <v>488.03333333333336</v>
      </c>
      <c r="AO68" s="33">
        <f t="shared" si="33"/>
        <v>488.03333333333336</v>
      </c>
      <c r="AP68" s="38"/>
      <c r="AQ68" s="38">
        <f t="shared" si="37"/>
        <v>47800</v>
      </c>
      <c r="AR68" s="39">
        <f>IF(AQ68=0,0,IF(AQ68&lt;=250000,0,(AQ68-250000)*20%))</f>
        <v>0</v>
      </c>
      <c r="AS68" s="40">
        <f>VLOOKUP(A68,'[1]Liste personnel'!$B$3:$R$187,16,0)</f>
        <v>0</v>
      </c>
      <c r="AT68" s="38">
        <f t="shared" si="38"/>
        <v>0</v>
      </c>
      <c r="AU68" s="38">
        <f t="shared" si="39"/>
        <v>0</v>
      </c>
      <c r="AV68" s="38">
        <f>IF(ISNA(VLOOKUP(A68,[1]AVANCE!$A$6:$E$122,4,0))=TRUE,0,VLOOKUP(A68,[1]AVANCE!$A$6:$E$122,4,0))</f>
        <v>0</v>
      </c>
      <c r="AW68" s="38">
        <f>IF(ISNA(VLOOKUP(A68,[1]AVANCE!$A$6:$E$122,5,0))=TRUE,0,VLOOKUP(A68,[1]AVANCE!$A$6:$E$122,5,0))</f>
        <v>0</v>
      </c>
      <c r="AX68" s="38">
        <f t="shared" si="40"/>
        <v>0</v>
      </c>
      <c r="AY68" s="57"/>
      <c r="AZ68" s="58">
        <f t="shared" si="41"/>
        <v>976.06666666666672</v>
      </c>
      <c r="BA68" s="38">
        <f t="shared" si="42"/>
        <v>47827.26666666667</v>
      </c>
      <c r="BB68" s="42"/>
      <c r="BC68" s="43"/>
      <c r="BD68" s="59">
        <f t="shared" si="31"/>
        <v>47827.26666666667</v>
      </c>
      <c r="BE68" s="60">
        <f t="shared" si="43"/>
        <v>47900</v>
      </c>
      <c r="BF68" s="61"/>
      <c r="BG68" s="61"/>
      <c r="BH68" s="62">
        <f t="shared" si="44"/>
        <v>0</v>
      </c>
      <c r="BI68" s="62">
        <f t="shared" si="45"/>
        <v>0</v>
      </c>
      <c r="BJ68" s="62">
        <f t="shared" si="46"/>
        <v>0</v>
      </c>
      <c r="BK68" s="63">
        <f t="shared" si="47"/>
        <v>47827.26666666667</v>
      </c>
      <c r="BL68" s="48">
        <f>+L68-N68</f>
        <v>48803.333333333336</v>
      </c>
      <c r="BN68" s="49"/>
      <c r="BO68" s="49"/>
    </row>
    <row r="69" spans="1:67" s="18" customFormat="1" ht="27" customHeight="1">
      <c r="A69" s="50" t="s">
        <v>129</v>
      </c>
      <c r="B69" s="51" t="s">
        <v>314</v>
      </c>
      <c r="C69" s="52"/>
      <c r="D69" s="53" t="s">
        <v>301</v>
      </c>
      <c r="E69" s="54">
        <v>42117</v>
      </c>
      <c r="F69" s="25">
        <v>42359</v>
      </c>
      <c r="G69" s="54" t="s">
        <v>215</v>
      </c>
      <c r="H69" s="55" t="s">
        <v>187</v>
      </c>
      <c r="I69" s="29">
        <v>133100</v>
      </c>
      <c r="J69" s="28">
        <v>42369</v>
      </c>
      <c r="K69" s="29">
        <v>11</v>
      </c>
      <c r="L69" s="29">
        <f t="shared" si="34"/>
        <v>48803.333333333336</v>
      </c>
      <c r="M69" s="56">
        <f>IF(ISNA(VLOOKUP(A69,[1]ABSENCE!$B$5:$AK$76,35,0))=TRUE,0,VLOOKUP(A69,[1]ABSENCE!$B$5:$AK$76,35,0))</f>
        <v>0</v>
      </c>
      <c r="N69" s="33">
        <f>IF(ISNA(VLOOKUP(A69,[1]ABSENCE!$B$5:$AK$76,36,0))=TRUE,0,VLOOKUP(A69,[1]ABSENCE!$B$5:$AK$76,36,0))</f>
        <v>0</v>
      </c>
      <c r="O69" s="31">
        <f>IF(ISNA(VLOOKUP($A69,[1]HS!$B$5:$T$122,3,0))=TRUE,0,VLOOKUP($A69,[1]HS!$B$5:$T$122,3,0))</f>
        <v>767.89938268043613</v>
      </c>
      <c r="P69" s="32"/>
      <c r="Q69" s="33"/>
      <c r="R69" s="32"/>
      <c r="S69" s="33"/>
      <c r="T69" s="32"/>
      <c r="U69" s="33"/>
      <c r="V69" s="32"/>
      <c r="W69" s="33"/>
      <c r="X69" s="32"/>
      <c r="Y69" s="33"/>
      <c r="Z69" s="34">
        <f t="shared" si="48"/>
        <v>0</v>
      </c>
      <c r="AA69" s="31">
        <f>+VLOOKUP(A69,[1]CONGE!$A$2:$W$113,20,0)</f>
        <v>0</v>
      </c>
      <c r="AB69" s="31">
        <f>+VLOOKUP(A69,[1]CONGE!$A$2:$W$113,21,0)</f>
        <v>0</v>
      </c>
      <c r="AC69" s="33">
        <f>IF(ISNA(VLOOKUP(A69,'[1]REPAS+DEPL'!$A$6:$M$1028,13,0))=TRUE,0,VLOOKUP(A69,'[1]REPAS+DEPL'!$A$6:$M$1028,13,0))</f>
        <v>0</v>
      </c>
      <c r="AD69" s="35"/>
      <c r="AE69" s="33">
        <f>IF(ISNA(VLOOKUP(A69,[1]Préavis!$A$2:$E$98,5,0))=TRUE,0,(VLOOKUP(A69,[1]Préavis!$A$2:$E$98,5,0)))</f>
        <v>0</v>
      </c>
      <c r="AF69" s="31">
        <f>+VLOOKUP(A69,[1]CONGE!$A$2:$V$112,18,0)</f>
        <v>0</v>
      </c>
      <c r="AG69" s="33">
        <f>IF(ISNA(VLOOKUP($A69,[1]CONGE!$A$2:$S$134,19,0))=TRUE,0,VLOOKUP($A69,[1]CONGE!$A$2:$S$134,19,0))</f>
        <v>0</v>
      </c>
      <c r="AH69" s="31">
        <f>+VLOOKUP(A69,[1]CONGE!$A$2:$W$113,22,0)</f>
        <v>0</v>
      </c>
      <c r="AI69" s="31">
        <f>+VLOOKUP(A69,[1]CONGE!$A$2:$W$113,23,0)</f>
        <v>0</v>
      </c>
      <c r="AJ69" s="36">
        <f t="shared" si="35"/>
        <v>48803.333333333336</v>
      </c>
      <c r="AK69" s="33">
        <f>IF(ISNA(VLOOKUP(A69,[1]AVANTAGE!$A$5:$T$118,19,0))=TRUE,0,VLOOKUP(A69,[1]AVANTAGE!$A$5:$T$118,19,0))</f>
        <v>0</v>
      </c>
      <c r="AL69" s="33">
        <f>IF(ISNA(VLOOKUP(A69,[1]AVANTAGE!$A$5:$T$118,20,0))=TRUE,0,VLOOKUP(A69,[1]AVANTAGE!$A$5:$T$118,20,0))</f>
        <v>0</v>
      </c>
      <c r="AM69" s="37">
        <f t="shared" si="36"/>
        <v>48803.333333333336</v>
      </c>
      <c r="AN69" s="38">
        <f t="shared" si="49"/>
        <v>488.03333333333336</v>
      </c>
      <c r="AO69" s="33">
        <f t="shared" si="33"/>
        <v>488.03333333333336</v>
      </c>
      <c r="AP69" s="38"/>
      <c r="AQ69" s="38">
        <f t="shared" si="37"/>
        <v>47800</v>
      </c>
      <c r="AR69" s="39">
        <f t="shared" ref="AR69:AR76" si="50">IF(AQ69=0,0,IF(AQ69&lt;=250000,0,(AQ69-250000)*20%))</f>
        <v>0</v>
      </c>
      <c r="AS69" s="40">
        <f>VLOOKUP(A69,'[1]Liste personnel'!$B$3:$R$187,16,0)</f>
        <v>0</v>
      </c>
      <c r="AT69" s="38">
        <f t="shared" si="38"/>
        <v>0</v>
      </c>
      <c r="AU69" s="38">
        <f t="shared" si="39"/>
        <v>0</v>
      </c>
      <c r="AV69" s="38">
        <f>IF(ISNA(VLOOKUP(A69,[1]AVANCE!$A$6:$E$122,4,0))=TRUE,0,VLOOKUP(A69,[1]AVANCE!$A$6:$E$122,4,0))</f>
        <v>0</v>
      </c>
      <c r="AW69" s="38">
        <f>IF(ISNA(VLOOKUP(A69,[1]AVANCE!$A$6:$E$122,5,0))=TRUE,0,VLOOKUP(A69,[1]AVANCE!$A$6:$E$122,5,0))</f>
        <v>0</v>
      </c>
      <c r="AX69" s="38">
        <f t="shared" si="40"/>
        <v>0</v>
      </c>
      <c r="AY69" s="57"/>
      <c r="AZ69" s="58">
        <f t="shared" si="41"/>
        <v>976.06666666666672</v>
      </c>
      <c r="BA69" s="38">
        <f t="shared" si="42"/>
        <v>47827.26666666667</v>
      </c>
      <c r="BB69" s="42"/>
      <c r="BC69" s="43"/>
      <c r="BD69" s="59">
        <f t="shared" si="31"/>
        <v>47827.26666666667</v>
      </c>
      <c r="BE69" s="60">
        <f t="shared" si="43"/>
        <v>47900</v>
      </c>
      <c r="BF69" s="61"/>
      <c r="BG69" s="61"/>
      <c r="BH69" s="62">
        <f t="shared" si="44"/>
        <v>0</v>
      </c>
      <c r="BI69" s="62">
        <f t="shared" si="45"/>
        <v>0</v>
      </c>
      <c r="BJ69" s="62">
        <f t="shared" si="46"/>
        <v>0</v>
      </c>
      <c r="BK69" s="63">
        <f t="shared" si="47"/>
        <v>47827.26666666667</v>
      </c>
      <c r="BL69" s="48">
        <f t="shared" ref="BL69:BL76" si="51">+L69-N69</f>
        <v>48803.333333333336</v>
      </c>
      <c r="BN69" s="49"/>
      <c r="BO69" s="49"/>
    </row>
    <row r="70" spans="1:67" s="18" customFormat="1" ht="27" customHeight="1">
      <c r="A70" s="50" t="s">
        <v>130</v>
      </c>
      <c r="B70" s="51" t="s">
        <v>315</v>
      </c>
      <c r="C70" s="52"/>
      <c r="D70" s="53" t="s">
        <v>316</v>
      </c>
      <c r="E70" s="54">
        <v>42129</v>
      </c>
      <c r="F70" s="25">
        <v>42359</v>
      </c>
      <c r="G70" s="54" t="s">
        <v>215</v>
      </c>
      <c r="H70" s="55" t="s">
        <v>187</v>
      </c>
      <c r="I70" s="29">
        <v>133100</v>
      </c>
      <c r="J70" s="28">
        <v>42369</v>
      </c>
      <c r="K70" s="29">
        <v>11</v>
      </c>
      <c r="L70" s="29">
        <f t="shared" si="34"/>
        <v>48803.333333333336</v>
      </c>
      <c r="M70" s="56">
        <f>IF(ISNA(VLOOKUP(A70,[1]ABSENCE!$B$5:$AK$76,35,0))=TRUE,0,VLOOKUP(A70,[1]ABSENCE!$B$5:$AK$76,35,0))</f>
        <v>0</v>
      </c>
      <c r="N70" s="33">
        <f>IF(ISNA(VLOOKUP(A70,[1]ABSENCE!$B$5:$AK$76,36,0))=TRUE,0,VLOOKUP(A70,[1]ABSENCE!$B$5:$AK$76,36,0))</f>
        <v>0</v>
      </c>
      <c r="O70" s="31">
        <f>IF(ISNA(VLOOKUP($A70,[1]HS!$B$5:$T$122,3,0))=TRUE,0,VLOOKUP($A70,[1]HS!$B$5:$T$122,3,0))</f>
        <v>767.89938268043613</v>
      </c>
      <c r="P70" s="32"/>
      <c r="Q70" s="33"/>
      <c r="R70" s="32"/>
      <c r="S70" s="33"/>
      <c r="T70" s="32"/>
      <c r="U70" s="33"/>
      <c r="V70" s="32"/>
      <c r="W70" s="33"/>
      <c r="X70" s="32"/>
      <c r="Y70" s="33"/>
      <c r="Z70" s="34">
        <f t="shared" si="48"/>
        <v>0</v>
      </c>
      <c r="AA70" s="31">
        <f>+VLOOKUP(A70,[1]CONGE!$A$2:$W$113,20,0)</f>
        <v>0</v>
      </c>
      <c r="AB70" s="31">
        <f>+VLOOKUP(A70,[1]CONGE!$A$2:$W$113,21,0)</f>
        <v>0</v>
      </c>
      <c r="AC70" s="33">
        <f>IF(ISNA(VLOOKUP(A70,'[1]REPAS+DEPL'!$A$6:$M$1028,13,0))=TRUE,0,VLOOKUP(A70,'[1]REPAS+DEPL'!$A$6:$M$1028,13,0))</f>
        <v>0</v>
      </c>
      <c r="AD70" s="35"/>
      <c r="AE70" s="33">
        <f>IF(ISNA(VLOOKUP(A70,[1]Préavis!$A$2:$E$98,5,0))=TRUE,0,(VLOOKUP(A70,[1]Préavis!$A$2:$E$98,5,0)))</f>
        <v>0</v>
      </c>
      <c r="AF70" s="31">
        <f>+VLOOKUP(A70,[1]CONGE!$A$2:$V$112,18,0)</f>
        <v>0</v>
      </c>
      <c r="AG70" s="33">
        <f>IF(ISNA(VLOOKUP($A70,[1]CONGE!$A$2:$S$134,19,0))=TRUE,0,VLOOKUP($A70,[1]CONGE!$A$2:$S$134,19,0))</f>
        <v>0</v>
      </c>
      <c r="AH70" s="31">
        <f>+VLOOKUP(A70,[1]CONGE!$A$2:$W$113,22,0)</f>
        <v>0</v>
      </c>
      <c r="AI70" s="31">
        <f>+VLOOKUP(A70,[1]CONGE!$A$2:$W$113,23,0)</f>
        <v>0</v>
      </c>
      <c r="AJ70" s="36">
        <f t="shared" si="35"/>
        <v>48803.333333333336</v>
      </c>
      <c r="AK70" s="33">
        <f>IF(ISNA(VLOOKUP(A70,[1]AVANTAGE!$A$5:$T$118,19,0))=TRUE,0,VLOOKUP(A70,[1]AVANTAGE!$A$5:$T$118,19,0))</f>
        <v>0</v>
      </c>
      <c r="AL70" s="33">
        <f>IF(ISNA(VLOOKUP(A70,[1]AVANTAGE!$A$5:$T$118,20,0))=TRUE,0,VLOOKUP(A70,[1]AVANTAGE!$A$5:$T$118,20,0))</f>
        <v>0</v>
      </c>
      <c r="AM70" s="37">
        <f t="shared" si="36"/>
        <v>48803.333333333336</v>
      </c>
      <c r="AN70" s="38">
        <f t="shared" si="49"/>
        <v>488.03333333333336</v>
      </c>
      <c r="AO70" s="33">
        <f t="shared" si="33"/>
        <v>488.03333333333336</v>
      </c>
      <c r="AP70" s="38"/>
      <c r="AQ70" s="38">
        <f t="shared" si="37"/>
        <v>47800</v>
      </c>
      <c r="AR70" s="39">
        <f t="shared" si="50"/>
        <v>0</v>
      </c>
      <c r="AS70" s="40">
        <f>VLOOKUP(A70,'[1]Liste personnel'!$B$3:$R$187,16,0)</f>
        <v>0</v>
      </c>
      <c r="AT70" s="38">
        <f t="shared" si="38"/>
        <v>0</v>
      </c>
      <c r="AU70" s="38">
        <f t="shared" si="39"/>
        <v>0</v>
      </c>
      <c r="AV70" s="38">
        <f>IF(ISNA(VLOOKUP(A70,[1]AVANCE!$A$6:$E$122,4,0))=TRUE,0,VLOOKUP(A70,[1]AVANCE!$A$6:$E$122,4,0))</f>
        <v>0</v>
      </c>
      <c r="AW70" s="38">
        <f>IF(ISNA(VLOOKUP(A70,[1]AVANCE!$A$6:$E$122,5,0))=TRUE,0,VLOOKUP(A70,[1]AVANCE!$A$6:$E$122,5,0))</f>
        <v>0</v>
      </c>
      <c r="AX70" s="38">
        <f t="shared" si="40"/>
        <v>0</v>
      </c>
      <c r="AY70" s="57"/>
      <c r="AZ70" s="58">
        <f t="shared" si="41"/>
        <v>976.06666666666672</v>
      </c>
      <c r="BA70" s="38">
        <f t="shared" si="42"/>
        <v>47827.26666666667</v>
      </c>
      <c r="BB70" s="42"/>
      <c r="BC70" s="43"/>
      <c r="BD70" s="59">
        <f t="shared" si="31"/>
        <v>47827.26666666667</v>
      </c>
      <c r="BE70" s="60">
        <f t="shared" si="43"/>
        <v>47900</v>
      </c>
      <c r="BF70" s="61"/>
      <c r="BG70" s="61"/>
      <c r="BH70" s="62">
        <f t="shared" si="44"/>
        <v>0</v>
      </c>
      <c r="BI70" s="62">
        <f t="shared" si="45"/>
        <v>0</v>
      </c>
      <c r="BJ70" s="62">
        <f t="shared" si="46"/>
        <v>0</v>
      </c>
      <c r="BK70" s="63">
        <f t="shared" si="47"/>
        <v>47827.26666666667</v>
      </c>
      <c r="BL70" s="48">
        <f t="shared" si="51"/>
        <v>48803.333333333336</v>
      </c>
      <c r="BN70" s="49"/>
      <c r="BO70" s="49"/>
    </row>
    <row r="71" spans="1:67" s="18" customFormat="1" ht="27" customHeight="1">
      <c r="A71" s="50" t="s">
        <v>131</v>
      </c>
      <c r="B71" s="51" t="s">
        <v>317</v>
      </c>
      <c r="C71" s="52"/>
      <c r="D71" s="53" t="s">
        <v>318</v>
      </c>
      <c r="E71" s="54">
        <v>42129</v>
      </c>
      <c r="F71" s="25">
        <v>42359</v>
      </c>
      <c r="G71" s="54" t="s">
        <v>215</v>
      </c>
      <c r="H71" s="55" t="s">
        <v>187</v>
      </c>
      <c r="I71" s="29">
        <v>133100</v>
      </c>
      <c r="J71" s="28">
        <v>42369</v>
      </c>
      <c r="K71" s="29">
        <v>11</v>
      </c>
      <c r="L71" s="29">
        <f t="shared" si="34"/>
        <v>48803.333333333336</v>
      </c>
      <c r="M71" s="56">
        <f>IF(ISNA(VLOOKUP(A71,[1]ABSENCE!$B$5:$AK$76,35,0))=TRUE,0,VLOOKUP(A71,[1]ABSENCE!$B$5:$AK$76,35,0))</f>
        <v>0</v>
      </c>
      <c r="N71" s="33">
        <f>IF(ISNA(VLOOKUP(A71,[1]ABSENCE!$B$5:$AK$76,36,0))=TRUE,0,VLOOKUP(A71,[1]ABSENCE!$B$5:$AK$76,36,0))</f>
        <v>0</v>
      </c>
      <c r="O71" s="31">
        <f>IF(ISNA(VLOOKUP($A71,[1]HS!$B$5:$T$122,3,0))=TRUE,0,VLOOKUP($A71,[1]HS!$B$5:$T$122,3,0))</f>
        <v>767.89938268043613</v>
      </c>
      <c r="P71" s="32"/>
      <c r="Q71" s="33"/>
      <c r="R71" s="32"/>
      <c r="S71" s="33"/>
      <c r="T71" s="32"/>
      <c r="U71" s="33"/>
      <c r="V71" s="32"/>
      <c r="W71" s="33"/>
      <c r="X71" s="32"/>
      <c r="Y71" s="33"/>
      <c r="Z71" s="34">
        <f t="shared" si="48"/>
        <v>0</v>
      </c>
      <c r="AA71" s="31">
        <f>+VLOOKUP(A71,[1]CONGE!$A$2:$W$113,20,0)</f>
        <v>0</v>
      </c>
      <c r="AB71" s="31">
        <f>+VLOOKUP(A71,[1]CONGE!$A$2:$W$113,21,0)</f>
        <v>0</v>
      </c>
      <c r="AC71" s="33">
        <f>IF(ISNA(VLOOKUP(A71,'[1]REPAS+DEPL'!$A$6:$M$1028,13,0))=TRUE,0,VLOOKUP(A71,'[1]REPAS+DEPL'!$A$6:$M$1028,13,0))</f>
        <v>0</v>
      </c>
      <c r="AD71" s="35"/>
      <c r="AE71" s="33">
        <f>IF(ISNA(VLOOKUP(A71,[1]Préavis!$A$2:$E$98,5,0))=TRUE,0,(VLOOKUP(A71,[1]Préavis!$A$2:$E$98,5,0)))</f>
        <v>0</v>
      </c>
      <c r="AF71" s="31">
        <f>+VLOOKUP(A71,[1]CONGE!$A$2:$V$112,18,0)</f>
        <v>0</v>
      </c>
      <c r="AG71" s="33">
        <f>IF(ISNA(VLOOKUP($A71,[1]CONGE!$A$2:$S$134,19,0))=TRUE,0,VLOOKUP($A71,[1]CONGE!$A$2:$S$134,19,0))</f>
        <v>0</v>
      </c>
      <c r="AH71" s="31">
        <f>+VLOOKUP(A71,[1]CONGE!$A$2:$W$113,22,0)</f>
        <v>0</v>
      </c>
      <c r="AI71" s="31">
        <f>+VLOOKUP(A71,[1]CONGE!$A$2:$W$113,23,0)</f>
        <v>0</v>
      </c>
      <c r="AJ71" s="36">
        <f t="shared" si="35"/>
        <v>48803.333333333336</v>
      </c>
      <c r="AK71" s="33">
        <f>IF(ISNA(VLOOKUP(A71,[1]AVANTAGE!$A$5:$T$118,19,0))=TRUE,0,VLOOKUP(A71,[1]AVANTAGE!$A$5:$T$118,19,0))</f>
        <v>0</v>
      </c>
      <c r="AL71" s="33">
        <f>IF(ISNA(VLOOKUP(A71,[1]AVANTAGE!$A$5:$T$118,20,0))=TRUE,0,VLOOKUP(A71,[1]AVANTAGE!$A$5:$T$118,20,0))</f>
        <v>0</v>
      </c>
      <c r="AM71" s="37">
        <f t="shared" si="36"/>
        <v>48803.333333333336</v>
      </c>
      <c r="AN71" s="38">
        <f t="shared" si="49"/>
        <v>488.03333333333336</v>
      </c>
      <c r="AO71" s="33">
        <f t="shared" si="33"/>
        <v>488.03333333333336</v>
      </c>
      <c r="AP71" s="38"/>
      <c r="AQ71" s="38">
        <f t="shared" si="37"/>
        <v>47800</v>
      </c>
      <c r="AR71" s="39">
        <f t="shared" si="50"/>
        <v>0</v>
      </c>
      <c r="AS71" s="40">
        <f>VLOOKUP(A71,'[1]Liste personnel'!$B$3:$R$187,16,0)</f>
        <v>0</v>
      </c>
      <c r="AT71" s="38">
        <f t="shared" si="38"/>
        <v>0</v>
      </c>
      <c r="AU71" s="38">
        <f t="shared" si="39"/>
        <v>0</v>
      </c>
      <c r="AV71" s="38">
        <f>IF(ISNA(VLOOKUP(A71,[1]AVANCE!$A$6:$E$122,4,0))=TRUE,0,VLOOKUP(A71,[1]AVANCE!$A$6:$E$122,4,0))</f>
        <v>0</v>
      </c>
      <c r="AW71" s="38">
        <f>IF(ISNA(VLOOKUP(A71,[1]AVANCE!$A$6:$E$122,5,0))=TRUE,0,VLOOKUP(A71,[1]AVANCE!$A$6:$E$122,5,0))</f>
        <v>0</v>
      </c>
      <c r="AX71" s="38">
        <f t="shared" si="40"/>
        <v>0</v>
      </c>
      <c r="AY71" s="57"/>
      <c r="AZ71" s="58">
        <f t="shared" si="41"/>
        <v>976.06666666666672</v>
      </c>
      <c r="BA71" s="38">
        <f t="shared" si="42"/>
        <v>47827.26666666667</v>
      </c>
      <c r="BB71" s="42"/>
      <c r="BC71" s="43"/>
      <c r="BD71" s="59">
        <f t="shared" si="31"/>
        <v>47827.26666666667</v>
      </c>
      <c r="BE71" s="60">
        <f t="shared" si="43"/>
        <v>47900</v>
      </c>
      <c r="BF71" s="61"/>
      <c r="BG71" s="61"/>
      <c r="BH71" s="62">
        <f t="shared" si="44"/>
        <v>0</v>
      </c>
      <c r="BI71" s="62">
        <f t="shared" si="45"/>
        <v>0</v>
      </c>
      <c r="BJ71" s="62">
        <f t="shared" si="46"/>
        <v>0</v>
      </c>
      <c r="BK71" s="63">
        <f t="shared" si="47"/>
        <v>47827.26666666667</v>
      </c>
      <c r="BL71" s="48">
        <f t="shared" si="51"/>
        <v>48803.333333333336</v>
      </c>
      <c r="BN71" s="49"/>
      <c r="BO71" s="49"/>
    </row>
    <row r="72" spans="1:67" s="18" customFormat="1" ht="27" customHeight="1">
      <c r="A72" s="50" t="s">
        <v>132</v>
      </c>
      <c r="B72" s="51" t="s">
        <v>319</v>
      </c>
      <c r="C72" s="52"/>
      <c r="D72" s="53" t="s">
        <v>301</v>
      </c>
      <c r="E72" s="54">
        <v>42129</v>
      </c>
      <c r="F72" s="25">
        <v>42359</v>
      </c>
      <c r="G72" s="54" t="s">
        <v>215</v>
      </c>
      <c r="H72" s="55" t="s">
        <v>187</v>
      </c>
      <c r="I72" s="29">
        <v>133100</v>
      </c>
      <c r="J72" s="28">
        <v>42369</v>
      </c>
      <c r="K72" s="29">
        <v>11</v>
      </c>
      <c r="L72" s="29">
        <f t="shared" si="34"/>
        <v>48803.333333333336</v>
      </c>
      <c r="M72" s="56">
        <f>IF(ISNA(VLOOKUP(A72,[1]ABSENCE!$B$5:$AK$76,35,0))=TRUE,0,VLOOKUP(A72,[1]ABSENCE!$B$5:$AK$76,35,0))</f>
        <v>0</v>
      </c>
      <c r="N72" s="33">
        <f>IF(ISNA(VLOOKUP(A72,[1]ABSENCE!$B$5:$AK$76,36,0))=TRUE,0,VLOOKUP(A72,[1]ABSENCE!$B$5:$AK$76,36,0))</f>
        <v>0</v>
      </c>
      <c r="O72" s="31">
        <f>IF(ISNA(VLOOKUP($A72,[1]HS!$B$5:$T$122,3,0))=TRUE,0,VLOOKUP($A72,[1]HS!$B$5:$T$122,3,0))</f>
        <v>767.89938268043613</v>
      </c>
      <c r="P72" s="32"/>
      <c r="Q72" s="33"/>
      <c r="R72" s="32"/>
      <c r="S72" s="33"/>
      <c r="T72" s="32"/>
      <c r="U72" s="33"/>
      <c r="V72" s="32"/>
      <c r="W72" s="33"/>
      <c r="X72" s="32"/>
      <c r="Y72" s="33"/>
      <c r="Z72" s="34">
        <f t="shared" si="48"/>
        <v>0</v>
      </c>
      <c r="AA72" s="31">
        <f>+VLOOKUP(A72,[1]CONGE!$A$2:$W$113,20,0)</f>
        <v>0</v>
      </c>
      <c r="AB72" s="31">
        <f>+VLOOKUP(A72,[1]CONGE!$A$2:$W$113,21,0)</f>
        <v>0</v>
      </c>
      <c r="AC72" s="33">
        <f>IF(ISNA(VLOOKUP(A72,'[1]REPAS+DEPL'!$A$6:$M$1028,13,0))=TRUE,0,VLOOKUP(A72,'[1]REPAS+DEPL'!$A$6:$M$1028,13,0))</f>
        <v>0</v>
      </c>
      <c r="AD72" s="35"/>
      <c r="AE72" s="33">
        <f>IF(ISNA(VLOOKUP(A72,[1]Préavis!$A$2:$E$98,5,0))=TRUE,0,(VLOOKUP(A72,[1]Préavis!$A$2:$E$98,5,0)))</f>
        <v>0</v>
      </c>
      <c r="AF72" s="31">
        <f>+VLOOKUP(A72,[1]CONGE!$A$2:$V$112,18,0)</f>
        <v>0</v>
      </c>
      <c r="AG72" s="33">
        <f>IF(ISNA(VLOOKUP($A72,[1]CONGE!$A$2:$S$134,19,0))=TRUE,0,VLOOKUP($A72,[1]CONGE!$A$2:$S$134,19,0))</f>
        <v>0</v>
      </c>
      <c r="AH72" s="31">
        <f>+VLOOKUP(A72,[1]CONGE!$A$2:$W$113,22,0)</f>
        <v>0</v>
      </c>
      <c r="AI72" s="31">
        <f>+VLOOKUP(A72,[1]CONGE!$A$2:$W$113,23,0)</f>
        <v>0</v>
      </c>
      <c r="AJ72" s="36">
        <f t="shared" si="35"/>
        <v>48803.333333333336</v>
      </c>
      <c r="AK72" s="33">
        <f>IF(ISNA(VLOOKUP(A72,[1]AVANTAGE!$A$5:$T$118,19,0))=TRUE,0,VLOOKUP(A72,[1]AVANTAGE!$A$5:$T$118,19,0))</f>
        <v>0</v>
      </c>
      <c r="AL72" s="33">
        <f>IF(ISNA(VLOOKUP(A72,[1]AVANTAGE!$A$5:$T$118,20,0))=TRUE,0,VLOOKUP(A72,[1]AVANTAGE!$A$5:$T$118,20,0))</f>
        <v>0</v>
      </c>
      <c r="AM72" s="37">
        <f t="shared" si="36"/>
        <v>48803.333333333336</v>
      </c>
      <c r="AN72" s="38">
        <f t="shared" si="49"/>
        <v>488.03333333333336</v>
      </c>
      <c r="AO72" s="33">
        <f t="shared" si="33"/>
        <v>488.03333333333336</v>
      </c>
      <c r="AP72" s="38"/>
      <c r="AQ72" s="38">
        <f t="shared" si="37"/>
        <v>47800</v>
      </c>
      <c r="AR72" s="39">
        <f t="shared" si="50"/>
        <v>0</v>
      </c>
      <c r="AS72" s="40">
        <f>VLOOKUP(A72,'[1]Liste personnel'!$B$3:$R$187,16,0)</f>
        <v>0</v>
      </c>
      <c r="AT72" s="38">
        <f t="shared" si="38"/>
        <v>0</v>
      </c>
      <c r="AU72" s="38">
        <f t="shared" si="39"/>
        <v>0</v>
      </c>
      <c r="AV72" s="38">
        <f>IF(ISNA(VLOOKUP(A72,[1]AVANCE!$A$6:$E$122,4,0))=TRUE,0,VLOOKUP(A72,[1]AVANCE!$A$6:$E$122,4,0))</f>
        <v>0</v>
      </c>
      <c r="AW72" s="38">
        <f>IF(ISNA(VLOOKUP(A72,[1]AVANCE!$A$6:$E$122,5,0))=TRUE,0,VLOOKUP(A72,[1]AVANCE!$A$6:$E$122,5,0))</f>
        <v>0</v>
      </c>
      <c r="AX72" s="38">
        <f t="shared" si="40"/>
        <v>0</v>
      </c>
      <c r="AY72" s="57"/>
      <c r="AZ72" s="58">
        <f t="shared" si="41"/>
        <v>976.06666666666672</v>
      </c>
      <c r="BA72" s="38">
        <f t="shared" si="42"/>
        <v>47827.26666666667</v>
      </c>
      <c r="BB72" s="42"/>
      <c r="BC72" s="43"/>
      <c r="BD72" s="59">
        <f t="shared" si="31"/>
        <v>47827.26666666667</v>
      </c>
      <c r="BE72" s="60">
        <f t="shared" si="43"/>
        <v>47900</v>
      </c>
      <c r="BF72" s="61"/>
      <c r="BG72" s="61"/>
      <c r="BH72" s="62">
        <f t="shared" si="44"/>
        <v>0</v>
      </c>
      <c r="BI72" s="62">
        <f t="shared" si="45"/>
        <v>0</v>
      </c>
      <c r="BJ72" s="62">
        <f t="shared" si="46"/>
        <v>0</v>
      </c>
      <c r="BK72" s="63">
        <f t="shared" si="47"/>
        <v>47827.26666666667</v>
      </c>
      <c r="BL72" s="48">
        <f t="shared" si="51"/>
        <v>48803.333333333336</v>
      </c>
      <c r="BN72" s="49"/>
      <c r="BO72" s="49"/>
    </row>
    <row r="73" spans="1:67" s="18" customFormat="1" ht="27" customHeight="1">
      <c r="A73" s="50" t="s">
        <v>133</v>
      </c>
      <c r="B73" s="51" t="s">
        <v>320</v>
      </c>
      <c r="C73" s="52"/>
      <c r="D73" s="53" t="s">
        <v>301</v>
      </c>
      <c r="E73" s="54">
        <v>42139</v>
      </c>
      <c r="F73" s="25">
        <v>42359</v>
      </c>
      <c r="G73" s="54" t="s">
        <v>215</v>
      </c>
      <c r="H73" s="55" t="s">
        <v>187</v>
      </c>
      <c r="I73" s="29">
        <v>133100</v>
      </c>
      <c r="J73" s="28">
        <v>42369</v>
      </c>
      <c r="K73" s="29">
        <v>11</v>
      </c>
      <c r="L73" s="29">
        <f t="shared" si="34"/>
        <v>48803.333333333336</v>
      </c>
      <c r="M73" s="56">
        <f>IF(ISNA(VLOOKUP(A73,[1]ABSENCE!$B$5:$AK$76,35,0))=TRUE,0,VLOOKUP(A73,[1]ABSENCE!$B$5:$AK$76,35,0))</f>
        <v>0</v>
      </c>
      <c r="N73" s="33">
        <f>IF(ISNA(VLOOKUP(A73,[1]ABSENCE!$B$5:$AK$76,36,0))=TRUE,0,VLOOKUP(A73,[1]ABSENCE!$B$5:$AK$76,36,0))</f>
        <v>0</v>
      </c>
      <c r="O73" s="31">
        <f>IF(ISNA(VLOOKUP($A73,[1]HS!$B$5:$T$122,3,0))=TRUE,0,VLOOKUP($A73,[1]HS!$B$5:$T$122,3,0))</f>
        <v>767.89938268043613</v>
      </c>
      <c r="P73" s="32"/>
      <c r="Q73" s="33"/>
      <c r="R73" s="32"/>
      <c r="S73" s="33"/>
      <c r="T73" s="32"/>
      <c r="U73" s="33"/>
      <c r="V73" s="32"/>
      <c r="W73" s="33"/>
      <c r="X73" s="32"/>
      <c r="Y73" s="33"/>
      <c r="Z73" s="34">
        <f t="shared" si="48"/>
        <v>0</v>
      </c>
      <c r="AA73" s="31">
        <f>+VLOOKUP(A73,[1]CONGE!$A$2:$W$113,20,0)</f>
        <v>0</v>
      </c>
      <c r="AB73" s="31">
        <f>+VLOOKUP(A73,[1]CONGE!$A$2:$W$113,21,0)</f>
        <v>0</v>
      </c>
      <c r="AC73" s="33">
        <f>IF(ISNA(VLOOKUP(A73,'[1]REPAS+DEPL'!$A$6:$M$1028,13,0))=TRUE,0,VLOOKUP(A73,'[1]REPAS+DEPL'!$A$6:$M$1028,13,0))</f>
        <v>0</v>
      </c>
      <c r="AD73" s="35"/>
      <c r="AE73" s="33">
        <f>IF(ISNA(VLOOKUP(A73,[1]Préavis!$A$2:$E$98,5,0))=TRUE,0,(VLOOKUP(A73,[1]Préavis!$A$2:$E$98,5,0)))</f>
        <v>0</v>
      </c>
      <c r="AF73" s="31">
        <f>+VLOOKUP(A73,[1]CONGE!$A$2:$V$112,18,0)</f>
        <v>0</v>
      </c>
      <c r="AG73" s="33">
        <f>IF(ISNA(VLOOKUP($A73,[1]CONGE!$A$2:$S$134,19,0))=TRUE,0,VLOOKUP($A73,[1]CONGE!$A$2:$S$134,19,0))</f>
        <v>0</v>
      </c>
      <c r="AH73" s="31">
        <f>+VLOOKUP(A73,[1]CONGE!$A$2:$W$113,22,0)</f>
        <v>0</v>
      </c>
      <c r="AI73" s="31">
        <f>+VLOOKUP(A73,[1]CONGE!$A$2:$W$113,23,0)</f>
        <v>0</v>
      </c>
      <c r="AJ73" s="36">
        <f t="shared" si="35"/>
        <v>48803.333333333336</v>
      </c>
      <c r="AK73" s="33">
        <f>IF(ISNA(VLOOKUP(A73,[1]AVANTAGE!$A$5:$T$118,19,0))=TRUE,0,VLOOKUP(A73,[1]AVANTAGE!$A$5:$T$118,19,0))</f>
        <v>0</v>
      </c>
      <c r="AL73" s="33">
        <f>IF(ISNA(VLOOKUP(A73,[1]AVANTAGE!$A$5:$T$118,20,0))=TRUE,0,VLOOKUP(A73,[1]AVANTAGE!$A$5:$T$118,20,0))</f>
        <v>0</v>
      </c>
      <c r="AM73" s="37">
        <f t="shared" si="36"/>
        <v>48803.333333333336</v>
      </c>
      <c r="AN73" s="38">
        <f t="shared" si="49"/>
        <v>488.03333333333336</v>
      </c>
      <c r="AO73" s="33">
        <f t="shared" si="33"/>
        <v>488.03333333333336</v>
      </c>
      <c r="AP73" s="38"/>
      <c r="AQ73" s="38">
        <f t="shared" si="37"/>
        <v>47800</v>
      </c>
      <c r="AR73" s="39">
        <f t="shared" si="50"/>
        <v>0</v>
      </c>
      <c r="AS73" s="40">
        <f>VLOOKUP(A73,'[1]Liste personnel'!$B$3:$R$187,16,0)</f>
        <v>0</v>
      </c>
      <c r="AT73" s="38">
        <f t="shared" si="38"/>
        <v>0</v>
      </c>
      <c r="AU73" s="38">
        <f t="shared" si="39"/>
        <v>0</v>
      </c>
      <c r="AV73" s="38">
        <f>IF(ISNA(VLOOKUP(A73,[1]AVANCE!$A$6:$E$122,4,0))=TRUE,0,VLOOKUP(A73,[1]AVANCE!$A$6:$E$122,4,0))</f>
        <v>0</v>
      </c>
      <c r="AW73" s="38">
        <f>IF(ISNA(VLOOKUP(A73,[1]AVANCE!$A$6:$E$122,5,0))=TRUE,0,VLOOKUP(A73,[1]AVANCE!$A$6:$E$122,5,0))</f>
        <v>0</v>
      </c>
      <c r="AX73" s="38">
        <f t="shared" si="40"/>
        <v>0</v>
      </c>
      <c r="AY73" s="57"/>
      <c r="AZ73" s="58">
        <f t="shared" si="41"/>
        <v>976.06666666666672</v>
      </c>
      <c r="BA73" s="38">
        <f t="shared" si="42"/>
        <v>47827.26666666667</v>
      </c>
      <c r="BB73" s="42"/>
      <c r="BC73" s="43"/>
      <c r="BD73" s="59">
        <f t="shared" si="31"/>
        <v>47827.26666666667</v>
      </c>
      <c r="BE73" s="60">
        <f t="shared" si="43"/>
        <v>47900</v>
      </c>
      <c r="BF73" s="61"/>
      <c r="BG73" s="61"/>
      <c r="BH73" s="62">
        <f t="shared" si="44"/>
        <v>0</v>
      </c>
      <c r="BI73" s="62">
        <f t="shared" si="45"/>
        <v>0</v>
      </c>
      <c r="BJ73" s="62">
        <f t="shared" si="46"/>
        <v>0</v>
      </c>
      <c r="BK73" s="63">
        <f t="shared" si="47"/>
        <v>47827.26666666667</v>
      </c>
      <c r="BL73" s="48">
        <f t="shared" si="51"/>
        <v>48803.333333333336</v>
      </c>
      <c r="BN73" s="49"/>
      <c r="BO73" s="49"/>
    </row>
    <row r="74" spans="1:67" s="18" customFormat="1" ht="27" customHeight="1">
      <c r="A74" s="50" t="s">
        <v>134</v>
      </c>
      <c r="B74" s="51" t="s">
        <v>321</v>
      </c>
      <c r="C74" s="52"/>
      <c r="D74" s="53" t="s">
        <v>301</v>
      </c>
      <c r="E74" s="54">
        <v>42135</v>
      </c>
      <c r="F74" s="25">
        <v>42359</v>
      </c>
      <c r="G74" s="54" t="s">
        <v>260</v>
      </c>
      <c r="H74" s="55" t="s">
        <v>187</v>
      </c>
      <c r="I74" s="29">
        <v>133100</v>
      </c>
      <c r="J74" s="28">
        <v>42369</v>
      </c>
      <c r="K74" s="29">
        <v>11</v>
      </c>
      <c r="L74" s="29">
        <f t="shared" si="34"/>
        <v>48803.333333333336</v>
      </c>
      <c r="M74" s="56">
        <f>IF(ISNA(VLOOKUP(A74,[1]ABSENCE!$B$5:$AK$76,35,0))=TRUE,0,VLOOKUP(A74,[1]ABSENCE!$B$5:$AK$76,35,0))</f>
        <v>0</v>
      </c>
      <c r="N74" s="33">
        <f>IF(ISNA(VLOOKUP(A74,[1]ABSENCE!$B$5:$AK$76,36,0))=TRUE,0,VLOOKUP(A74,[1]ABSENCE!$B$5:$AK$76,36,0))</f>
        <v>0</v>
      </c>
      <c r="O74" s="31">
        <f>IF(ISNA(VLOOKUP($A74,[1]HS!$B$5:$T$122,3,0))=TRUE,0,VLOOKUP($A74,[1]HS!$B$5:$T$122,3,0))</f>
        <v>767.89938268043613</v>
      </c>
      <c r="P74" s="32"/>
      <c r="Q74" s="33"/>
      <c r="R74" s="32"/>
      <c r="S74" s="33"/>
      <c r="T74" s="32"/>
      <c r="U74" s="33"/>
      <c r="V74" s="32"/>
      <c r="W74" s="33"/>
      <c r="X74" s="32"/>
      <c r="Y74" s="33"/>
      <c r="Z74" s="34">
        <f t="shared" si="48"/>
        <v>0</v>
      </c>
      <c r="AA74" s="31">
        <f>+VLOOKUP(A74,[1]CONGE!$A$2:$W$113,20,0)</f>
        <v>0</v>
      </c>
      <c r="AB74" s="31">
        <f>+VLOOKUP(A74,[1]CONGE!$A$2:$W$113,21,0)</f>
        <v>0</v>
      </c>
      <c r="AC74" s="33">
        <f>IF(ISNA(VLOOKUP(A74,'[1]REPAS+DEPL'!$A$6:$M$1028,13,0))=TRUE,0,VLOOKUP(A74,'[1]REPAS+DEPL'!$A$6:$M$1028,13,0))</f>
        <v>0</v>
      </c>
      <c r="AD74" s="35"/>
      <c r="AE74" s="33">
        <f>IF(ISNA(VLOOKUP(A74,[1]Préavis!$A$2:$E$98,5,0))=TRUE,0,(VLOOKUP(A74,[1]Préavis!$A$2:$E$98,5,0)))</f>
        <v>0</v>
      </c>
      <c r="AF74" s="31">
        <f>+VLOOKUP(A74,[1]CONGE!$A$2:$V$112,18,0)</f>
        <v>0</v>
      </c>
      <c r="AG74" s="33">
        <f>IF(ISNA(VLOOKUP($A74,[1]CONGE!$A$2:$S$134,19,0))=TRUE,0,VLOOKUP($A74,[1]CONGE!$A$2:$S$134,19,0))</f>
        <v>0</v>
      </c>
      <c r="AH74" s="31">
        <f>+VLOOKUP(A74,[1]CONGE!$A$2:$W$113,22,0)</f>
        <v>0</v>
      </c>
      <c r="AI74" s="31">
        <f>+VLOOKUP(A74,[1]CONGE!$A$2:$W$113,23,0)</f>
        <v>0</v>
      </c>
      <c r="AJ74" s="36">
        <f t="shared" si="35"/>
        <v>48803.333333333336</v>
      </c>
      <c r="AK74" s="33">
        <f>IF(ISNA(VLOOKUP(A74,[1]AVANTAGE!$A$5:$T$118,19,0))=TRUE,0,VLOOKUP(A74,[1]AVANTAGE!$A$5:$T$118,19,0))</f>
        <v>0</v>
      </c>
      <c r="AL74" s="33">
        <f>IF(ISNA(VLOOKUP(A74,[1]AVANTAGE!$A$5:$T$118,20,0))=TRUE,0,VLOOKUP(A74,[1]AVANTAGE!$A$5:$T$118,20,0))</f>
        <v>0</v>
      </c>
      <c r="AM74" s="37">
        <f t="shared" si="36"/>
        <v>48803.333333333336</v>
      </c>
      <c r="AN74" s="38">
        <f t="shared" si="49"/>
        <v>488.03333333333336</v>
      </c>
      <c r="AO74" s="33">
        <f t="shared" si="33"/>
        <v>488.03333333333336</v>
      </c>
      <c r="AP74" s="38"/>
      <c r="AQ74" s="38">
        <f t="shared" si="37"/>
        <v>47800</v>
      </c>
      <c r="AR74" s="39">
        <f t="shared" si="50"/>
        <v>0</v>
      </c>
      <c r="AS74" s="40">
        <f>VLOOKUP(A74,'[1]Liste personnel'!$B$3:$R$187,16,0)</f>
        <v>0</v>
      </c>
      <c r="AT74" s="38">
        <f t="shared" si="38"/>
        <v>0</v>
      </c>
      <c r="AU74" s="38">
        <f t="shared" si="39"/>
        <v>0</v>
      </c>
      <c r="AV74" s="38">
        <f>IF(ISNA(VLOOKUP(A74,[1]AVANCE!$A$6:$E$122,4,0))=TRUE,0,VLOOKUP(A74,[1]AVANCE!$A$6:$E$122,4,0))</f>
        <v>0</v>
      </c>
      <c r="AW74" s="38">
        <f>IF(ISNA(VLOOKUP(A74,[1]AVANCE!$A$6:$E$122,5,0))=TRUE,0,VLOOKUP(A74,[1]AVANCE!$A$6:$E$122,5,0))</f>
        <v>0</v>
      </c>
      <c r="AX74" s="38">
        <f t="shared" si="40"/>
        <v>0</v>
      </c>
      <c r="AY74" s="57"/>
      <c r="AZ74" s="58">
        <f t="shared" si="41"/>
        <v>976.06666666666672</v>
      </c>
      <c r="BA74" s="38">
        <f t="shared" si="42"/>
        <v>47827.26666666667</v>
      </c>
      <c r="BB74" s="42"/>
      <c r="BC74" s="43"/>
      <c r="BD74" s="59">
        <f t="shared" si="31"/>
        <v>47827.26666666667</v>
      </c>
      <c r="BE74" s="60">
        <f t="shared" si="43"/>
        <v>47900</v>
      </c>
      <c r="BF74" s="61"/>
      <c r="BG74" s="61"/>
      <c r="BH74" s="62">
        <f t="shared" si="44"/>
        <v>0</v>
      </c>
      <c r="BI74" s="62">
        <f t="shared" si="45"/>
        <v>0</v>
      </c>
      <c r="BJ74" s="62">
        <f t="shared" si="46"/>
        <v>0</v>
      </c>
      <c r="BK74" s="63">
        <f t="shared" si="47"/>
        <v>47827.26666666667</v>
      </c>
      <c r="BL74" s="48">
        <f t="shared" si="51"/>
        <v>48803.333333333336</v>
      </c>
      <c r="BN74" s="49"/>
      <c r="BO74" s="49"/>
    </row>
    <row r="75" spans="1:67" s="18" customFormat="1" ht="27" customHeight="1">
      <c r="A75" s="50" t="s">
        <v>135</v>
      </c>
      <c r="B75" s="51" t="s">
        <v>322</v>
      </c>
      <c r="C75" s="52"/>
      <c r="D75" s="53" t="s">
        <v>323</v>
      </c>
      <c r="E75" s="54">
        <v>42135</v>
      </c>
      <c r="F75" s="25">
        <v>42359</v>
      </c>
      <c r="G75" s="54" t="s">
        <v>310</v>
      </c>
      <c r="H75" s="55" t="s">
        <v>173</v>
      </c>
      <c r="I75" s="29">
        <v>446408</v>
      </c>
      <c r="J75" s="28">
        <v>42369</v>
      </c>
      <c r="K75" s="29">
        <v>11</v>
      </c>
      <c r="L75" s="29">
        <f t="shared" si="34"/>
        <v>163682.93333333332</v>
      </c>
      <c r="M75" s="56">
        <f>IF(ISNA(VLOOKUP(A75,[1]ABSENCE!$B$5:$AK$76,35,0))=TRUE,0,VLOOKUP(A75,[1]ABSENCE!$B$5:$AK$76,35,0))</f>
        <v>0</v>
      </c>
      <c r="N75" s="33">
        <f>IF(ISNA(VLOOKUP(A75,[1]ABSENCE!$B$5:$AK$76,36,0))=TRUE,0,VLOOKUP(A75,[1]ABSENCE!$B$5:$AK$76,36,0))</f>
        <v>0</v>
      </c>
      <c r="O75" s="31">
        <f>IF(ISNA(VLOOKUP($A75,[1]HS!$B$5:$T$122,3,0))=TRUE,0,VLOOKUP($A75,[1]HS!$B$5:$T$122,3,0))</f>
        <v>2575.4802976980322</v>
      </c>
      <c r="P75" s="32"/>
      <c r="Q75" s="33"/>
      <c r="R75" s="32"/>
      <c r="S75" s="33"/>
      <c r="T75" s="32"/>
      <c r="U75" s="33"/>
      <c r="V75" s="32"/>
      <c r="W75" s="33"/>
      <c r="X75" s="32"/>
      <c r="Y75" s="33"/>
      <c r="Z75" s="34">
        <f t="shared" si="48"/>
        <v>0</v>
      </c>
      <c r="AA75" s="31">
        <f>+VLOOKUP(A75,[1]CONGE!$A$2:$W$113,20,0)</f>
        <v>0</v>
      </c>
      <c r="AB75" s="31">
        <f>+VLOOKUP(A75,[1]CONGE!$A$2:$W$113,21,0)</f>
        <v>0</v>
      </c>
      <c r="AC75" s="33">
        <f>IF(ISNA(VLOOKUP(A75,'[1]REPAS+DEPL'!$A$6:$M$1028,13,0))=TRUE,0,VLOOKUP(A75,'[1]REPAS+DEPL'!$A$6:$M$1028,13,0))</f>
        <v>0</v>
      </c>
      <c r="AD75" s="35"/>
      <c r="AE75" s="33">
        <f>IF(ISNA(VLOOKUP(A75,[1]Préavis!$A$2:$E$98,5,0))=TRUE,0,(VLOOKUP(A75,[1]Préavis!$A$2:$E$98,5,0)))</f>
        <v>0</v>
      </c>
      <c r="AF75" s="31">
        <f>+VLOOKUP(A75,[1]CONGE!$A$2:$V$112,18,0)</f>
        <v>0</v>
      </c>
      <c r="AG75" s="33">
        <f>IF(ISNA(VLOOKUP($A75,[1]CONGE!$A$2:$S$134,19,0))=TRUE,0,VLOOKUP($A75,[1]CONGE!$A$2:$S$134,19,0))</f>
        <v>0</v>
      </c>
      <c r="AH75" s="31">
        <f>+VLOOKUP(A75,[1]CONGE!$A$2:$W$113,22,0)</f>
        <v>0</v>
      </c>
      <c r="AI75" s="31">
        <f>+VLOOKUP(A75,[1]CONGE!$A$2:$W$113,23,0)</f>
        <v>0</v>
      </c>
      <c r="AJ75" s="36">
        <f t="shared" si="35"/>
        <v>163682.93333333332</v>
      </c>
      <c r="AK75" s="33">
        <f>IF(ISNA(VLOOKUP(A75,[1]AVANTAGE!$A$5:$T$118,19,0))=TRUE,0,VLOOKUP(A75,[1]AVANTAGE!$A$5:$T$118,19,0))</f>
        <v>0</v>
      </c>
      <c r="AL75" s="33">
        <f>IF(ISNA(VLOOKUP(A75,[1]AVANTAGE!$A$5:$T$118,20,0))=TRUE,0,VLOOKUP(A75,[1]AVANTAGE!$A$5:$T$118,20,0))</f>
        <v>0</v>
      </c>
      <c r="AM75" s="37">
        <f t="shared" si="36"/>
        <v>163682.93333333332</v>
      </c>
      <c r="AN75" s="38">
        <f t="shared" si="49"/>
        <v>1636.8293333333331</v>
      </c>
      <c r="AO75" s="33">
        <f t="shared" si="33"/>
        <v>1636.8293333333331</v>
      </c>
      <c r="AP75" s="38"/>
      <c r="AQ75" s="38">
        <f t="shared" si="37"/>
        <v>160400</v>
      </c>
      <c r="AR75" s="39">
        <f t="shared" si="50"/>
        <v>0</v>
      </c>
      <c r="AS75" s="40">
        <f>VLOOKUP(A75,'[1]Liste personnel'!$B$3:$R$187,16,0)</f>
        <v>0</v>
      </c>
      <c r="AT75" s="38">
        <f t="shared" si="38"/>
        <v>0</v>
      </c>
      <c r="AU75" s="38">
        <f t="shared" si="39"/>
        <v>0</v>
      </c>
      <c r="AV75" s="38">
        <f>IF(ISNA(VLOOKUP(A75,[1]AVANCE!$A$6:$E$122,4,0))=TRUE,0,VLOOKUP(A75,[1]AVANCE!$A$6:$E$122,4,0))</f>
        <v>0</v>
      </c>
      <c r="AW75" s="38">
        <f>IF(ISNA(VLOOKUP(A75,[1]AVANCE!$A$6:$E$122,5,0))=TRUE,0,VLOOKUP(A75,[1]AVANCE!$A$6:$E$122,5,0))</f>
        <v>0</v>
      </c>
      <c r="AX75" s="38">
        <f t="shared" si="40"/>
        <v>0</v>
      </c>
      <c r="AY75" s="57"/>
      <c r="AZ75" s="58">
        <f t="shared" si="41"/>
        <v>3273.6586666666662</v>
      </c>
      <c r="BA75" s="38">
        <f t="shared" si="42"/>
        <v>160409.27466666666</v>
      </c>
      <c r="BB75" s="42"/>
      <c r="BC75" s="43"/>
      <c r="BD75" s="59">
        <f t="shared" si="31"/>
        <v>160409.27466666666</v>
      </c>
      <c r="BE75" s="60">
        <f t="shared" si="43"/>
        <v>160500</v>
      </c>
      <c r="BF75" s="61"/>
      <c r="BG75" s="61"/>
      <c r="BH75" s="62">
        <f t="shared" si="44"/>
        <v>0</v>
      </c>
      <c r="BI75" s="62">
        <f t="shared" si="45"/>
        <v>0</v>
      </c>
      <c r="BJ75" s="62">
        <f t="shared" si="46"/>
        <v>0</v>
      </c>
      <c r="BK75" s="63">
        <f t="shared" si="47"/>
        <v>160409.27466666666</v>
      </c>
      <c r="BL75" s="48">
        <f t="shared" si="51"/>
        <v>163682.93333333332</v>
      </c>
      <c r="BN75" s="49"/>
      <c r="BO75" s="49"/>
    </row>
    <row r="76" spans="1:67" s="18" customFormat="1" ht="27" customHeight="1">
      <c r="A76" s="50" t="s">
        <v>136</v>
      </c>
      <c r="B76" s="51" t="s">
        <v>324</v>
      </c>
      <c r="C76" s="52"/>
      <c r="D76" s="53" t="s">
        <v>325</v>
      </c>
      <c r="E76" s="54">
        <v>42143</v>
      </c>
      <c r="F76" s="25">
        <v>42359</v>
      </c>
      <c r="G76" s="54" t="s">
        <v>269</v>
      </c>
      <c r="H76" s="55" t="s">
        <v>187</v>
      </c>
      <c r="I76" s="29">
        <v>133100</v>
      </c>
      <c r="J76" s="28">
        <v>42369</v>
      </c>
      <c r="K76" s="29">
        <v>11</v>
      </c>
      <c r="L76" s="29">
        <f t="shared" si="34"/>
        <v>48803.333333333336</v>
      </c>
      <c r="M76" s="56">
        <f>IF(ISNA(VLOOKUP(A76,[1]ABSENCE!$B$5:$AK$76,35,0))=TRUE,0,VLOOKUP(A76,[1]ABSENCE!$B$5:$AK$76,35,0))</f>
        <v>0</v>
      </c>
      <c r="N76" s="33">
        <f>IF(ISNA(VLOOKUP(A76,[1]ABSENCE!$B$5:$AK$76,36,0))=TRUE,0,VLOOKUP(A76,[1]ABSENCE!$B$5:$AK$76,36,0))</f>
        <v>0</v>
      </c>
      <c r="O76" s="31">
        <f>IF(ISNA(VLOOKUP($A76,[1]HS!$B$5:$T$122,3,0))=TRUE,0,VLOOKUP($A76,[1]HS!$B$5:$T$122,3,0))</f>
        <v>767.89938268043613</v>
      </c>
      <c r="P76" s="32"/>
      <c r="Q76" s="33"/>
      <c r="R76" s="32"/>
      <c r="S76" s="33"/>
      <c r="T76" s="32"/>
      <c r="U76" s="33"/>
      <c r="V76" s="32"/>
      <c r="W76" s="33"/>
      <c r="X76" s="32"/>
      <c r="Y76" s="33"/>
      <c r="Z76" s="34">
        <f t="shared" si="48"/>
        <v>0</v>
      </c>
      <c r="AA76" s="31">
        <f>+VLOOKUP(A76,[1]CONGE!$A$2:$W$113,20,0)</f>
        <v>0</v>
      </c>
      <c r="AB76" s="31">
        <f>+VLOOKUP(A76,[1]CONGE!$A$2:$W$113,21,0)</f>
        <v>0</v>
      </c>
      <c r="AC76" s="33">
        <f>IF(ISNA(VLOOKUP(A76,'[1]REPAS+DEPL'!$A$6:$M$1028,13,0))=TRUE,0,VLOOKUP(A76,'[1]REPAS+DEPL'!$A$6:$M$1028,13,0))</f>
        <v>0</v>
      </c>
      <c r="AD76" s="35"/>
      <c r="AE76" s="33">
        <f>IF(ISNA(VLOOKUP(A76,[1]Préavis!$A$2:$E$98,5,0))=TRUE,0,(VLOOKUP(A76,[1]Préavis!$A$2:$E$98,5,0)))</f>
        <v>0</v>
      </c>
      <c r="AF76" s="31">
        <f>+VLOOKUP(A76,[1]CONGE!$A$2:$V$112,18,0)</f>
        <v>0</v>
      </c>
      <c r="AG76" s="33">
        <f>IF(ISNA(VLOOKUP($A76,[1]CONGE!$A$2:$S$134,19,0))=TRUE,0,VLOOKUP($A76,[1]CONGE!$A$2:$S$134,19,0))</f>
        <v>0</v>
      </c>
      <c r="AH76" s="31">
        <f>+VLOOKUP(A76,[1]CONGE!$A$2:$W$113,22,0)</f>
        <v>0</v>
      </c>
      <c r="AI76" s="31">
        <f>+VLOOKUP(A76,[1]CONGE!$A$2:$W$113,23,0)</f>
        <v>0</v>
      </c>
      <c r="AJ76" s="36">
        <f t="shared" si="35"/>
        <v>48803.333333333336</v>
      </c>
      <c r="AK76" s="33">
        <f>IF(ISNA(VLOOKUP(A76,[1]AVANTAGE!$A$5:$T$118,19,0))=TRUE,0,VLOOKUP(A76,[1]AVANTAGE!$A$5:$T$118,19,0))</f>
        <v>0</v>
      </c>
      <c r="AL76" s="33">
        <f>IF(ISNA(VLOOKUP(A76,[1]AVANTAGE!$A$5:$T$118,20,0))=TRUE,0,VLOOKUP(A76,[1]AVANTAGE!$A$5:$T$118,20,0))</f>
        <v>0</v>
      </c>
      <c r="AM76" s="37">
        <f t="shared" si="36"/>
        <v>48803.333333333336</v>
      </c>
      <c r="AN76" s="38">
        <f t="shared" si="49"/>
        <v>488.03333333333336</v>
      </c>
      <c r="AO76" s="33">
        <f t="shared" si="33"/>
        <v>488.03333333333336</v>
      </c>
      <c r="AP76" s="38"/>
      <c r="AQ76" s="38">
        <f t="shared" si="37"/>
        <v>47800</v>
      </c>
      <c r="AR76" s="39">
        <f t="shared" si="50"/>
        <v>0</v>
      </c>
      <c r="AS76" s="40">
        <f>VLOOKUP(A76,'[1]Liste personnel'!$B$3:$R$187,16,0)</f>
        <v>0</v>
      </c>
      <c r="AT76" s="38">
        <f t="shared" si="38"/>
        <v>0</v>
      </c>
      <c r="AU76" s="38">
        <f t="shared" si="39"/>
        <v>0</v>
      </c>
      <c r="AV76" s="38">
        <f>IF(ISNA(VLOOKUP(A76,[1]AVANCE!$A$6:$E$122,4,0))=TRUE,0,VLOOKUP(A76,[1]AVANCE!$A$6:$E$122,4,0))</f>
        <v>0</v>
      </c>
      <c r="AW76" s="38">
        <f>IF(ISNA(VLOOKUP(A76,[1]AVANCE!$A$6:$E$122,5,0))=TRUE,0,VLOOKUP(A76,[1]AVANCE!$A$6:$E$122,5,0))</f>
        <v>0</v>
      </c>
      <c r="AX76" s="38">
        <f t="shared" si="40"/>
        <v>0</v>
      </c>
      <c r="AY76" s="57"/>
      <c r="AZ76" s="58">
        <f t="shared" si="41"/>
        <v>976.06666666666672</v>
      </c>
      <c r="BA76" s="38">
        <f t="shared" si="42"/>
        <v>47827.26666666667</v>
      </c>
      <c r="BB76" s="42"/>
      <c r="BC76" s="43"/>
      <c r="BD76" s="59">
        <f t="shared" si="31"/>
        <v>47827.26666666667</v>
      </c>
      <c r="BE76" s="60">
        <f t="shared" si="43"/>
        <v>47900</v>
      </c>
      <c r="BF76" s="61"/>
      <c r="BG76" s="61"/>
      <c r="BH76" s="62">
        <f t="shared" si="44"/>
        <v>0</v>
      </c>
      <c r="BI76" s="62">
        <f t="shared" si="45"/>
        <v>0</v>
      </c>
      <c r="BJ76" s="62">
        <f t="shared" si="46"/>
        <v>0</v>
      </c>
      <c r="BK76" s="63">
        <f t="shared" si="47"/>
        <v>47827.26666666667</v>
      </c>
      <c r="BL76" s="48">
        <f t="shared" si="51"/>
        <v>48803.333333333336</v>
      </c>
      <c r="BN76" s="49"/>
      <c r="BO76" s="49"/>
    </row>
    <row r="77" spans="1:67" s="18" customFormat="1" ht="27" customHeight="1">
      <c r="A77" s="50" t="s">
        <v>137</v>
      </c>
      <c r="B77" s="51" t="s">
        <v>326</v>
      </c>
      <c r="C77" s="52"/>
      <c r="D77" s="53" t="s">
        <v>327</v>
      </c>
      <c r="E77" s="54">
        <v>42156</v>
      </c>
      <c r="F77" s="25">
        <v>42359</v>
      </c>
      <c r="G77" s="54" t="s">
        <v>192</v>
      </c>
      <c r="H77" s="55" t="s">
        <v>169</v>
      </c>
      <c r="I77" s="29">
        <v>446408</v>
      </c>
      <c r="J77" s="28">
        <v>42369</v>
      </c>
      <c r="K77" s="29">
        <v>11</v>
      </c>
      <c r="L77" s="29">
        <f>(IF(K77&lt;30,I77*(K77)/30,I77))</f>
        <v>163682.93333333332</v>
      </c>
      <c r="M77" s="56">
        <f>IF(ISNA(VLOOKUP(A77,[1]ABSENCE!$B$5:$AK$76,35,0))=TRUE,0,VLOOKUP(A77,[1]ABSENCE!$B$5:$AK$76,35,0))</f>
        <v>0</v>
      </c>
      <c r="N77" s="33">
        <f>IF(ISNA(VLOOKUP(A77,[1]ABSENCE!$B$5:$AK$76,36,0))=TRUE,0,VLOOKUP(A77,[1]ABSENCE!$B$5:$AK$76,36,0))</f>
        <v>0</v>
      </c>
      <c r="O77" s="31">
        <f>IF(ISNA(VLOOKUP($A77,[1]HS!$B$5:$T$122,3,0))=TRUE,0,VLOOKUP($A77,[1]HS!$B$5:$T$122,3,0))</f>
        <v>2575.4802976980322</v>
      </c>
      <c r="P77" s="32"/>
      <c r="Q77" s="33"/>
      <c r="R77" s="32"/>
      <c r="S77" s="33"/>
      <c r="T77" s="32"/>
      <c r="U77" s="33"/>
      <c r="V77" s="32"/>
      <c r="W77" s="33"/>
      <c r="X77" s="32"/>
      <c r="Y77" s="33"/>
      <c r="Z77" s="34">
        <f t="shared" si="48"/>
        <v>0</v>
      </c>
      <c r="AA77" s="31">
        <f>+VLOOKUP(A77,[1]CONGE!$A$2:$W$113,20,0)</f>
        <v>0</v>
      </c>
      <c r="AB77" s="31">
        <f>+VLOOKUP(A77,[1]CONGE!$A$2:$W$113,21,0)</f>
        <v>0</v>
      </c>
      <c r="AC77" s="33">
        <f>IF(ISNA(VLOOKUP(A77,'[1]REPAS+DEPL'!$A$6:$M$1028,13,0))=TRUE,0,VLOOKUP(A77,'[1]REPAS+DEPL'!$A$6:$M$1028,13,0))</f>
        <v>0</v>
      </c>
      <c r="AD77" s="35"/>
      <c r="AE77" s="33">
        <f>IF(ISNA(VLOOKUP(A77,[1]Préavis!$A$2:$E$98,5,0))=TRUE,0,(VLOOKUP(A77,[1]Préavis!$A$2:$E$98,5,0)))</f>
        <v>0</v>
      </c>
      <c r="AF77" s="31">
        <f>+VLOOKUP(A77,[1]CONGE!$A$2:$V$112,18,0)</f>
        <v>0</v>
      </c>
      <c r="AG77" s="33">
        <f>IF(ISNA(VLOOKUP($A77,[1]CONGE!$A$2:$S$134,19,0))=TRUE,0,VLOOKUP($A77,[1]CONGE!$A$2:$S$134,19,0))</f>
        <v>0</v>
      </c>
      <c r="AH77" s="31">
        <f>+VLOOKUP(A77,[1]CONGE!$A$2:$W$113,22,0)</f>
        <v>0</v>
      </c>
      <c r="AI77" s="31">
        <f>+VLOOKUP(A77,[1]CONGE!$A$2:$W$113,23,0)</f>
        <v>0</v>
      </c>
      <c r="AJ77" s="36">
        <f>+L77-N77+Z77+AC77+AG77+AD77+AE77+AB77+AI77</f>
        <v>163682.93333333332</v>
      </c>
      <c r="AK77" s="33">
        <f>IF(ISNA(VLOOKUP(A77,[1]AVANTAGE!$A$5:$T$118,19,0))=TRUE,0,VLOOKUP(A77,[1]AVANTAGE!$A$5:$T$118,19,0))</f>
        <v>0</v>
      </c>
      <c r="AL77" s="33">
        <f>IF(ISNA(VLOOKUP(A77,[1]AVANTAGE!$A$5:$T$118,20,0))=TRUE,0,VLOOKUP(A77,[1]AVANTAGE!$A$5:$T$118,20,0))</f>
        <v>0</v>
      </c>
      <c r="AM77" s="37">
        <f>+AJ77+AL77</f>
        <v>163682.93333333332</v>
      </c>
      <c r="AN77" s="38">
        <f>IF(D77=0,0,(IF((AM77)*1%&gt;10641.07,10641.07,(AM77)*1%)))</f>
        <v>1636.8293333333331</v>
      </c>
      <c r="AO77" s="33">
        <f>IF(D77=0,0,(IF((AM77)*1%&gt;10641.07,10641.07,(AM77)*1%)))</f>
        <v>1636.8293333333331</v>
      </c>
      <c r="AP77" s="38"/>
      <c r="AQ77" s="38">
        <f>+INT((AJ77+AL77-AO77-AN77-AP77)/100)*100</f>
        <v>160400</v>
      </c>
      <c r="AR77" s="39">
        <f>IF(AQ77=0,0,IF(AQ77&lt;=250000,0,(AQ77-250000)*20%))</f>
        <v>0</v>
      </c>
      <c r="AS77" s="40">
        <f>VLOOKUP(A77,'[1]Liste personnel'!$B$3:$R$187,16,0)</f>
        <v>0</v>
      </c>
      <c r="AT77" s="38">
        <f>+AS77*2000</f>
        <v>0</v>
      </c>
      <c r="AU77" s="38">
        <f>+IF(AR77=0,0,IF(AR77-AT77&lt;200,200,AR77-AT77))</f>
        <v>0</v>
      </c>
      <c r="AV77" s="38">
        <f>IF(ISNA(VLOOKUP(A77,[1]AVANCE!$A$6:$E$122,4,0))=TRUE,0,VLOOKUP(A77,[1]AVANCE!$A$6:$E$122,4,0))</f>
        <v>0</v>
      </c>
      <c r="AW77" s="38">
        <f>IF(ISNA(VLOOKUP(A77,[1]AVANCE!$A$6:$E$122,5,0))=TRUE,0,VLOOKUP(A77,[1]AVANCE!$A$6:$E$122,5,0))</f>
        <v>0</v>
      </c>
      <c r="AX77" s="38">
        <f>+AV77+AW77</f>
        <v>0</v>
      </c>
      <c r="AY77" s="57"/>
      <c r="AZ77" s="58">
        <f>+AO77+AN77+AU77+AX77+AY77</f>
        <v>3273.6586666666662</v>
      </c>
      <c r="BA77" s="38">
        <f>+AJ77-AZ77</f>
        <v>160409.27466666666</v>
      </c>
      <c r="BB77" s="42"/>
      <c r="BC77" s="43"/>
      <c r="BD77" s="59">
        <f t="shared" si="31"/>
        <v>160409.27466666666</v>
      </c>
      <c r="BE77" s="60">
        <f>IF(BD77-INT(BD77/100)*100&gt;0,INT(BD77/100)*100+100,INT(BD77/100)*100)</f>
        <v>160500</v>
      </c>
      <c r="BF77" s="61"/>
      <c r="BG77" s="61"/>
      <c r="BH77" s="62">
        <f>IF(BF77=0,0,I77/2)</f>
        <v>0</v>
      </c>
      <c r="BI77" s="62">
        <f>IF(BF77=0,0,+IF(BF77-J77&lt;30,J77-BF77,30))</f>
        <v>0</v>
      </c>
      <c r="BJ77" s="62">
        <f>+BI77*BH77/30</f>
        <v>0</v>
      </c>
      <c r="BK77" s="63">
        <f>+BD77+AX77+AY77</f>
        <v>160409.27466666666</v>
      </c>
      <c r="BL77" s="48">
        <f>+L77-N77</f>
        <v>163682.93333333332</v>
      </c>
      <c r="BN77" s="49"/>
      <c r="BO77" s="49"/>
    </row>
    <row r="78" spans="1:67" s="18" customFormat="1" ht="27" customHeight="1">
      <c r="A78" s="50" t="s">
        <v>138</v>
      </c>
      <c r="B78" s="51" t="s">
        <v>328</v>
      </c>
      <c r="C78" s="52"/>
      <c r="D78" s="53" t="s">
        <v>329</v>
      </c>
      <c r="E78" s="54">
        <v>42156</v>
      </c>
      <c r="F78" s="25">
        <v>42359</v>
      </c>
      <c r="G78" s="54" t="s">
        <v>269</v>
      </c>
      <c r="H78" s="55" t="s">
        <v>187</v>
      </c>
      <c r="I78" s="29">
        <v>133100</v>
      </c>
      <c r="J78" s="28">
        <v>42369</v>
      </c>
      <c r="K78" s="29">
        <v>11</v>
      </c>
      <c r="L78" s="29">
        <f>(IF(K78&lt;30,I78*(K78)/30,I78))</f>
        <v>48803.333333333336</v>
      </c>
      <c r="M78" s="56">
        <f>IF(ISNA(VLOOKUP(A78,[1]ABSENCE!$B$5:$AK$76,35,0))=TRUE,0,VLOOKUP(A78,[1]ABSENCE!$B$5:$AK$76,35,0))</f>
        <v>0</v>
      </c>
      <c r="N78" s="33">
        <f>IF(ISNA(VLOOKUP(A78,[1]ABSENCE!$B$5:$AK$76,36,0))=TRUE,0,VLOOKUP(A78,[1]ABSENCE!$B$5:$AK$76,36,0))</f>
        <v>0</v>
      </c>
      <c r="O78" s="31">
        <f>IF(ISNA(VLOOKUP($A78,[1]HS!$B$5:$T$122,3,0))=TRUE,0,VLOOKUP($A78,[1]HS!$B$5:$T$122,3,0))</f>
        <v>767.89938268043613</v>
      </c>
      <c r="P78" s="32"/>
      <c r="Q78" s="33"/>
      <c r="R78" s="32"/>
      <c r="S78" s="33"/>
      <c r="T78" s="32"/>
      <c r="U78" s="33"/>
      <c r="V78" s="32"/>
      <c r="W78" s="33"/>
      <c r="X78" s="32"/>
      <c r="Y78" s="33"/>
      <c r="Z78" s="34">
        <f t="shared" si="48"/>
        <v>0</v>
      </c>
      <c r="AA78" s="31">
        <f>+VLOOKUP(A78,[1]CONGE!$A$2:$W$113,20,0)</f>
        <v>0</v>
      </c>
      <c r="AB78" s="31">
        <f>+VLOOKUP(A78,[1]CONGE!$A$2:$W$113,21,0)</f>
        <v>0</v>
      </c>
      <c r="AC78" s="33">
        <f>IF(ISNA(VLOOKUP(A78,'[1]REPAS+DEPL'!$A$6:$M$1028,13,0))=TRUE,0,VLOOKUP(A78,'[1]REPAS+DEPL'!$A$6:$M$1028,13,0))</f>
        <v>0</v>
      </c>
      <c r="AD78" s="35"/>
      <c r="AE78" s="33">
        <f>IF(ISNA(VLOOKUP(A78,[1]Préavis!$A$2:$E$98,5,0))=TRUE,0,(VLOOKUP(A78,[1]Préavis!$A$2:$E$98,5,0)))</f>
        <v>0</v>
      </c>
      <c r="AF78" s="31">
        <f>+VLOOKUP(A78,[1]CONGE!$A$2:$V$112,18,0)</f>
        <v>0</v>
      </c>
      <c r="AG78" s="33">
        <f>IF(ISNA(VLOOKUP($A78,[1]CONGE!$A$2:$S$134,19,0))=TRUE,0,VLOOKUP($A78,[1]CONGE!$A$2:$S$134,19,0))</f>
        <v>0</v>
      </c>
      <c r="AH78" s="31">
        <f>+VLOOKUP(A78,[1]CONGE!$A$2:$W$113,22,0)</f>
        <v>0</v>
      </c>
      <c r="AI78" s="31">
        <f>+VLOOKUP(A78,[1]CONGE!$A$2:$W$113,23,0)</f>
        <v>0</v>
      </c>
      <c r="AJ78" s="36">
        <f>+L78-N78+Z78+AC78+AG78+AD78+AE78+AB78+AI78</f>
        <v>48803.333333333336</v>
      </c>
      <c r="AK78" s="33">
        <f>IF(ISNA(VLOOKUP(A78,[1]AVANTAGE!$A$5:$T$118,19,0))=TRUE,0,VLOOKUP(A78,[1]AVANTAGE!$A$5:$T$118,19,0))</f>
        <v>0</v>
      </c>
      <c r="AL78" s="33">
        <f>IF(ISNA(VLOOKUP(A78,[1]AVANTAGE!$A$5:$T$118,20,0))=TRUE,0,VLOOKUP(A78,[1]AVANTAGE!$A$5:$T$118,20,0))</f>
        <v>0</v>
      </c>
      <c r="AM78" s="37">
        <f>+AJ78+AL78</f>
        <v>48803.333333333336</v>
      </c>
      <c r="AN78" s="38">
        <f>IF(D78=0,0,(IF((AM78)*1%&gt;10641.07,10641.07,(AM78)*1%)))</f>
        <v>488.03333333333336</v>
      </c>
      <c r="AO78" s="33">
        <f>IF(D78=0,0,(IF((AM78)*1%&gt;10641.07,10641.07,(AM78)*1%)))</f>
        <v>488.03333333333336</v>
      </c>
      <c r="AP78" s="38"/>
      <c r="AQ78" s="38">
        <f>+INT((AJ78+AL78-AO78-AN78-AP78)/100)*100</f>
        <v>47800</v>
      </c>
      <c r="AR78" s="39">
        <f>IF(AQ78=0,0,IF(AQ78&lt;=250000,0,(AQ78-250000)*20%))</f>
        <v>0</v>
      </c>
      <c r="AS78" s="40">
        <f>VLOOKUP(A78,'[1]Liste personnel'!$B$3:$R$187,16,0)</f>
        <v>0</v>
      </c>
      <c r="AT78" s="38">
        <f>+AS78*2000</f>
        <v>0</v>
      </c>
      <c r="AU78" s="38">
        <f>+IF(AR78=0,0,IF(AR78-AT78&lt;200,200,AR78-AT78))</f>
        <v>0</v>
      </c>
      <c r="AV78" s="38">
        <f>IF(ISNA(VLOOKUP(A78,[1]AVANCE!$A$6:$E$122,4,0))=TRUE,0,VLOOKUP(A78,[1]AVANCE!$A$6:$E$122,4,0))</f>
        <v>0</v>
      </c>
      <c r="AW78" s="38">
        <f>IF(ISNA(VLOOKUP(A78,[1]AVANCE!$A$6:$E$122,5,0))=TRUE,0,VLOOKUP(A78,[1]AVANCE!$A$6:$E$122,5,0))</f>
        <v>0</v>
      </c>
      <c r="AX78" s="38">
        <f>+AV78+AW78</f>
        <v>0</v>
      </c>
      <c r="AY78" s="57"/>
      <c r="AZ78" s="58">
        <f>+AO78+AN78+AU78+AX78+AY78</f>
        <v>976.06666666666672</v>
      </c>
      <c r="BA78" s="38">
        <f>+AJ78-AZ78</f>
        <v>47827.26666666667</v>
      </c>
      <c r="BB78" s="42"/>
      <c r="BC78" s="43"/>
      <c r="BD78" s="59">
        <f t="shared" si="31"/>
        <v>47827.26666666667</v>
      </c>
      <c r="BE78" s="60">
        <f>IF(BD78-INT(BD78/100)*100&gt;0,INT(BD78/100)*100+100,INT(BD78/100)*100)</f>
        <v>47900</v>
      </c>
      <c r="BF78" s="61"/>
      <c r="BG78" s="61"/>
      <c r="BH78" s="62">
        <f>IF(BF78=0,0,I78/2)</f>
        <v>0</v>
      </c>
      <c r="BI78" s="62">
        <f>IF(BF78=0,0,+IF(BF78-J78&lt;30,J78-BF78,30))</f>
        <v>0</v>
      </c>
      <c r="BJ78" s="62">
        <f>+BI78*BH78/30</f>
        <v>0</v>
      </c>
      <c r="BK78" s="63">
        <f>+BD78+AX78+AY78</f>
        <v>47827.26666666667</v>
      </c>
      <c r="BL78" s="48">
        <f>+L78-N78</f>
        <v>48803.333333333336</v>
      </c>
      <c r="BM78" s="19"/>
      <c r="BN78" s="87"/>
      <c r="BO78" s="49"/>
    </row>
    <row r="79" spans="1:67" s="18" customFormat="1" ht="27" customHeight="1">
      <c r="A79" s="50" t="s">
        <v>139</v>
      </c>
      <c r="B79" s="51" t="s">
        <v>330</v>
      </c>
      <c r="C79" s="52"/>
      <c r="D79" s="53" t="s">
        <v>331</v>
      </c>
      <c r="E79" s="54">
        <v>42258</v>
      </c>
      <c r="F79" s="25">
        <v>42359</v>
      </c>
      <c r="G79" s="54" t="s">
        <v>192</v>
      </c>
      <c r="H79" s="55" t="s">
        <v>169</v>
      </c>
      <c r="I79" s="29">
        <v>255306</v>
      </c>
      <c r="J79" s="28">
        <v>42369</v>
      </c>
      <c r="K79" s="29">
        <v>11</v>
      </c>
      <c r="L79" s="29">
        <f>(IF(K79&lt;30,I79*(K79)/30,I79))</f>
        <v>93612.2</v>
      </c>
      <c r="M79" s="56">
        <f>IF(ISNA(VLOOKUP(A79,[1]ABSENCE!$B$5:$AK$76,35,0))=TRUE,0,VLOOKUP(A79,[1]ABSENCE!$B$5:$AK$76,35,0))</f>
        <v>0</v>
      </c>
      <c r="N79" s="33">
        <f>IF(ISNA(VLOOKUP(A79,[1]ABSENCE!$B$5:$AK$76,36,0))=TRUE,0,VLOOKUP(A79,[1]ABSENCE!$B$5:$AK$76,36,0))</f>
        <v>0</v>
      </c>
      <c r="O79" s="31">
        <f>IF(ISNA(VLOOKUP($A79,[1]HS!$B$5:$T$122,3,0))=TRUE,0,VLOOKUP($A79,[1]HS!$B$5:$T$122,3,0))</f>
        <v>1472.9475566837823</v>
      </c>
      <c r="P79" s="32"/>
      <c r="Q79" s="33"/>
      <c r="R79" s="32"/>
      <c r="S79" s="33"/>
      <c r="T79" s="32"/>
      <c r="U79" s="33"/>
      <c r="V79" s="32"/>
      <c r="W79" s="33"/>
      <c r="X79" s="32"/>
      <c r="Y79" s="33"/>
      <c r="Z79" s="34">
        <f t="shared" si="48"/>
        <v>0</v>
      </c>
      <c r="AA79" s="31">
        <f>+VLOOKUP(A79,[1]CONGE!$A$2:$W$113,20,0)</f>
        <v>0</v>
      </c>
      <c r="AB79" s="31">
        <f>+VLOOKUP(A79,[1]CONGE!$A$2:$W$113,21,0)</f>
        <v>0</v>
      </c>
      <c r="AC79" s="33">
        <f>IF(ISNA(VLOOKUP(A79,'[1]REPAS+DEPL'!$A$6:$M$1028,13,0))=TRUE,0,VLOOKUP(A79,'[1]REPAS+DEPL'!$A$6:$M$1028,13,0))</f>
        <v>0</v>
      </c>
      <c r="AD79" s="35"/>
      <c r="AE79" s="33">
        <f>IF(ISNA(VLOOKUP(A79,[1]Préavis!$A$2:$E$98,5,0))=TRUE,0,(VLOOKUP(A79,[1]Préavis!$A$2:$E$98,5,0)))</f>
        <v>0</v>
      </c>
      <c r="AF79" s="31">
        <f>+VLOOKUP(A79,[1]CONGE!$A$2:$V$112,18,0)</f>
        <v>0</v>
      </c>
      <c r="AG79" s="33">
        <f>IF(ISNA(VLOOKUP($A79,[1]CONGE!$A$2:$S$134,19,0))=TRUE,0,VLOOKUP($A79,[1]CONGE!$A$2:$S$134,19,0))</f>
        <v>0</v>
      </c>
      <c r="AH79" s="31">
        <f>+VLOOKUP(A79,[1]CONGE!$A$2:$W$113,22,0)</f>
        <v>0</v>
      </c>
      <c r="AI79" s="31">
        <f>+VLOOKUP(A79,[1]CONGE!$A$2:$W$113,23,0)</f>
        <v>0</v>
      </c>
      <c r="AJ79" s="36">
        <f>+L79-N79+Z79+AC79+AG79+AD79+AE79+AB79+AI79</f>
        <v>93612.2</v>
      </c>
      <c r="AK79" s="33">
        <f>IF(ISNA(VLOOKUP(A79,[1]AVANTAGE!$A$5:$T$118,19,0))=TRUE,0,VLOOKUP(A79,[1]AVANTAGE!$A$5:$T$118,19,0))</f>
        <v>0</v>
      </c>
      <c r="AL79" s="33">
        <f>IF(ISNA(VLOOKUP(A79,[1]AVANTAGE!$A$5:$T$118,20,0))=TRUE,0,VLOOKUP(A79,[1]AVANTAGE!$A$5:$T$118,20,0))</f>
        <v>0</v>
      </c>
      <c r="AM79" s="37">
        <f>+AJ79+AL79</f>
        <v>93612.2</v>
      </c>
      <c r="AN79" s="38">
        <f>IF(D79=0,0,(IF((AM79)*1%&gt;10641.07,10641.07,(AM79)*1%)))</f>
        <v>936.12199999999996</v>
      </c>
      <c r="AO79" s="33">
        <f>IF(D79=0,0,(IF((AM79)*1%&gt;10641.07,10641.07,(AM79)*1%)))</f>
        <v>936.12199999999996</v>
      </c>
      <c r="AP79" s="38"/>
      <c r="AQ79" s="38">
        <f>+INT((AJ79+AL79-AO79-AN79-AP79)/100)*100</f>
        <v>91700</v>
      </c>
      <c r="AR79" s="39">
        <f>IF(AQ79=0,0,IF(AQ79&lt;=250000,0,(AQ79-250000)*20%))</f>
        <v>0</v>
      </c>
      <c r="AS79" s="40">
        <f>VLOOKUP(A79,'[1]Liste personnel'!$B$3:$R$187,16,0)</f>
        <v>0</v>
      </c>
      <c r="AT79" s="38">
        <f>+AS79*2000</f>
        <v>0</v>
      </c>
      <c r="AU79" s="38">
        <f>+IF(AR79=0,0,IF(AR79-AT79&lt;200,200,AR79-AT79))</f>
        <v>0</v>
      </c>
      <c r="AV79" s="38">
        <f>IF(ISNA(VLOOKUP(A79,[1]AVANCE!$A$6:$E$122,4,0))=TRUE,0,VLOOKUP(A79,[1]AVANCE!$A$6:$E$122,4,0))</f>
        <v>0</v>
      </c>
      <c r="AW79" s="38">
        <f>IF(ISNA(VLOOKUP(A79,[1]AVANCE!$A$6:$E$122,5,0))=TRUE,0,VLOOKUP(A79,[1]AVANCE!$A$6:$E$122,5,0))</f>
        <v>0</v>
      </c>
      <c r="AX79" s="38">
        <f>+AV79+AW79</f>
        <v>0</v>
      </c>
      <c r="AY79" s="57"/>
      <c r="AZ79" s="58">
        <f>+AO79+AN79+AU79+AX79+AY79</f>
        <v>1872.2439999999999</v>
      </c>
      <c r="BA79" s="38">
        <f>+AJ79-AZ79</f>
        <v>91739.955999999991</v>
      </c>
      <c r="BB79" s="42"/>
      <c r="BC79" s="43"/>
      <c r="BD79" s="59">
        <f t="shared" si="31"/>
        <v>91739.955999999991</v>
      </c>
      <c r="BE79" s="60">
        <f>IF(BD79-INT(BD79/100)*100&gt;0,INT(BD79/100)*100+100,INT(BD79/100)*100)</f>
        <v>91800</v>
      </c>
      <c r="BF79" s="61"/>
      <c r="BG79" s="61"/>
      <c r="BH79" s="62">
        <f>IF(BF79=0,0,I79/2)</f>
        <v>0</v>
      </c>
      <c r="BI79" s="62">
        <f>IF(BF79=0,0,+IF(BF79-J79&lt;30,J79-BF79,30))</f>
        <v>0</v>
      </c>
      <c r="BJ79" s="62">
        <f>+BI79*BH79/30</f>
        <v>0</v>
      </c>
      <c r="BK79" s="63">
        <f>+BD79+AX79+AY79</f>
        <v>91739.955999999991</v>
      </c>
      <c r="BL79" s="48">
        <f>+L79-N79</f>
        <v>93612.2</v>
      </c>
      <c r="BM79" s="64"/>
      <c r="BN79" s="64"/>
      <c r="BO79" s="49"/>
    </row>
    <row r="80" spans="1:67" s="18" customFormat="1" ht="27" customHeight="1">
      <c r="A80" s="50" t="s">
        <v>140</v>
      </c>
      <c r="B80" s="51" t="s">
        <v>332</v>
      </c>
      <c r="C80" s="52"/>
      <c r="D80" s="53" t="s">
        <v>333</v>
      </c>
      <c r="E80" s="54">
        <v>42268</v>
      </c>
      <c r="F80" s="25">
        <v>42359</v>
      </c>
      <c r="G80" s="54" t="s">
        <v>334</v>
      </c>
      <c r="H80" s="55" t="s">
        <v>207</v>
      </c>
      <c r="I80" s="29">
        <v>701510</v>
      </c>
      <c r="J80" s="28">
        <v>42369</v>
      </c>
      <c r="K80" s="29">
        <v>11</v>
      </c>
      <c r="L80" s="29">
        <f>(IF(K80&lt;30,I80*(K80)/30,I80))</f>
        <v>257220.33333333334</v>
      </c>
      <c r="M80" s="56">
        <f>IF(ISNA(VLOOKUP(A80,[1]ABSENCE!$B$5:$AK$76,35,0))=TRUE,0,VLOOKUP(A80,[1]ABSENCE!$B$5:$AK$76,35,0))</f>
        <v>0</v>
      </c>
      <c r="N80" s="33">
        <f>IF(ISNA(VLOOKUP(A80,[1]ABSENCE!$B$5:$AK$76,36,0))=TRUE,0,VLOOKUP(A80,[1]ABSENCE!$B$5:$AK$76,36,0))</f>
        <v>0</v>
      </c>
      <c r="O80" s="31">
        <f>IF(ISNA(VLOOKUP($A80,[1]HS!$B$5:$T$122,3,0))=TRUE,0,VLOOKUP($A80,[1]HS!$B$5:$T$122,3,0))</f>
        <v>0</v>
      </c>
      <c r="P80" s="32"/>
      <c r="Q80" s="33"/>
      <c r="R80" s="32"/>
      <c r="S80" s="33"/>
      <c r="T80" s="32"/>
      <c r="U80" s="33"/>
      <c r="V80" s="32"/>
      <c r="W80" s="33"/>
      <c r="X80" s="32"/>
      <c r="Y80" s="33"/>
      <c r="Z80" s="34">
        <f t="shared" si="48"/>
        <v>0</v>
      </c>
      <c r="AA80" s="31">
        <f>+VLOOKUP(A80,[1]CONGE!$A$2:$W$113,20,0)</f>
        <v>0</v>
      </c>
      <c r="AB80" s="31">
        <f>+VLOOKUP(A80,[1]CONGE!$A$2:$W$113,21,0)</f>
        <v>0</v>
      </c>
      <c r="AC80" s="33">
        <f>IF(ISNA(VLOOKUP(A80,'[1]REPAS+DEPL'!$A$6:$M$1028,13,0))=TRUE,0,VLOOKUP(A80,'[1]REPAS+DEPL'!$A$6:$M$1028,13,0))</f>
        <v>0</v>
      </c>
      <c r="AD80" s="35"/>
      <c r="AE80" s="33">
        <f>IF(ISNA(VLOOKUP(A80,[1]Préavis!$A$2:$E$98,5,0))=TRUE,0,(VLOOKUP(A80,[1]Préavis!$A$2:$E$98,5,0)))</f>
        <v>0</v>
      </c>
      <c r="AF80" s="31">
        <f>+VLOOKUP(A80,[1]CONGE!$A$2:$V$112,18,0)</f>
        <v>0</v>
      </c>
      <c r="AG80" s="33">
        <f>IF(ISNA(VLOOKUP($A80,[1]CONGE!$A$2:$S$134,19,0))=TRUE,0,VLOOKUP($A80,[1]CONGE!$A$2:$S$134,19,0))</f>
        <v>0</v>
      </c>
      <c r="AH80" s="31">
        <f>+VLOOKUP(A80,[1]CONGE!$A$2:$W$113,22,0)</f>
        <v>0</v>
      </c>
      <c r="AI80" s="31">
        <f>+VLOOKUP(A80,[1]CONGE!$A$2:$W$113,23,0)</f>
        <v>0</v>
      </c>
      <c r="AJ80" s="36">
        <f>+L80-N80+Z80+AC80+AG80+AD80+AE80+AB80+AI80</f>
        <v>257220.33333333334</v>
      </c>
      <c r="AK80" s="33">
        <f>IF(ISNA(VLOOKUP(A80,[1]AVANTAGE!$A$5:$T$118,19,0))=TRUE,0,VLOOKUP(A80,[1]AVANTAGE!$A$5:$T$118,19,0))</f>
        <v>0</v>
      </c>
      <c r="AL80" s="33">
        <f>IF(ISNA(VLOOKUP(A80,[1]AVANTAGE!$A$5:$T$118,20,0))=TRUE,0,VLOOKUP(A80,[1]AVANTAGE!$A$5:$T$118,20,0))</f>
        <v>0</v>
      </c>
      <c r="AM80" s="37">
        <f>+AJ80+AL80</f>
        <v>257220.33333333334</v>
      </c>
      <c r="AN80" s="38">
        <f>IF(D80=0,0,(IF((AM80)*1%&gt;10641.07,10641.07,(AM80)*1%)))</f>
        <v>2572.2033333333334</v>
      </c>
      <c r="AO80" s="33">
        <f>IF(D80=0,0,(IF((AM80)*1%&gt;10641.07,10641.07,(AM80)*1%)))</f>
        <v>2572.2033333333334</v>
      </c>
      <c r="AP80" s="38"/>
      <c r="AQ80" s="38">
        <f>+INT((AJ80+AL80-AO80-AN80-AP80)/100)*100</f>
        <v>252000</v>
      </c>
      <c r="AR80" s="39">
        <f>IF(AQ80=0,0,IF(AQ80&lt;=250000,0,(AQ80-250000)*20%))</f>
        <v>400</v>
      </c>
      <c r="AS80" s="40">
        <f>VLOOKUP(A80,'[1]Liste personnel'!$B$3:$R$187,16,0)</f>
        <v>0</v>
      </c>
      <c r="AT80" s="38">
        <f>+AS80*2000</f>
        <v>0</v>
      </c>
      <c r="AU80" s="38">
        <f>+IF(AR80=0,0,IF(AR80-AT80&lt;200,200,AR80-AT80))</f>
        <v>400</v>
      </c>
      <c r="AV80" s="38">
        <f>IF(ISNA(VLOOKUP(A80,[1]AVANCE!$A$6:$E$122,4,0))=TRUE,0,VLOOKUP(A80,[1]AVANCE!$A$6:$E$122,4,0))</f>
        <v>0</v>
      </c>
      <c r="AW80" s="38">
        <f>IF(ISNA(VLOOKUP(A80,[1]AVANCE!$A$6:$E$122,5,0))=TRUE,0,VLOOKUP(A80,[1]AVANCE!$A$6:$E$122,5,0))</f>
        <v>0</v>
      </c>
      <c r="AX80" s="38">
        <f>+AV80+AW80</f>
        <v>0</v>
      </c>
      <c r="AY80" s="57"/>
      <c r="AZ80" s="58">
        <f>+AO80+AN80+AU80+AX80+AY80</f>
        <v>5544.4066666666668</v>
      </c>
      <c r="BA80" s="38">
        <f>+AJ80-AZ80</f>
        <v>251675.92666666667</v>
      </c>
      <c r="BB80" s="42"/>
      <c r="BC80" s="43"/>
      <c r="BD80" s="59">
        <f t="shared" si="31"/>
        <v>251675.92666666667</v>
      </c>
      <c r="BE80" s="60">
        <f>IF(BD80-INT(BD80/100)*100&gt;0,INT(BD80/100)*100+100,INT(BD80/100)*100)</f>
        <v>251700</v>
      </c>
      <c r="BF80" s="61"/>
      <c r="BG80" s="61"/>
      <c r="BH80" s="62">
        <f>IF(BF80=0,0,I80/2)</f>
        <v>0</v>
      </c>
      <c r="BI80" s="62">
        <f>IF(BF80=0,0,+IF(BF80-J80&lt;30,J80-BF80,30))</f>
        <v>0</v>
      </c>
      <c r="BJ80" s="62">
        <f>+BI80*BH80/30</f>
        <v>0</v>
      </c>
      <c r="BK80" s="63">
        <f>+BD80+AX80+AY80</f>
        <v>251675.92666666667</v>
      </c>
      <c r="BL80" s="48">
        <f>+L80-N80</f>
        <v>257220.33333333334</v>
      </c>
      <c r="BM80" s="64"/>
      <c r="BN80" s="64"/>
      <c r="BO80" s="49"/>
    </row>
    <row r="81" spans="1:67" s="18" customFormat="1" ht="27" customHeight="1">
      <c r="A81" s="50" t="s">
        <v>141</v>
      </c>
      <c r="B81" s="51" t="s">
        <v>335</v>
      </c>
      <c r="C81" s="52"/>
      <c r="D81" s="53" t="s">
        <v>336</v>
      </c>
      <c r="E81" s="54">
        <v>42268</v>
      </c>
      <c r="F81" s="25">
        <v>42359</v>
      </c>
      <c r="G81" s="54" t="s">
        <v>299</v>
      </c>
      <c r="H81" s="55" t="s">
        <v>187</v>
      </c>
      <c r="I81" s="29">
        <v>133100</v>
      </c>
      <c r="J81" s="28">
        <v>42369</v>
      </c>
      <c r="K81" s="29">
        <v>11</v>
      </c>
      <c r="L81" s="29">
        <f t="shared" ref="L81:L104" si="52">(IF(K81&lt;30,I81*(K81)/30,I81))</f>
        <v>48803.333333333336</v>
      </c>
      <c r="M81" s="56">
        <f>IF(ISNA(VLOOKUP(A81,[1]ABSENCE!$B$5:$AK$76,35,0))=TRUE,0,VLOOKUP(A81,[1]ABSENCE!$B$5:$AK$76,35,0))</f>
        <v>0</v>
      </c>
      <c r="N81" s="33">
        <f>IF(ISNA(VLOOKUP(A81,[1]ABSENCE!$B$5:$AK$76,36,0))=TRUE,0,VLOOKUP(A81,[1]ABSENCE!$B$5:$AK$76,36,0))</f>
        <v>0</v>
      </c>
      <c r="O81" s="31">
        <f>IF(ISNA(VLOOKUP($A81,[1]HS!$B$5:$T$122,3,0))=TRUE,0,VLOOKUP($A81,[1]HS!$B$5:$T$122,3,0))</f>
        <v>767.89938268043613</v>
      </c>
      <c r="P81" s="32"/>
      <c r="Q81" s="33"/>
      <c r="R81" s="32"/>
      <c r="S81" s="33"/>
      <c r="T81" s="32"/>
      <c r="U81" s="33"/>
      <c r="V81" s="32"/>
      <c r="W81" s="33"/>
      <c r="X81" s="32"/>
      <c r="Y81" s="33"/>
      <c r="Z81" s="34">
        <f t="shared" si="48"/>
        <v>0</v>
      </c>
      <c r="AA81" s="31">
        <f>+VLOOKUP(A81,[1]CONGE!$A$2:$W$113,20,0)</f>
        <v>0</v>
      </c>
      <c r="AB81" s="31">
        <f>+VLOOKUP(A81,[1]CONGE!$A$2:$W$113,21,0)</f>
        <v>0</v>
      </c>
      <c r="AC81" s="33">
        <f>IF(ISNA(VLOOKUP(A81,'[1]REPAS+DEPL'!$A$6:$M$1028,13,0))=TRUE,0,VLOOKUP(A81,'[1]REPAS+DEPL'!$A$6:$M$1028,13,0))</f>
        <v>0</v>
      </c>
      <c r="AD81" s="35"/>
      <c r="AE81" s="33">
        <f>IF(ISNA(VLOOKUP(A81,[1]Préavis!$A$2:$E$98,5,0))=TRUE,0,(VLOOKUP(A81,[1]Préavis!$A$2:$E$98,5,0)))</f>
        <v>0</v>
      </c>
      <c r="AF81" s="31">
        <f>+VLOOKUP(A81,[1]CONGE!$A$2:$V$112,18,0)</f>
        <v>0</v>
      </c>
      <c r="AG81" s="33">
        <f>IF(ISNA(VLOOKUP($A81,[1]CONGE!$A$2:$S$134,19,0))=TRUE,0,VLOOKUP($A81,[1]CONGE!$A$2:$S$134,19,0))</f>
        <v>0</v>
      </c>
      <c r="AH81" s="31">
        <f>+VLOOKUP(A81,[1]CONGE!$A$2:$W$113,22,0)</f>
        <v>0</v>
      </c>
      <c r="AI81" s="31">
        <f>+VLOOKUP(A81,[1]CONGE!$A$2:$W$113,23,0)</f>
        <v>0</v>
      </c>
      <c r="AJ81" s="36">
        <f t="shared" ref="AJ81:AJ104" si="53">+L81-N81+Z81+AC81+AG81+AD81+AE81+AB81+AI81</f>
        <v>48803.333333333336</v>
      </c>
      <c r="AK81" s="33">
        <f>IF(ISNA(VLOOKUP(A81,[1]AVANTAGE!$A$5:$T$118,19,0))=TRUE,0,VLOOKUP(A81,[1]AVANTAGE!$A$5:$T$118,19,0))</f>
        <v>0</v>
      </c>
      <c r="AL81" s="33">
        <f>IF(ISNA(VLOOKUP(A81,[1]AVANTAGE!$A$5:$T$118,20,0))=TRUE,0,VLOOKUP(A81,[1]AVANTAGE!$A$5:$T$118,20,0))</f>
        <v>0</v>
      </c>
      <c r="AM81" s="37">
        <f t="shared" ref="AM81:AM104" si="54">+AJ81+AL81</f>
        <v>48803.333333333336</v>
      </c>
      <c r="AN81" s="38">
        <f t="shared" ref="AN81:AN104" si="55">IF(D81=0,0,(IF((AM81)*1%&gt;10641.07,10641.07,(AM81)*1%)))</f>
        <v>488.03333333333336</v>
      </c>
      <c r="AO81" s="33">
        <f t="shared" ref="AO81:AO104" si="56">IF(D81=0,0,(IF((AM81)*1%&gt;10641.07,10641.07,(AM81)*1%)))</f>
        <v>488.03333333333336</v>
      </c>
      <c r="AP81" s="38"/>
      <c r="AQ81" s="38">
        <f t="shared" ref="AQ81:AQ104" si="57">+INT((AJ81+AL81-AO81-AN81-AP81)/100)*100</f>
        <v>47800</v>
      </c>
      <c r="AR81" s="39">
        <f t="shared" ref="AR81:AR104" si="58">IF(AQ81=0,0,IF(AQ81&lt;=250000,0,(AQ81-250000)*20%))</f>
        <v>0</v>
      </c>
      <c r="AS81" s="40">
        <f>VLOOKUP(A81,'[1]Liste personnel'!$B$3:$R$187,16,0)</f>
        <v>0</v>
      </c>
      <c r="AT81" s="38">
        <f t="shared" ref="AT81:AT104" si="59">+AS81*2000</f>
        <v>0</v>
      </c>
      <c r="AU81" s="38">
        <f t="shared" ref="AU81:AU104" si="60">+IF(AR81=0,0,IF(AR81-AT81&lt;200,200,AR81-AT81))</f>
        <v>0</v>
      </c>
      <c r="AV81" s="38">
        <f>IF(ISNA(VLOOKUP(A81,[1]AVANCE!$A$6:$E$122,4,0))=TRUE,0,VLOOKUP(A81,[1]AVANCE!$A$6:$E$122,4,0))</f>
        <v>0</v>
      </c>
      <c r="AW81" s="38">
        <f>IF(ISNA(VLOOKUP(A81,[1]AVANCE!$A$6:$E$122,5,0))=TRUE,0,VLOOKUP(A81,[1]AVANCE!$A$6:$E$122,5,0))</f>
        <v>0</v>
      </c>
      <c r="AX81" s="38">
        <f t="shared" ref="AX81:AX104" si="61">+AV81+AW81</f>
        <v>0</v>
      </c>
      <c r="AY81" s="57"/>
      <c r="AZ81" s="58">
        <f t="shared" ref="AZ81:AZ104" si="62">+AO81+AN81+AU81+AX81+AY81</f>
        <v>976.06666666666672</v>
      </c>
      <c r="BA81" s="38">
        <f t="shared" ref="BA81:BA104" si="63">+AJ81-AZ81</f>
        <v>47827.26666666667</v>
      </c>
      <c r="BB81" s="42"/>
      <c r="BC81" s="43"/>
      <c r="BD81" s="59">
        <f t="shared" si="31"/>
        <v>47827.26666666667</v>
      </c>
      <c r="BE81" s="60">
        <f t="shared" ref="BE81:BE104" si="64">IF(BD81-INT(BD81/100)*100&gt;0,INT(BD81/100)*100+100,INT(BD81/100)*100)</f>
        <v>47900</v>
      </c>
      <c r="BF81" s="61"/>
      <c r="BG81" s="61"/>
      <c r="BH81" s="62">
        <f t="shared" ref="BH81:BH104" si="65">IF(BF81=0,0,I81/2)</f>
        <v>0</v>
      </c>
      <c r="BI81" s="62">
        <f t="shared" ref="BI81:BI104" si="66">IF(BF81=0,0,+IF(BF81-J81&lt;30,J81-BF81,30))</f>
        <v>0</v>
      </c>
      <c r="BJ81" s="62">
        <f t="shared" ref="BJ81:BJ104" si="67">+BI81*BH81/30</f>
        <v>0</v>
      </c>
      <c r="BK81" s="63">
        <f t="shared" ref="BK81:BK104" si="68">+BD81+AX81+AY81</f>
        <v>47827.26666666667</v>
      </c>
      <c r="BL81" s="48">
        <f t="shared" ref="BL81:BL104" si="69">+L81-N81</f>
        <v>48803.333333333336</v>
      </c>
      <c r="BM81" s="64"/>
      <c r="BN81" s="64"/>
      <c r="BO81" s="49"/>
    </row>
    <row r="82" spans="1:67" s="116" customFormat="1" ht="27" customHeight="1">
      <c r="A82" s="93" t="s">
        <v>142</v>
      </c>
      <c r="B82" s="94" t="s">
        <v>337</v>
      </c>
      <c r="C82" s="95"/>
      <c r="D82" s="96" t="s">
        <v>336</v>
      </c>
      <c r="E82" s="97">
        <v>42268</v>
      </c>
      <c r="F82" s="98">
        <v>42359</v>
      </c>
      <c r="G82" s="97" t="s">
        <v>299</v>
      </c>
      <c r="H82" s="99" t="s">
        <v>187</v>
      </c>
      <c r="I82" s="100">
        <v>133100</v>
      </c>
      <c r="J82" s="28">
        <v>42369</v>
      </c>
      <c r="K82" s="100">
        <v>11</v>
      </c>
      <c r="L82" s="100">
        <f t="shared" si="52"/>
        <v>48803.333333333336</v>
      </c>
      <c r="M82" s="101">
        <f>IF(ISNA(VLOOKUP(A82,[1]ABSENCE!$B$5:$AK$76,35,0))=TRUE,0,VLOOKUP(A82,[1]ABSENCE!$B$5:$AK$76,35,0))</f>
        <v>0</v>
      </c>
      <c r="N82" s="102">
        <f>IF(ISNA(VLOOKUP(A82,[1]ABSENCE!$B$5:$AK$76,36,0))=TRUE,0,VLOOKUP(A82,[1]ABSENCE!$B$5:$AK$76,36,0))</f>
        <v>0</v>
      </c>
      <c r="O82" s="31">
        <f>IF(ISNA(VLOOKUP($A82,[1]HS!$B$5:$T$122,3,0))=TRUE,0,VLOOKUP($A82,[1]HS!$B$5:$T$122,3,0))</f>
        <v>767.89938268043613</v>
      </c>
      <c r="P82" s="32">
        <f ca="1">IF(ISNA(IF(O82=0,0,VLOOKUP($A82,[1]HS!$B$5:$T$122,10,0)))=TRUE,0,IF(O82=0,0,VLOOKUP($A82,[1]HS!$B$5:$T$122,10,0)))</f>
        <v>0</v>
      </c>
      <c r="Q82" s="33">
        <f ca="1">IF(ISNA(VLOOKUP($A82,[1]HS!$B$5:$T$122,11,0))=TRUE,0,VLOOKUP($A82,[1]HS!$B$5:$T$122,11,0))</f>
        <v>0</v>
      </c>
      <c r="R82" s="32">
        <f ca="1">IF(ISNA(IF(O82=0,0,VLOOKUP($A82,[1]HS!$B$5:$T$122,12,0)))=TRUE,0,IF(O82=0,0,VLOOKUP($A82,[1]HS!$B$5:$T$122,12,0)))</f>
        <v>0</v>
      </c>
      <c r="S82" s="33">
        <f ca="1">IF(ISNA(VLOOKUP($A82,[1]HS!$B$5:$T$122,13,0))=TRUE,0,VLOOKUP($A82,[1]HS!$B$5:$T$122,13,0))</f>
        <v>0</v>
      </c>
      <c r="T82" s="32">
        <f ca="1">IF(ISNA(IF(O82=0,0,VLOOKUP($A82,[1]HS!$B$5:$T$122,14,0)))=TRUE,0,IF(O82=0,0,VLOOKUP($A82,[1]HS!$B$5:$T$122,14,0)))</f>
        <v>0</v>
      </c>
      <c r="U82" s="33">
        <f ca="1">IF(ISNA(VLOOKUP($A82,[1]HS!$B$5:$T$122,15,0))=TRUE,0,VLOOKUP($A82,[1]HS!$B$5:$T$122,15,0))</f>
        <v>0</v>
      </c>
      <c r="V82" s="32">
        <f ca="1">(IF(O82=0,0,VLOOKUP($A82,[1]HS!$B$5:$T$122,16,0)))</f>
        <v>0</v>
      </c>
      <c r="W82" s="33">
        <f ca="1">IF(ISNA(VLOOKUP($A82,[1]HS!$B$5:$T$122,17,0))=TRUE,0,VLOOKUP($A82,[1]HS!$B$5:$T$122,17,0))</f>
        <v>0</v>
      </c>
      <c r="X82" s="32">
        <f ca="1">(IF(O82=0,0,VLOOKUP($A82,[1]HS!$B$5:$T$122,18,0)))</f>
        <v>0</v>
      </c>
      <c r="Y82" s="33">
        <f ca="1">IF(ISNA(VLOOKUP($A82,[1]HS!$B$5:$T$122,19,0))=TRUE,0,VLOOKUP($A82,[1]HS!$B$5:$T$122,19,0))</f>
        <v>0</v>
      </c>
      <c r="Z82" s="102">
        <f t="shared" ca="1" si="48"/>
        <v>0</v>
      </c>
      <c r="AA82" s="103">
        <f>+VLOOKUP(A82,[1]CONGE!$A$2:$W$113,20,0)</f>
        <v>0</v>
      </c>
      <c r="AB82" s="103">
        <f>+VLOOKUP(A82,[1]CONGE!$A$2:$W$113,21,0)</f>
        <v>0</v>
      </c>
      <c r="AC82" s="102">
        <f>IF(ISNA(VLOOKUP(A82,'[1]REPAS+DEPL'!$A$6:$M$1028,13,0))=TRUE,0,VLOOKUP(A82,'[1]REPAS+DEPL'!$A$6:$M$1028,13,0))</f>
        <v>0</v>
      </c>
      <c r="AD82" s="103"/>
      <c r="AE82" s="102">
        <f>IF(ISNA(VLOOKUP(A82,[1]Préavis!$A$2:$E$98,5,0))=TRUE,0,(VLOOKUP(A82,[1]Préavis!$A$2:$E$98,5,0)))</f>
        <v>0</v>
      </c>
      <c r="AF82" s="103">
        <f>+VLOOKUP(A82,[1]CONGE!$A$2:$V$112,18,0)</f>
        <v>0</v>
      </c>
      <c r="AG82" s="102">
        <f>IF(ISNA(VLOOKUP($A82,[1]CONGE!$A$2:$S$134,19,0))=TRUE,0,VLOOKUP($A82,[1]CONGE!$A$2:$S$134,19,0))</f>
        <v>0</v>
      </c>
      <c r="AH82" s="103">
        <f>+VLOOKUP(A82,[1]CONGE!$A$2:$W$113,22,0)</f>
        <v>0</v>
      </c>
      <c r="AI82" s="103">
        <f>+VLOOKUP(A82,[1]CONGE!$A$2:$W$113,23,0)</f>
        <v>0</v>
      </c>
      <c r="AJ82" s="103">
        <f t="shared" ca="1" si="53"/>
        <v>48803.333333333336</v>
      </c>
      <c r="AK82" s="102">
        <f>IF(ISNA(VLOOKUP(A82,[1]AVANTAGE!$A$5:$T$118,19,0))=TRUE,0,VLOOKUP(A82,[1]AVANTAGE!$A$5:$T$118,19,0))</f>
        <v>0</v>
      </c>
      <c r="AL82" s="102">
        <f>IF(ISNA(VLOOKUP(A82,[1]AVANTAGE!$A$5:$T$118,20,0))=TRUE,0,VLOOKUP(A82,[1]AVANTAGE!$A$5:$T$118,20,0))</f>
        <v>0</v>
      </c>
      <c r="AM82" s="104">
        <f t="shared" ca="1" si="54"/>
        <v>48803.333333333336</v>
      </c>
      <c r="AN82" s="104">
        <f t="shared" ca="1" si="55"/>
        <v>488.03333333333336</v>
      </c>
      <c r="AO82" s="102">
        <f t="shared" ca="1" si="56"/>
        <v>488.03333333333336</v>
      </c>
      <c r="AP82" s="104"/>
      <c r="AQ82" s="104">
        <f t="shared" ca="1" si="57"/>
        <v>47800</v>
      </c>
      <c r="AR82" s="105">
        <f t="shared" ca="1" si="58"/>
        <v>0</v>
      </c>
      <c r="AS82" s="106">
        <f>VLOOKUP(A82,'[1]Liste personnel'!$B$3:$R$187,16,0)</f>
        <v>0</v>
      </c>
      <c r="AT82" s="104">
        <f t="shared" si="59"/>
        <v>0</v>
      </c>
      <c r="AU82" s="104">
        <f t="shared" ca="1" si="60"/>
        <v>0</v>
      </c>
      <c r="AV82" s="104">
        <f>IF(ISNA(VLOOKUP(A82,[1]AVANCE!$A$6:$E$122,4,0))=TRUE,0,VLOOKUP(A82,[1]AVANCE!$A$6:$E$122,4,0))</f>
        <v>0</v>
      </c>
      <c r="AW82" s="104">
        <f>IF(ISNA(VLOOKUP(A82,[1]AVANCE!$A$6:$E$122,5,0))=TRUE,0,VLOOKUP(A82,[1]AVANCE!$A$6:$E$122,5,0))</f>
        <v>0</v>
      </c>
      <c r="AX82" s="104">
        <f t="shared" si="61"/>
        <v>0</v>
      </c>
      <c r="AY82" s="102"/>
      <c r="AZ82" s="104">
        <f t="shared" ca="1" si="62"/>
        <v>976.06666666666672</v>
      </c>
      <c r="BA82" s="104">
        <f t="shared" ca="1" si="63"/>
        <v>47827.26666666667</v>
      </c>
      <c r="BB82" s="107"/>
      <c r="BC82" s="108"/>
      <c r="BD82" s="109">
        <f t="shared" ca="1" si="31"/>
        <v>47827.26666666667</v>
      </c>
      <c r="BE82" s="110">
        <f t="shared" ca="1" si="64"/>
        <v>47900</v>
      </c>
      <c r="BF82" s="111"/>
      <c r="BG82" s="111"/>
      <c r="BH82" s="112">
        <f t="shared" si="65"/>
        <v>0</v>
      </c>
      <c r="BI82" s="112">
        <f t="shared" si="66"/>
        <v>0</v>
      </c>
      <c r="BJ82" s="112">
        <f t="shared" si="67"/>
        <v>0</v>
      </c>
      <c r="BK82" s="112">
        <f t="shared" ca="1" si="68"/>
        <v>47827.26666666667</v>
      </c>
      <c r="BL82" s="113">
        <f t="shared" si="69"/>
        <v>48803.333333333336</v>
      </c>
      <c r="BM82" s="114"/>
      <c r="BN82" s="114"/>
      <c r="BO82" s="115"/>
    </row>
    <row r="83" spans="1:67" s="18" customFormat="1" ht="27" customHeight="1">
      <c r="A83" s="50" t="s">
        <v>143</v>
      </c>
      <c r="B83" s="51" t="s">
        <v>338</v>
      </c>
      <c r="C83" s="52"/>
      <c r="D83" s="53" t="s">
        <v>281</v>
      </c>
      <c r="E83" s="54">
        <v>42279</v>
      </c>
      <c r="F83" s="25">
        <v>42359</v>
      </c>
      <c r="G83" s="54" t="s">
        <v>299</v>
      </c>
      <c r="H83" s="55" t="s">
        <v>187</v>
      </c>
      <c r="I83" s="29">
        <v>133100</v>
      </c>
      <c r="J83" s="28">
        <v>42369</v>
      </c>
      <c r="K83" s="29">
        <v>11</v>
      </c>
      <c r="L83" s="29">
        <f t="shared" si="52"/>
        <v>48803.333333333336</v>
      </c>
      <c r="M83" s="56">
        <f>IF(ISNA(VLOOKUP(A83,[1]ABSENCE!$B$5:$AK$76,35,0))=TRUE,0,VLOOKUP(A83,[1]ABSENCE!$B$5:$AK$76,35,0))</f>
        <v>0</v>
      </c>
      <c r="N83" s="33">
        <f>IF(ISNA(VLOOKUP(A83,[1]ABSENCE!$B$5:$AK$76,36,0))=TRUE,0,VLOOKUP(A83,[1]ABSENCE!$B$5:$AK$76,36,0))</f>
        <v>0</v>
      </c>
      <c r="O83" s="31">
        <f>IF(ISNA(VLOOKUP($A83,[1]HS!$B$5:$T$122,3,0))=TRUE,0,VLOOKUP($A83,[1]HS!$B$5:$T$122,3,0))</f>
        <v>767.89938268043613</v>
      </c>
      <c r="P83" s="32"/>
      <c r="Q83" s="33"/>
      <c r="R83" s="32"/>
      <c r="S83" s="33"/>
      <c r="T83" s="32"/>
      <c r="U83" s="33"/>
      <c r="V83" s="32"/>
      <c r="W83" s="33"/>
      <c r="X83" s="32"/>
      <c r="Y83" s="33"/>
      <c r="Z83" s="34">
        <f t="shared" si="48"/>
        <v>0</v>
      </c>
      <c r="AA83" s="31">
        <f>+VLOOKUP(A83,[1]CONGE!$A$2:$W$113,20,0)</f>
        <v>0</v>
      </c>
      <c r="AB83" s="31">
        <f>+VLOOKUP(A83,[1]CONGE!$A$2:$W$113,21,0)</f>
        <v>0</v>
      </c>
      <c r="AC83" s="33">
        <f>IF(ISNA(VLOOKUP(A83,'[1]REPAS+DEPL'!$A$6:$M$1028,13,0))=TRUE,0,VLOOKUP(A83,'[1]REPAS+DEPL'!$A$6:$M$1028,13,0))</f>
        <v>0</v>
      </c>
      <c r="AD83" s="35"/>
      <c r="AE83" s="33">
        <f>IF(ISNA(VLOOKUP(A83,[1]Préavis!$A$2:$E$98,5,0))=TRUE,0,(VLOOKUP(A83,[1]Préavis!$A$2:$E$98,5,0)))</f>
        <v>0</v>
      </c>
      <c r="AF83" s="31">
        <f>+VLOOKUP(A83,[1]CONGE!$A$2:$V$112,18,0)</f>
        <v>0</v>
      </c>
      <c r="AG83" s="33">
        <f>IF(ISNA(VLOOKUP($A83,[1]CONGE!$A$2:$S$134,19,0))=TRUE,0,VLOOKUP($A83,[1]CONGE!$A$2:$S$134,19,0))</f>
        <v>0</v>
      </c>
      <c r="AH83" s="31">
        <f>+VLOOKUP(A83,[1]CONGE!$A$2:$W$113,22,0)</f>
        <v>0</v>
      </c>
      <c r="AI83" s="31">
        <f>+VLOOKUP(A83,[1]CONGE!$A$2:$W$113,23,0)</f>
        <v>0</v>
      </c>
      <c r="AJ83" s="36">
        <f t="shared" si="53"/>
        <v>48803.333333333336</v>
      </c>
      <c r="AK83" s="33">
        <f>IF(ISNA(VLOOKUP(A83,[1]AVANTAGE!$A$5:$T$118,19,0))=TRUE,0,VLOOKUP(A83,[1]AVANTAGE!$A$5:$T$118,19,0))</f>
        <v>0</v>
      </c>
      <c r="AL83" s="33">
        <f>IF(ISNA(VLOOKUP(A83,[1]AVANTAGE!$A$5:$T$118,20,0))=TRUE,0,VLOOKUP(A83,[1]AVANTAGE!$A$5:$T$118,20,0))</f>
        <v>0</v>
      </c>
      <c r="AM83" s="37">
        <f t="shared" si="54"/>
        <v>48803.333333333336</v>
      </c>
      <c r="AN83" s="38">
        <f t="shared" si="55"/>
        <v>488.03333333333336</v>
      </c>
      <c r="AO83" s="33">
        <f t="shared" si="56"/>
        <v>488.03333333333336</v>
      </c>
      <c r="AP83" s="38"/>
      <c r="AQ83" s="38">
        <f t="shared" si="57"/>
        <v>47800</v>
      </c>
      <c r="AR83" s="39">
        <f t="shared" si="58"/>
        <v>0</v>
      </c>
      <c r="AS83" s="40">
        <f>VLOOKUP(A83,'[1]Liste personnel'!$B$3:$R$187,16,0)</f>
        <v>0</v>
      </c>
      <c r="AT83" s="38">
        <f t="shared" si="59"/>
        <v>0</v>
      </c>
      <c r="AU83" s="38">
        <f t="shared" si="60"/>
        <v>0</v>
      </c>
      <c r="AV83" s="38">
        <f>IF(ISNA(VLOOKUP(A83,[1]AVANCE!$A$6:$E$122,4,0))=TRUE,0,VLOOKUP(A83,[1]AVANCE!$A$6:$E$122,4,0))</f>
        <v>0</v>
      </c>
      <c r="AW83" s="38">
        <f>IF(ISNA(VLOOKUP(A83,[1]AVANCE!$A$6:$E$122,5,0))=TRUE,0,VLOOKUP(A83,[1]AVANCE!$A$6:$E$122,5,0))</f>
        <v>0</v>
      </c>
      <c r="AX83" s="38">
        <f t="shared" si="61"/>
        <v>0</v>
      </c>
      <c r="AY83" s="57"/>
      <c r="AZ83" s="58">
        <f t="shared" si="62"/>
        <v>976.06666666666672</v>
      </c>
      <c r="BA83" s="38">
        <f t="shared" si="63"/>
        <v>47827.26666666667</v>
      </c>
      <c r="BB83" s="42"/>
      <c r="BC83" s="43"/>
      <c r="BD83" s="59">
        <f t="shared" si="31"/>
        <v>47827.26666666667</v>
      </c>
      <c r="BE83" s="60">
        <f t="shared" si="64"/>
        <v>47900</v>
      </c>
      <c r="BF83" s="61"/>
      <c r="BG83" s="61"/>
      <c r="BH83" s="62">
        <f t="shared" si="65"/>
        <v>0</v>
      </c>
      <c r="BI83" s="62">
        <f t="shared" si="66"/>
        <v>0</v>
      </c>
      <c r="BJ83" s="62">
        <f t="shared" si="67"/>
        <v>0</v>
      </c>
      <c r="BK83" s="63">
        <f t="shared" si="68"/>
        <v>47827.26666666667</v>
      </c>
      <c r="BL83" s="48">
        <f t="shared" si="69"/>
        <v>48803.333333333336</v>
      </c>
      <c r="BM83" s="64"/>
      <c r="BN83" s="64"/>
      <c r="BO83" s="49"/>
    </row>
    <row r="84" spans="1:67" s="18" customFormat="1" ht="27" customHeight="1">
      <c r="A84" s="50" t="s">
        <v>144</v>
      </c>
      <c r="B84" s="51" t="s">
        <v>339</v>
      </c>
      <c r="C84" s="52"/>
      <c r="D84" s="53" t="s">
        <v>290</v>
      </c>
      <c r="E84" s="54">
        <v>42279</v>
      </c>
      <c r="F84" s="25">
        <v>42359</v>
      </c>
      <c r="G84" s="54" t="s">
        <v>299</v>
      </c>
      <c r="H84" s="55" t="s">
        <v>187</v>
      </c>
      <c r="I84" s="29">
        <v>133100</v>
      </c>
      <c r="J84" s="28">
        <v>42369</v>
      </c>
      <c r="K84" s="29">
        <v>11</v>
      </c>
      <c r="L84" s="29">
        <f t="shared" si="52"/>
        <v>48803.333333333336</v>
      </c>
      <c r="M84" s="56">
        <f>IF(ISNA(VLOOKUP(A84,[1]ABSENCE!$B$5:$AK$76,35,0))=TRUE,0,VLOOKUP(A84,[1]ABSENCE!$B$5:$AK$76,35,0))</f>
        <v>0</v>
      </c>
      <c r="N84" s="33">
        <f>IF(ISNA(VLOOKUP(A84,[1]ABSENCE!$B$5:$AK$76,36,0))=TRUE,0,VLOOKUP(A84,[1]ABSENCE!$B$5:$AK$76,36,0))</f>
        <v>0</v>
      </c>
      <c r="O84" s="31">
        <f>IF(ISNA(VLOOKUP($A84,[1]HS!$B$5:$T$122,3,0))=TRUE,0,VLOOKUP($A84,[1]HS!$B$5:$T$122,3,0))</f>
        <v>767.89938268043613</v>
      </c>
      <c r="P84" s="32"/>
      <c r="Q84" s="33"/>
      <c r="R84" s="32"/>
      <c r="S84" s="33"/>
      <c r="T84" s="32"/>
      <c r="U84" s="33"/>
      <c r="V84" s="32"/>
      <c r="W84" s="33"/>
      <c r="X84" s="32"/>
      <c r="Y84" s="33"/>
      <c r="Z84" s="34">
        <f t="shared" si="48"/>
        <v>0</v>
      </c>
      <c r="AA84" s="31">
        <f>+VLOOKUP(A84,[1]CONGE!$A$2:$W$113,20,0)</f>
        <v>0</v>
      </c>
      <c r="AB84" s="31">
        <f>+VLOOKUP(A84,[1]CONGE!$A$2:$W$113,21,0)</f>
        <v>0</v>
      </c>
      <c r="AC84" s="33">
        <f>IF(ISNA(VLOOKUP(A84,'[1]REPAS+DEPL'!$A$6:$M$1028,13,0))=TRUE,0,VLOOKUP(A84,'[1]REPAS+DEPL'!$A$6:$M$1028,13,0))</f>
        <v>0</v>
      </c>
      <c r="AD84" s="35"/>
      <c r="AE84" s="33">
        <f>IF(ISNA(VLOOKUP(A84,[1]Préavis!$A$2:$E$98,5,0))=TRUE,0,(VLOOKUP(A84,[1]Préavis!$A$2:$E$98,5,0)))</f>
        <v>0</v>
      </c>
      <c r="AF84" s="31">
        <f>+VLOOKUP(A84,[1]CONGE!$A$2:$V$112,18,0)</f>
        <v>0</v>
      </c>
      <c r="AG84" s="33">
        <f>IF(ISNA(VLOOKUP($A84,[1]CONGE!$A$2:$S$134,19,0))=TRUE,0,VLOOKUP($A84,[1]CONGE!$A$2:$S$134,19,0))</f>
        <v>0</v>
      </c>
      <c r="AH84" s="31">
        <f>+VLOOKUP(A84,[1]CONGE!$A$2:$W$113,22,0)</f>
        <v>0</v>
      </c>
      <c r="AI84" s="31">
        <f>+VLOOKUP(A84,[1]CONGE!$A$2:$W$113,23,0)</f>
        <v>0</v>
      </c>
      <c r="AJ84" s="36">
        <f t="shared" si="53"/>
        <v>48803.333333333336</v>
      </c>
      <c r="AK84" s="33">
        <f>IF(ISNA(VLOOKUP(A84,[1]AVANTAGE!$A$5:$T$118,19,0))=TRUE,0,VLOOKUP(A84,[1]AVANTAGE!$A$5:$T$118,19,0))</f>
        <v>0</v>
      </c>
      <c r="AL84" s="33">
        <f>IF(ISNA(VLOOKUP(A84,[1]AVANTAGE!$A$5:$T$118,20,0))=TRUE,0,VLOOKUP(A84,[1]AVANTAGE!$A$5:$T$118,20,0))</f>
        <v>0</v>
      </c>
      <c r="AM84" s="37">
        <f t="shared" si="54"/>
        <v>48803.333333333336</v>
      </c>
      <c r="AN84" s="38">
        <f t="shared" si="55"/>
        <v>488.03333333333336</v>
      </c>
      <c r="AO84" s="33">
        <f t="shared" si="56"/>
        <v>488.03333333333336</v>
      </c>
      <c r="AP84" s="38"/>
      <c r="AQ84" s="38">
        <f t="shared" si="57"/>
        <v>47800</v>
      </c>
      <c r="AR84" s="39">
        <f t="shared" si="58"/>
        <v>0</v>
      </c>
      <c r="AS84" s="40">
        <f>VLOOKUP(A84,'[1]Liste personnel'!$B$3:$R$187,16,0)</f>
        <v>0</v>
      </c>
      <c r="AT84" s="38">
        <f t="shared" si="59"/>
        <v>0</v>
      </c>
      <c r="AU84" s="38">
        <f t="shared" si="60"/>
        <v>0</v>
      </c>
      <c r="AV84" s="38">
        <f>IF(ISNA(VLOOKUP(A84,[1]AVANCE!$A$6:$E$122,4,0))=TRUE,0,VLOOKUP(A84,[1]AVANCE!$A$6:$E$122,4,0))</f>
        <v>0</v>
      </c>
      <c r="AW84" s="38">
        <f>IF(ISNA(VLOOKUP(A84,[1]AVANCE!$A$6:$E$122,5,0))=TRUE,0,VLOOKUP(A84,[1]AVANCE!$A$6:$E$122,5,0))</f>
        <v>0</v>
      </c>
      <c r="AX84" s="38">
        <f t="shared" si="61"/>
        <v>0</v>
      </c>
      <c r="AY84" s="57"/>
      <c r="AZ84" s="58">
        <f t="shared" si="62"/>
        <v>976.06666666666672</v>
      </c>
      <c r="BA84" s="38">
        <f t="shared" si="63"/>
        <v>47827.26666666667</v>
      </c>
      <c r="BB84" s="42"/>
      <c r="BC84" s="43"/>
      <c r="BD84" s="59">
        <f t="shared" si="31"/>
        <v>47827.26666666667</v>
      </c>
      <c r="BE84" s="60">
        <f t="shared" si="64"/>
        <v>47900</v>
      </c>
      <c r="BF84" s="61"/>
      <c r="BG84" s="61"/>
      <c r="BH84" s="62">
        <f t="shared" si="65"/>
        <v>0</v>
      </c>
      <c r="BI84" s="62">
        <f t="shared" si="66"/>
        <v>0</v>
      </c>
      <c r="BJ84" s="62">
        <f t="shared" si="67"/>
        <v>0</v>
      </c>
      <c r="BK84" s="63">
        <f t="shared" si="68"/>
        <v>47827.26666666667</v>
      </c>
      <c r="BL84" s="48">
        <f t="shared" si="69"/>
        <v>48803.333333333336</v>
      </c>
      <c r="BM84" s="64"/>
      <c r="BN84" s="64"/>
      <c r="BO84" s="49"/>
    </row>
    <row r="85" spans="1:67" s="18" customFormat="1" ht="27" customHeight="1">
      <c r="A85" s="50" t="s">
        <v>145</v>
      </c>
      <c r="B85" s="51" t="s">
        <v>340</v>
      </c>
      <c r="C85" s="52"/>
      <c r="D85" s="53" t="s">
        <v>290</v>
      </c>
      <c r="E85" s="54">
        <v>42279</v>
      </c>
      <c r="F85" s="25">
        <v>42359</v>
      </c>
      <c r="G85" s="54" t="s">
        <v>299</v>
      </c>
      <c r="H85" s="55" t="s">
        <v>187</v>
      </c>
      <c r="I85" s="29">
        <v>133100</v>
      </c>
      <c r="J85" s="28">
        <v>42369</v>
      </c>
      <c r="K85" s="29">
        <v>11</v>
      </c>
      <c r="L85" s="29">
        <f t="shared" si="52"/>
        <v>48803.333333333336</v>
      </c>
      <c r="M85" s="56">
        <f>IF(ISNA(VLOOKUP(A85,[1]ABSENCE!$B$5:$AK$76,35,0))=TRUE,0,VLOOKUP(A85,[1]ABSENCE!$B$5:$AK$76,35,0))</f>
        <v>0</v>
      </c>
      <c r="N85" s="33">
        <f>IF(ISNA(VLOOKUP(A85,[1]ABSENCE!$B$5:$AK$76,36,0))=TRUE,0,VLOOKUP(A85,[1]ABSENCE!$B$5:$AK$76,36,0))</f>
        <v>0</v>
      </c>
      <c r="O85" s="31">
        <f>IF(ISNA(VLOOKUP($A85,[1]HS!$B$5:$T$122,3,0))=TRUE,0,VLOOKUP($A85,[1]HS!$B$5:$T$122,3,0))</f>
        <v>767.89938268043613</v>
      </c>
      <c r="P85" s="32"/>
      <c r="Q85" s="33"/>
      <c r="R85" s="32"/>
      <c r="S85" s="33"/>
      <c r="T85" s="32"/>
      <c r="U85" s="33"/>
      <c r="V85" s="32"/>
      <c r="W85" s="33"/>
      <c r="X85" s="32"/>
      <c r="Y85" s="33"/>
      <c r="Z85" s="34">
        <f t="shared" si="48"/>
        <v>0</v>
      </c>
      <c r="AA85" s="31">
        <f>+VLOOKUP(A85,[1]CONGE!$A$2:$W$113,20,0)</f>
        <v>0</v>
      </c>
      <c r="AB85" s="31">
        <f>+VLOOKUP(A85,[1]CONGE!$A$2:$W$113,21,0)</f>
        <v>0</v>
      </c>
      <c r="AC85" s="33">
        <f>IF(ISNA(VLOOKUP(A85,'[1]REPAS+DEPL'!$A$6:$M$1028,13,0))=TRUE,0,VLOOKUP(A85,'[1]REPAS+DEPL'!$A$6:$M$1028,13,0))</f>
        <v>0</v>
      </c>
      <c r="AD85" s="35"/>
      <c r="AE85" s="33">
        <f>IF(ISNA(VLOOKUP(A85,[1]Préavis!$A$2:$E$98,5,0))=TRUE,0,(VLOOKUP(A85,[1]Préavis!$A$2:$E$98,5,0)))</f>
        <v>0</v>
      </c>
      <c r="AF85" s="31">
        <f>+VLOOKUP(A85,[1]CONGE!$A$2:$V$112,18,0)</f>
        <v>0</v>
      </c>
      <c r="AG85" s="33">
        <f>IF(ISNA(VLOOKUP($A85,[1]CONGE!$A$2:$S$134,19,0))=TRUE,0,VLOOKUP($A85,[1]CONGE!$A$2:$S$134,19,0))</f>
        <v>0</v>
      </c>
      <c r="AH85" s="31">
        <f>+VLOOKUP(A85,[1]CONGE!$A$2:$W$113,22,0)</f>
        <v>0</v>
      </c>
      <c r="AI85" s="31">
        <f>+VLOOKUP(A85,[1]CONGE!$A$2:$W$113,23,0)</f>
        <v>0</v>
      </c>
      <c r="AJ85" s="36">
        <f t="shared" si="53"/>
        <v>48803.333333333336</v>
      </c>
      <c r="AK85" s="33">
        <f>IF(ISNA(VLOOKUP(A85,[1]AVANTAGE!$A$5:$T$118,19,0))=TRUE,0,VLOOKUP(A85,[1]AVANTAGE!$A$5:$T$118,19,0))</f>
        <v>0</v>
      </c>
      <c r="AL85" s="33">
        <f>IF(ISNA(VLOOKUP(A85,[1]AVANTAGE!$A$5:$T$118,20,0))=TRUE,0,VLOOKUP(A85,[1]AVANTAGE!$A$5:$T$118,20,0))</f>
        <v>0</v>
      </c>
      <c r="AM85" s="37">
        <f t="shared" si="54"/>
        <v>48803.333333333336</v>
      </c>
      <c r="AN85" s="38">
        <f t="shared" si="55"/>
        <v>488.03333333333336</v>
      </c>
      <c r="AO85" s="33">
        <f t="shared" si="56"/>
        <v>488.03333333333336</v>
      </c>
      <c r="AP85" s="38"/>
      <c r="AQ85" s="38">
        <f t="shared" si="57"/>
        <v>47800</v>
      </c>
      <c r="AR85" s="39">
        <f t="shared" si="58"/>
        <v>0</v>
      </c>
      <c r="AS85" s="40">
        <f>VLOOKUP(A85,'[1]Liste personnel'!$B$3:$R$187,16,0)</f>
        <v>0</v>
      </c>
      <c r="AT85" s="38">
        <f t="shared" si="59"/>
        <v>0</v>
      </c>
      <c r="AU85" s="38">
        <f t="shared" si="60"/>
        <v>0</v>
      </c>
      <c r="AV85" s="38">
        <f>IF(ISNA(VLOOKUP(A85,[1]AVANCE!$A$6:$E$122,4,0))=TRUE,0,VLOOKUP(A85,[1]AVANCE!$A$6:$E$122,4,0))</f>
        <v>0</v>
      </c>
      <c r="AW85" s="38">
        <f>IF(ISNA(VLOOKUP(A85,[1]AVANCE!$A$6:$E$122,5,0))=TRUE,0,VLOOKUP(A85,[1]AVANCE!$A$6:$E$122,5,0))</f>
        <v>0</v>
      </c>
      <c r="AX85" s="38">
        <f t="shared" si="61"/>
        <v>0</v>
      </c>
      <c r="AY85" s="57"/>
      <c r="AZ85" s="58">
        <f t="shared" si="62"/>
        <v>976.06666666666672</v>
      </c>
      <c r="BA85" s="38">
        <f t="shared" si="63"/>
        <v>47827.26666666667</v>
      </c>
      <c r="BB85" s="42"/>
      <c r="BC85" s="43"/>
      <c r="BD85" s="59">
        <f t="shared" si="31"/>
        <v>47827.26666666667</v>
      </c>
      <c r="BE85" s="60">
        <f t="shared" si="64"/>
        <v>47900</v>
      </c>
      <c r="BF85" s="61"/>
      <c r="BG85" s="61"/>
      <c r="BH85" s="62">
        <f t="shared" si="65"/>
        <v>0</v>
      </c>
      <c r="BI85" s="62">
        <f t="shared" si="66"/>
        <v>0</v>
      </c>
      <c r="BJ85" s="62">
        <f t="shared" si="67"/>
        <v>0</v>
      </c>
      <c r="BK85" s="63">
        <f t="shared" si="68"/>
        <v>47827.26666666667</v>
      </c>
      <c r="BL85" s="48">
        <f t="shared" si="69"/>
        <v>48803.333333333336</v>
      </c>
      <c r="BM85" s="64"/>
      <c r="BN85" s="64"/>
      <c r="BO85" s="49"/>
    </row>
    <row r="86" spans="1:67" s="18" customFormat="1" ht="27" customHeight="1">
      <c r="A86" s="50" t="s">
        <v>146</v>
      </c>
      <c r="B86" s="51" t="s">
        <v>341</v>
      </c>
      <c r="C86" s="52"/>
      <c r="D86" s="53" t="s">
        <v>290</v>
      </c>
      <c r="E86" s="54">
        <v>42283</v>
      </c>
      <c r="F86" s="25">
        <v>42359</v>
      </c>
      <c r="G86" s="54" t="s">
        <v>299</v>
      </c>
      <c r="H86" s="55" t="s">
        <v>187</v>
      </c>
      <c r="I86" s="29">
        <v>133100</v>
      </c>
      <c r="J86" s="28">
        <v>42369</v>
      </c>
      <c r="K86" s="29">
        <v>11</v>
      </c>
      <c r="L86" s="29">
        <f t="shared" si="52"/>
        <v>48803.333333333336</v>
      </c>
      <c r="M86" s="56">
        <f>IF(ISNA(VLOOKUP(A86,[1]ABSENCE!$B$5:$AK$76,35,0))=TRUE,0,VLOOKUP(A86,[1]ABSENCE!$B$5:$AK$76,35,0))</f>
        <v>0</v>
      </c>
      <c r="N86" s="33">
        <f>IF(ISNA(VLOOKUP(A86,[1]ABSENCE!$B$5:$AK$76,36,0))=TRUE,0,VLOOKUP(A86,[1]ABSENCE!$B$5:$AK$76,36,0))</f>
        <v>0</v>
      </c>
      <c r="O86" s="31">
        <f>IF(ISNA(VLOOKUP($A86,[1]HS!$B$5:$T$122,3,0))=TRUE,0,VLOOKUP($A86,[1]HS!$B$5:$T$122,3,0))</f>
        <v>767.89938268043613</v>
      </c>
      <c r="P86" s="32"/>
      <c r="Q86" s="33"/>
      <c r="R86" s="32"/>
      <c r="S86" s="33"/>
      <c r="T86" s="32"/>
      <c r="U86" s="33"/>
      <c r="V86" s="32"/>
      <c r="W86" s="33"/>
      <c r="X86" s="32"/>
      <c r="Y86" s="33"/>
      <c r="Z86" s="34">
        <f t="shared" si="48"/>
        <v>0</v>
      </c>
      <c r="AA86" s="31">
        <f>+VLOOKUP(A86,[1]CONGE!$A$2:$W$113,20,0)</f>
        <v>0</v>
      </c>
      <c r="AB86" s="31">
        <f>+VLOOKUP(A86,[1]CONGE!$A$2:$W$113,21,0)</f>
        <v>0</v>
      </c>
      <c r="AC86" s="33">
        <f>IF(ISNA(VLOOKUP(A86,'[1]REPAS+DEPL'!$A$6:$M$1028,13,0))=TRUE,0,VLOOKUP(A86,'[1]REPAS+DEPL'!$A$6:$M$1028,13,0))</f>
        <v>0</v>
      </c>
      <c r="AD86" s="35"/>
      <c r="AE86" s="33">
        <f>IF(ISNA(VLOOKUP(A86,[1]Préavis!$A$2:$E$98,5,0))=TRUE,0,(VLOOKUP(A86,[1]Préavis!$A$2:$E$98,5,0)))</f>
        <v>0</v>
      </c>
      <c r="AF86" s="31">
        <f>+VLOOKUP(A86,[1]CONGE!$A$2:$V$112,18,0)</f>
        <v>0</v>
      </c>
      <c r="AG86" s="33">
        <f>IF(ISNA(VLOOKUP($A86,[1]CONGE!$A$2:$S$134,19,0))=TRUE,0,VLOOKUP($A86,[1]CONGE!$A$2:$S$134,19,0))</f>
        <v>0</v>
      </c>
      <c r="AH86" s="31">
        <f>+VLOOKUP(A86,[1]CONGE!$A$2:$W$113,22,0)</f>
        <v>0</v>
      </c>
      <c r="AI86" s="31">
        <f>+VLOOKUP(A86,[1]CONGE!$A$2:$W$113,23,0)</f>
        <v>0</v>
      </c>
      <c r="AJ86" s="36">
        <f t="shared" si="53"/>
        <v>48803.333333333336</v>
      </c>
      <c r="AK86" s="33">
        <f>IF(ISNA(VLOOKUP(A86,[1]AVANTAGE!$A$5:$T$118,19,0))=TRUE,0,VLOOKUP(A86,[1]AVANTAGE!$A$5:$T$118,19,0))</f>
        <v>0</v>
      </c>
      <c r="AL86" s="33">
        <f>IF(ISNA(VLOOKUP(A86,[1]AVANTAGE!$A$5:$T$118,20,0))=TRUE,0,VLOOKUP(A86,[1]AVANTAGE!$A$5:$T$118,20,0))</f>
        <v>0</v>
      </c>
      <c r="AM86" s="37">
        <f t="shared" si="54"/>
        <v>48803.333333333336</v>
      </c>
      <c r="AN86" s="38">
        <f t="shared" si="55"/>
        <v>488.03333333333336</v>
      </c>
      <c r="AO86" s="33">
        <f t="shared" si="56"/>
        <v>488.03333333333336</v>
      </c>
      <c r="AP86" s="38"/>
      <c r="AQ86" s="38">
        <f t="shared" si="57"/>
        <v>47800</v>
      </c>
      <c r="AR86" s="39">
        <f t="shared" si="58"/>
        <v>0</v>
      </c>
      <c r="AS86" s="40">
        <f>VLOOKUP(A86,'[1]Liste personnel'!$B$3:$R$187,16,0)</f>
        <v>0</v>
      </c>
      <c r="AT86" s="38">
        <f t="shared" si="59"/>
        <v>0</v>
      </c>
      <c r="AU86" s="38">
        <f t="shared" si="60"/>
        <v>0</v>
      </c>
      <c r="AV86" s="38">
        <f>IF(ISNA(VLOOKUP(A86,[1]AVANCE!$A$6:$E$122,4,0))=TRUE,0,VLOOKUP(A86,[1]AVANCE!$A$6:$E$122,4,0))</f>
        <v>0</v>
      </c>
      <c r="AW86" s="38">
        <f>IF(ISNA(VLOOKUP(A86,[1]AVANCE!$A$6:$E$122,5,0))=TRUE,0,VLOOKUP(A86,[1]AVANCE!$A$6:$E$122,5,0))</f>
        <v>0</v>
      </c>
      <c r="AX86" s="38">
        <f t="shared" si="61"/>
        <v>0</v>
      </c>
      <c r="AY86" s="57"/>
      <c r="AZ86" s="58">
        <f t="shared" si="62"/>
        <v>976.06666666666672</v>
      </c>
      <c r="BA86" s="38">
        <f t="shared" si="63"/>
        <v>47827.26666666667</v>
      </c>
      <c r="BB86" s="42"/>
      <c r="BC86" s="43"/>
      <c r="BD86" s="59">
        <f t="shared" si="31"/>
        <v>47827.26666666667</v>
      </c>
      <c r="BE86" s="60">
        <f t="shared" si="64"/>
        <v>47900</v>
      </c>
      <c r="BF86" s="61"/>
      <c r="BG86" s="61"/>
      <c r="BH86" s="62">
        <f t="shared" si="65"/>
        <v>0</v>
      </c>
      <c r="BI86" s="62">
        <f t="shared" si="66"/>
        <v>0</v>
      </c>
      <c r="BJ86" s="62">
        <f t="shared" si="67"/>
        <v>0</v>
      </c>
      <c r="BK86" s="63">
        <f t="shared" si="68"/>
        <v>47827.26666666667</v>
      </c>
      <c r="BL86" s="48">
        <f t="shared" si="69"/>
        <v>48803.333333333336</v>
      </c>
      <c r="BM86" s="64"/>
      <c r="BN86" s="64"/>
      <c r="BO86" s="49"/>
    </row>
    <row r="87" spans="1:67" s="18" customFormat="1" ht="27" customHeight="1">
      <c r="A87" s="50" t="s">
        <v>147</v>
      </c>
      <c r="B87" s="51" t="s">
        <v>342</v>
      </c>
      <c r="C87" s="52"/>
      <c r="D87" s="53" t="s">
        <v>290</v>
      </c>
      <c r="E87" s="54">
        <v>42283</v>
      </c>
      <c r="F87" s="25">
        <v>42359</v>
      </c>
      <c r="G87" s="54" t="s">
        <v>299</v>
      </c>
      <c r="H87" s="55" t="s">
        <v>187</v>
      </c>
      <c r="I87" s="29">
        <v>133100</v>
      </c>
      <c r="J87" s="28">
        <v>42369</v>
      </c>
      <c r="K87" s="29">
        <v>11</v>
      </c>
      <c r="L87" s="29">
        <f t="shared" si="52"/>
        <v>48803.333333333336</v>
      </c>
      <c r="M87" s="56">
        <f>IF(ISNA(VLOOKUP(A87,[1]ABSENCE!$B$5:$AK$76,35,0))=TRUE,0,VLOOKUP(A87,[1]ABSENCE!$B$5:$AK$76,35,0))</f>
        <v>0</v>
      </c>
      <c r="N87" s="33">
        <f>IF(ISNA(VLOOKUP(A87,[1]ABSENCE!$B$5:$AK$76,36,0))=TRUE,0,VLOOKUP(A87,[1]ABSENCE!$B$5:$AK$76,36,0))</f>
        <v>0</v>
      </c>
      <c r="O87" s="31">
        <f>IF(ISNA(VLOOKUP($A87,[1]HS!$B$5:$T$122,3,0))=TRUE,0,VLOOKUP($A87,[1]HS!$B$5:$T$122,3,0))</f>
        <v>767.89938268043613</v>
      </c>
      <c r="P87" s="32"/>
      <c r="Q87" s="33"/>
      <c r="R87" s="32"/>
      <c r="S87" s="33"/>
      <c r="T87" s="32"/>
      <c r="U87" s="33"/>
      <c r="V87" s="32"/>
      <c r="W87" s="33"/>
      <c r="X87" s="32"/>
      <c r="Y87" s="33"/>
      <c r="Z87" s="34">
        <f t="shared" si="48"/>
        <v>0</v>
      </c>
      <c r="AA87" s="31">
        <f>+VLOOKUP(A87,[1]CONGE!$A$2:$W$113,20,0)</f>
        <v>0</v>
      </c>
      <c r="AB87" s="31">
        <f>+VLOOKUP(A87,[1]CONGE!$A$2:$W$113,21,0)</f>
        <v>0</v>
      </c>
      <c r="AC87" s="33">
        <f>IF(ISNA(VLOOKUP(A87,'[1]REPAS+DEPL'!$A$6:$M$1028,13,0))=TRUE,0,VLOOKUP(A87,'[1]REPAS+DEPL'!$A$6:$M$1028,13,0))</f>
        <v>0</v>
      </c>
      <c r="AD87" s="35"/>
      <c r="AE87" s="33">
        <f>IF(ISNA(VLOOKUP(A87,[1]Préavis!$A$2:$E$98,5,0))=TRUE,0,(VLOOKUP(A87,[1]Préavis!$A$2:$E$98,5,0)))</f>
        <v>0</v>
      </c>
      <c r="AF87" s="31">
        <f>+VLOOKUP(A87,[1]CONGE!$A$2:$V$112,18,0)</f>
        <v>0</v>
      </c>
      <c r="AG87" s="33">
        <f>IF(ISNA(VLOOKUP($A87,[1]CONGE!$A$2:$S$134,19,0))=TRUE,0,VLOOKUP($A87,[1]CONGE!$A$2:$S$134,19,0))</f>
        <v>0</v>
      </c>
      <c r="AH87" s="31">
        <f>+VLOOKUP(A87,[1]CONGE!$A$2:$W$113,22,0)</f>
        <v>0</v>
      </c>
      <c r="AI87" s="31">
        <f>+VLOOKUP(A87,[1]CONGE!$A$2:$W$113,23,0)</f>
        <v>0</v>
      </c>
      <c r="AJ87" s="36">
        <f t="shared" si="53"/>
        <v>48803.333333333336</v>
      </c>
      <c r="AK87" s="33">
        <f>IF(ISNA(VLOOKUP(A87,[1]AVANTAGE!$A$5:$T$118,19,0))=TRUE,0,VLOOKUP(A87,[1]AVANTAGE!$A$5:$T$118,19,0))</f>
        <v>0</v>
      </c>
      <c r="AL87" s="33">
        <f>IF(ISNA(VLOOKUP(A87,[1]AVANTAGE!$A$5:$T$118,20,0))=TRUE,0,VLOOKUP(A87,[1]AVANTAGE!$A$5:$T$118,20,0))</f>
        <v>0</v>
      </c>
      <c r="AM87" s="37">
        <f t="shared" si="54"/>
        <v>48803.333333333336</v>
      </c>
      <c r="AN87" s="38">
        <f t="shared" si="55"/>
        <v>488.03333333333336</v>
      </c>
      <c r="AO87" s="33">
        <f t="shared" si="56"/>
        <v>488.03333333333336</v>
      </c>
      <c r="AP87" s="38"/>
      <c r="AQ87" s="38">
        <f t="shared" si="57"/>
        <v>47800</v>
      </c>
      <c r="AR87" s="39">
        <f t="shared" si="58"/>
        <v>0</v>
      </c>
      <c r="AS87" s="40">
        <f>VLOOKUP(A87,'[1]Liste personnel'!$B$3:$R$187,16,0)</f>
        <v>0</v>
      </c>
      <c r="AT87" s="38">
        <f t="shared" si="59"/>
        <v>0</v>
      </c>
      <c r="AU87" s="38">
        <f t="shared" si="60"/>
        <v>0</v>
      </c>
      <c r="AV87" s="38">
        <f>IF(ISNA(VLOOKUP(A87,[1]AVANCE!$A$6:$E$122,4,0))=TRUE,0,VLOOKUP(A87,[1]AVANCE!$A$6:$E$122,4,0))</f>
        <v>0</v>
      </c>
      <c r="AW87" s="38">
        <f>IF(ISNA(VLOOKUP(A87,[1]AVANCE!$A$6:$E$122,5,0))=TRUE,0,VLOOKUP(A87,[1]AVANCE!$A$6:$E$122,5,0))</f>
        <v>0</v>
      </c>
      <c r="AX87" s="38">
        <f t="shared" si="61"/>
        <v>0</v>
      </c>
      <c r="AY87" s="57"/>
      <c r="AZ87" s="58">
        <f t="shared" si="62"/>
        <v>976.06666666666672</v>
      </c>
      <c r="BA87" s="38">
        <f t="shared" si="63"/>
        <v>47827.26666666667</v>
      </c>
      <c r="BB87" s="42"/>
      <c r="BC87" s="43"/>
      <c r="BD87" s="59">
        <f t="shared" si="31"/>
        <v>47827.26666666667</v>
      </c>
      <c r="BE87" s="60">
        <f t="shared" si="64"/>
        <v>47900</v>
      </c>
      <c r="BF87" s="61"/>
      <c r="BG87" s="61"/>
      <c r="BH87" s="62">
        <f t="shared" si="65"/>
        <v>0</v>
      </c>
      <c r="BI87" s="62">
        <f t="shared" si="66"/>
        <v>0</v>
      </c>
      <c r="BJ87" s="62">
        <f t="shared" si="67"/>
        <v>0</v>
      </c>
      <c r="BK87" s="63">
        <f t="shared" si="68"/>
        <v>47827.26666666667</v>
      </c>
      <c r="BL87" s="48">
        <f t="shared" si="69"/>
        <v>48803.333333333336</v>
      </c>
      <c r="BM87" s="64"/>
      <c r="BN87" s="64"/>
      <c r="BO87" s="49"/>
    </row>
    <row r="88" spans="1:67" s="18" customFormat="1" ht="27" customHeight="1">
      <c r="A88" s="50" t="s">
        <v>148</v>
      </c>
      <c r="B88" s="51" t="s">
        <v>343</v>
      </c>
      <c r="C88" s="52"/>
      <c r="D88" s="53" t="s">
        <v>290</v>
      </c>
      <c r="E88" s="54">
        <v>42283</v>
      </c>
      <c r="F88" s="25">
        <v>42359</v>
      </c>
      <c r="G88" s="54" t="s">
        <v>299</v>
      </c>
      <c r="H88" s="55" t="s">
        <v>187</v>
      </c>
      <c r="I88" s="29">
        <v>133100</v>
      </c>
      <c r="J88" s="28">
        <v>42369</v>
      </c>
      <c r="K88" s="29">
        <v>11</v>
      </c>
      <c r="L88" s="29">
        <f t="shared" si="52"/>
        <v>48803.333333333336</v>
      </c>
      <c r="M88" s="56">
        <f>IF(ISNA(VLOOKUP(A88,[1]ABSENCE!$B$5:$AK$76,35,0))=TRUE,0,VLOOKUP(A88,[1]ABSENCE!$B$5:$AK$76,35,0))</f>
        <v>0</v>
      </c>
      <c r="N88" s="33">
        <f>IF(ISNA(VLOOKUP(A88,[1]ABSENCE!$B$5:$AK$76,36,0))=TRUE,0,VLOOKUP(A88,[1]ABSENCE!$B$5:$AK$76,36,0))</f>
        <v>0</v>
      </c>
      <c r="O88" s="31">
        <f>IF(ISNA(VLOOKUP($A88,[1]HS!$B$5:$T$122,3,0))=TRUE,0,VLOOKUP($A88,[1]HS!$B$5:$T$122,3,0))</f>
        <v>767.89938268043613</v>
      </c>
      <c r="P88" s="32"/>
      <c r="Q88" s="33"/>
      <c r="R88" s="32"/>
      <c r="S88" s="33"/>
      <c r="T88" s="32"/>
      <c r="U88" s="33"/>
      <c r="V88" s="32"/>
      <c r="W88" s="33"/>
      <c r="X88" s="32"/>
      <c r="Y88" s="33"/>
      <c r="Z88" s="34">
        <f t="shared" si="48"/>
        <v>0</v>
      </c>
      <c r="AA88" s="31">
        <f>+VLOOKUP(A88,[1]CONGE!$A$2:$W$113,20,0)</f>
        <v>0</v>
      </c>
      <c r="AB88" s="31">
        <f>+VLOOKUP(A88,[1]CONGE!$A$2:$W$113,21,0)</f>
        <v>0</v>
      </c>
      <c r="AC88" s="33">
        <f>IF(ISNA(VLOOKUP(A88,'[1]REPAS+DEPL'!$A$6:$M$1028,13,0))=TRUE,0,VLOOKUP(A88,'[1]REPAS+DEPL'!$A$6:$M$1028,13,0))</f>
        <v>0</v>
      </c>
      <c r="AD88" s="35"/>
      <c r="AE88" s="33">
        <f>IF(ISNA(VLOOKUP(A88,[1]Préavis!$A$2:$E$98,5,0))=TRUE,0,(VLOOKUP(A88,[1]Préavis!$A$2:$E$98,5,0)))</f>
        <v>0</v>
      </c>
      <c r="AF88" s="31">
        <f>+VLOOKUP(A88,[1]CONGE!$A$2:$V$112,18,0)</f>
        <v>0</v>
      </c>
      <c r="AG88" s="33">
        <f>IF(ISNA(VLOOKUP($A88,[1]CONGE!$A$2:$S$134,19,0))=TRUE,0,VLOOKUP($A88,[1]CONGE!$A$2:$S$134,19,0))</f>
        <v>0</v>
      </c>
      <c r="AH88" s="31">
        <f>+VLOOKUP(A88,[1]CONGE!$A$2:$W$113,22,0)</f>
        <v>0</v>
      </c>
      <c r="AI88" s="31">
        <f>+VLOOKUP(A88,[1]CONGE!$A$2:$W$113,23,0)</f>
        <v>0</v>
      </c>
      <c r="AJ88" s="36">
        <f t="shared" si="53"/>
        <v>48803.333333333336</v>
      </c>
      <c r="AK88" s="33">
        <f>IF(ISNA(VLOOKUP(A88,[1]AVANTAGE!$A$5:$T$118,19,0))=TRUE,0,VLOOKUP(A88,[1]AVANTAGE!$A$5:$T$118,19,0))</f>
        <v>0</v>
      </c>
      <c r="AL88" s="33">
        <f>IF(ISNA(VLOOKUP(A88,[1]AVANTAGE!$A$5:$T$118,20,0))=TRUE,0,VLOOKUP(A88,[1]AVANTAGE!$A$5:$T$118,20,0))</f>
        <v>0</v>
      </c>
      <c r="AM88" s="37">
        <f t="shared" si="54"/>
        <v>48803.333333333336</v>
      </c>
      <c r="AN88" s="38">
        <f t="shared" si="55"/>
        <v>488.03333333333336</v>
      </c>
      <c r="AO88" s="33">
        <f t="shared" si="56"/>
        <v>488.03333333333336</v>
      </c>
      <c r="AP88" s="38"/>
      <c r="AQ88" s="38">
        <f t="shared" si="57"/>
        <v>47800</v>
      </c>
      <c r="AR88" s="39">
        <f t="shared" si="58"/>
        <v>0</v>
      </c>
      <c r="AS88" s="40">
        <f>VLOOKUP(A88,'[1]Liste personnel'!$B$3:$R$187,16,0)</f>
        <v>0</v>
      </c>
      <c r="AT88" s="38">
        <f t="shared" si="59"/>
        <v>0</v>
      </c>
      <c r="AU88" s="38">
        <f t="shared" si="60"/>
        <v>0</v>
      </c>
      <c r="AV88" s="38">
        <f>IF(ISNA(VLOOKUP(A88,[1]AVANCE!$A$6:$E$122,4,0))=TRUE,0,VLOOKUP(A88,[1]AVANCE!$A$6:$E$122,4,0))</f>
        <v>0</v>
      </c>
      <c r="AW88" s="38">
        <f>IF(ISNA(VLOOKUP(A88,[1]AVANCE!$A$6:$E$122,5,0))=TRUE,0,VLOOKUP(A88,[1]AVANCE!$A$6:$E$122,5,0))</f>
        <v>0</v>
      </c>
      <c r="AX88" s="38">
        <f t="shared" si="61"/>
        <v>0</v>
      </c>
      <c r="AY88" s="57"/>
      <c r="AZ88" s="58">
        <f t="shared" si="62"/>
        <v>976.06666666666672</v>
      </c>
      <c r="BA88" s="38">
        <f t="shared" si="63"/>
        <v>47827.26666666667</v>
      </c>
      <c r="BB88" s="42"/>
      <c r="BC88" s="43"/>
      <c r="BD88" s="59">
        <f t="shared" si="31"/>
        <v>47827.26666666667</v>
      </c>
      <c r="BE88" s="60">
        <f t="shared" si="64"/>
        <v>47900</v>
      </c>
      <c r="BF88" s="61"/>
      <c r="BG88" s="61"/>
      <c r="BH88" s="62">
        <f t="shared" si="65"/>
        <v>0</v>
      </c>
      <c r="BI88" s="62">
        <f t="shared" si="66"/>
        <v>0</v>
      </c>
      <c r="BJ88" s="62">
        <f t="shared" si="67"/>
        <v>0</v>
      </c>
      <c r="BK88" s="63">
        <f t="shared" si="68"/>
        <v>47827.26666666667</v>
      </c>
      <c r="BL88" s="48">
        <f t="shared" si="69"/>
        <v>48803.333333333336</v>
      </c>
      <c r="BM88" s="64"/>
      <c r="BN88" s="64"/>
      <c r="BO88" s="49"/>
    </row>
    <row r="89" spans="1:67" s="18" customFormat="1" ht="27" customHeight="1">
      <c r="A89" s="50" t="s">
        <v>149</v>
      </c>
      <c r="B89" s="51" t="s">
        <v>344</v>
      </c>
      <c r="C89" s="52"/>
      <c r="D89" s="53" t="s">
        <v>290</v>
      </c>
      <c r="E89" s="54">
        <v>42284</v>
      </c>
      <c r="F89" s="25">
        <v>42359</v>
      </c>
      <c r="G89" s="54" t="s">
        <v>299</v>
      </c>
      <c r="H89" s="55" t="s">
        <v>187</v>
      </c>
      <c r="I89" s="29">
        <v>133100</v>
      </c>
      <c r="J89" s="28">
        <v>42369</v>
      </c>
      <c r="K89" s="29">
        <v>11</v>
      </c>
      <c r="L89" s="29">
        <f t="shared" si="52"/>
        <v>48803.333333333336</v>
      </c>
      <c r="M89" s="56">
        <f>IF(ISNA(VLOOKUP(A89,[1]ABSENCE!$B$5:$AK$76,35,0))=TRUE,0,VLOOKUP(A89,[1]ABSENCE!$B$5:$AK$76,35,0))</f>
        <v>0</v>
      </c>
      <c r="N89" s="33">
        <f>IF(ISNA(VLOOKUP(A89,[1]ABSENCE!$B$5:$AK$76,36,0))=TRUE,0,VLOOKUP(A89,[1]ABSENCE!$B$5:$AK$76,36,0))</f>
        <v>0</v>
      </c>
      <c r="O89" s="31">
        <f>IF(ISNA(VLOOKUP($A89,[1]HS!$B$5:$T$122,3,0))=TRUE,0,VLOOKUP($A89,[1]HS!$B$5:$T$122,3,0))</f>
        <v>767.89938268043613</v>
      </c>
      <c r="P89" s="32"/>
      <c r="Q89" s="33"/>
      <c r="R89" s="32"/>
      <c r="S89" s="33"/>
      <c r="T89" s="32"/>
      <c r="U89" s="33"/>
      <c r="V89" s="32"/>
      <c r="W89" s="33"/>
      <c r="X89" s="32"/>
      <c r="Y89" s="33"/>
      <c r="Z89" s="34">
        <f t="shared" si="48"/>
        <v>0</v>
      </c>
      <c r="AA89" s="31">
        <f>+VLOOKUP(A89,[1]CONGE!$A$2:$W$113,20,0)</f>
        <v>0</v>
      </c>
      <c r="AB89" s="31">
        <f>+VLOOKUP(A89,[1]CONGE!$A$2:$W$113,21,0)</f>
        <v>0</v>
      </c>
      <c r="AC89" s="33">
        <f>IF(ISNA(VLOOKUP(A89,'[1]REPAS+DEPL'!$A$6:$M$1028,13,0))=TRUE,0,VLOOKUP(A89,'[1]REPAS+DEPL'!$A$6:$M$1028,13,0))</f>
        <v>0</v>
      </c>
      <c r="AD89" s="35"/>
      <c r="AE89" s="33">
        <f>IF(ISNA(VLOOKUP(A89,[1]Préavis!$A$2:$E$98,5,0))=TRUE,0,(VLOOKUP(A89,[1]Préavis!$A$2:$E$98,5,0)))</f>
        <v>0</v>
      </c>
      <c r="AF89" s="31">
        <f>+VLOOKUP(A89,[1]CONGE!$A$2:$V$112,18,0)</f>
        <v>0</v>
      </c>
      <c r="AG89" s="33">
        <f>IF(ISNA(VLOOKUP($A89,[1]CONGE!$A$2:$S$134,19,0))=TRUE,0,VLOOKUP($A89,[1]CONGE!$A$2:$S$134,19,0))</f>
        <v>0</v>
      </c>
      <c r="AH89" s="31">
        <f>+VLOOKUP(A89,[1]CONGE!$A$2:$W$113,22,0)</f>
        <v>0</v>
      </c>
      <c r="AI89" s="31">
        <f>+VLOOKUP(A89,[1]CONGE!$A$2:$W$113,23,0)</f>
        <v>0</v>
      </c>
      <c r="AJ89" s="36">
        <f t="shared" si="53"/>
        <v>48803.333333333336</v>
      </c>
      <c r="AK89" s="33">
        <f>IF(ISNA(VLOOKUP(A89,[1]AVANTAGE!$A$5:$T$118,19,0))=TRUE,0,VLOOKUP(A89,[1]AVANTAGE!$A$5:$T$118,19,0))</f>
        <v>0</v>
      </c>
      <c r="AL89" s="33">
        <f>IF(ISNA(VLOOKUP(A89,[1]AVANTAGE!$A$5:$T$118,20,0))=TRUE,0,VLOOKUP(A89,[1]AVANTAGE!$A$5:$T$118,20,0))</f>
        <v>0</v>
      </c>
      <c r="AM89" s="37">
        <f t="shared" si="54"/>
        <v>48803.333333333336</v>
      </c>
      <c r="AN89" s="38">
        <f t="shared" si="55"/>
        <v>488.03333333333336</v>
      </c>
      <c r="AO89" s="33">
        <f t="shared" si="56"/>
        <v>488.03333333333336</v>
      </c>
      <c r="AP89" s="38"/>
      <c r="AQ89" s="38">
        <f t="shared" si="57"/>
        <v>47800</v>
      </c>
      <c r="AR89" s="39">
        <f t="shared" si="58"/>
        <v>0</v>
      </c>
      <c r="AS89" s="40">
        <f>VLOOKUP(A89,'[1]Liste personnel'!$B$3:$R$187,16,0)</f>
        <v>0</v>
      </c>
      <c r="AT89" s="38">
        <f t="shared" si="59"/>
        <v>0</v>
      </c>
      <c r="AU89" s="38">
        <f t="shared" si="60"/>
        <v>0</v>
      </c>
      <c r="AV89" s="38">
        <f>IF(ISNA(VLOOKUP(A89,[1]AVANCE!$A$6:$E$122,4,0))=TRUE,0,VLOOKUP(A89,[1]AVANCE!$A$6:$E$122,4,0))</f>
        <v>0</v>
      </c>
      <c r="AW89" s="38">
        <f>IF(ISNA(VLOOKUP(A89,[1]AVANCE!$A$6:$E$122,5,0))=TRUE,0,VLOOKUP(A89,[1]AVANCE!$A$6:$E$122,5,0))</f>
        <v>0</v>
      </c>
      <c r="AX89" s="38">
        <f t="shared" si="61"/>
        <v>0</v>
      </c>
      <c r="AY89" s="57"/>
      <c r="AZ89" s="58">
        <f t="shared" si="62"/>
        <v>976.06666666666672</v>
      </c>
      <c r="BA89" s="38">
        <f t="shared" si="63"/>
        <v>47827.26666666667</v>
      </c>
      <c r="BB89" s="42"/>
      <c r="BC89" s="43"/>
      <c r="BD89" s="59">
        <f t="shared" si="31"/>
        <v>47827.26666666667</v>
      </c>
      <c r="BE89" s="60">
        <f t="shared" si="64"/>
        <v>47900</v>
      </c>
      <c r="BF89" s="61"/>
      <c r="BG89" s="61"/>
      <c r="BH89" s="62">
        <f t="shared" si="65"/>
        <v>0</v>
      </c>
      <c r="BI89" s="62">
        <f t="shared" si="66"/>
        <v>0</v>
      </c>
      <c r="BJ89" s="62">
        <f t="shared" si="67"/>
        <v>0</v>
      </c>
      <c r="BK89" s="63">
        <f t="shared" si="68"/>
        <v>47827.26666666667</v>
      </c>
      <c r="BL89" s="48">
        <f t="shared" si="69"/>
        <v>48803.333333333336</v>
      </c>
      <c r="BM89" s="64"/>
      <c r="BN89" s="64"/>
      <c r="BO89" s="49"/>
    </row>
    <row r="90" spans="1:67" s="18" customFormat="1" ht="27" customHeight="1">
      <c r="A90" s="50" t="s">
        <v>150</v>
      </c>
      <c r="B90" s="51" t="s">
        <v>345</v>
      </c>
      <c r="C90" s="52"/>
      <c r="D90" s="53" t="s">
        <v>290</v>
      </c>
      <c r="E90" s="54">
        <v>42289</v>
      </c>
      <c r="F90" s="25">
        <v>42359</v>
      </c>
      <c r="G90" s="54" t="s">
        <v>299</v>
      </c>
      <c r="H90" s="55" t="s">
        <v>187</v>
      </c>
      <c r="I90" s="29">
        <v>133100</v>
      </c>
      <c r="J90" s="28">
        <v>42369</v>
      </c>
      <c r="K90" s="29">
        <v>11</v>
      </c>
      <c r="L90" s="29">
        <f t="shared" si="52"/>
        <v>48803.333333333336</v>
      </c>
      <c r="M90" s="56">
        <f>IF(ISNA(VLOOKUP(A90,[1]ABSENCE!$B$5:$AK$76,35,0))=TRUE,0,VLOOKUP(A90,[1]ABSENCE!$B$5:$AK$76,35,0))</f>
        <v>0</v>
      </c>
      <c r="N90" s="33">
        <f>IF(ISNA(VLOOKUP(A90,[1]ABSENCE!$B$5:$AK$76,36,0))=TRUE,0,VLOOKUP(A90,[1]ABSENCE!$B$5:$AK$76,36,0))</f>
        <v>0</v>
      </c>
      <c r="O90" s="31">
        <f>IF(ISNA(VLOOKUP($A90,[1]HS!$B$5:$T$122,3,0))=TRUE,0,VLOOKUP($A90,[1]HS!$B$5:$T$122,3,0))</f>
        <v>767.89938268043613</v>
      </c>
      <c r="P90" s="32"/>
      <c r="Q90" s="33"/>
      <c r="R90" s="32"/>
      <c r="S90" s="33"/>
      <c r="T90" s="32"/>
      <c r="U90" s="33"/>
      <c r="V90" s="32"/>
      <c r="W90" s="33"/>
      <c r="X90" s="32"/>
      <c r="Y90" s="33"/>
      <c r="Z90" s="34">
        <f t="shared" si="48"/>
        <v>0</v>
      </c>
      <c r="AA90" s="31">
        <f>+VLOOKUP(A90,[1]CONGE!$A$2:$W$113,20,0)</f>
        <v>0</v>
      </c>
      <c r="AB90" s="31">
        <f>+VLOOKUP(A90,[1]CONGE!$A$2:$W$113,21,0)</f>
        <v>0</v>
      </c>
      <c r="AC90" s="33">
        <f>IF(ISNA(VLOOKUP(A90,'[1]REPAS+DEPL'!$A$6:$M$1028,13,0))=TRUE,0,VLOOKUP(A90,'[1]REPAS+DEPL'!$A$6:$M$1028,13,0))</f>
        <v>0</v>
      </c>
      <c r="AD90" s="35"/>
      <c r="AE90" s="33">
        <f>IF(ISNA(VLOOKUP(A90,[1]Préavis!$A$2:$E$98,5,0))=TRUE,0,(VLOOKUP(A90,[1]Préavis!$A$2:$E$98,5,0)))</f>
        <v>0</v>
      </c>
      <c r="AF90" s="31">
        <f>+VLOOKUP(A90,[1]CONGE!$A$2:$V$112,18,0)</f>
        <v>0</v>
      </c>
      <c r="AG90" s="33">
        <f>IF(ISNA(VLOOKUP($A90,[1]CONGE!$A$2:$S$134,19,0))=TRUE,0,VLOOKUP($A90,[1]CONGE!$A$2:$S$134,19,0))</f>
        <v>0</v>
      </c>
      <c r="AH90" s="31">
        <f>+VLOOKUP(A90,[1]CONGE!$A$2:$W$113,22,0)</f>
        <v>0</v>
      </c>
      <c r="AI90" s="31">
        <f>+VLOOKUP(A90,[1]CONGE!$A$2:$W$113,23,0)</f>
        <v>0</v>
      </c>
      <c r="AJ90" s="36">
        <f t="shared" si="53"/>
        <v>48803.333333333336</v>
      </c>
      <c r="AK90" s="33">
        <f>IF(ISNA(VLOOKUP(A90,[1]AVANTAGE!$A$5:$T$118,19,0))=TRUE,0,VLOOKUP(A90,[1]AVANTAGE!$A$5:$T$118,19,0))</f>
        <v>0</v>
      </c>
      <c r="AL90" s="33">
        <f>IF(ISNA(VLOOKUP(A90,[1]AVANTAGE!$A$5:$T$118,20,0))=TRUE,0,VLOOKUP(A90,[1]AVANTAGE!$A$5:$T$118,20,0))</f>
        <v>0</v>
      </c>
      <c r="AM90" s="37">
        <f t="shared" si="54"/>
        <v>48803.333333333336</v>
      </c>
      <c r="AN90" s="38">
        <f t="shared" si="55"/>
        <v>488.03333333333336</v>
      </c>
      <c r="AO90" s="33">
        <f t="shared" si="56"/>
        <v>488.03333333333336</v>
      </c>
      <c r="AP90" s="38"/>
      <c r="AQ90" s="38">
        <f t="shared" si="57"/>
        <v>47800</v>
      </c>
      <c r="AR90" s="39">
        <f t="shared" si="58"/>
        <v>0</v>
      </c>
      <c r="AS90" s="40">
        <f>VLOOKUP(A90,'[1]Liste personnel'!$B$3:$R$187,16,0)</f>
        <v>0</v>
      </c>
      <c r="AT90" s="38">
        <f t="shared" si="59"/>
        <v>0</v>
      </c>
      <c r="AU90" s="38">
        <f t="shared" si="60"/>
        <v>0</v>
      </c>
      <c r="AV90" s="38">
        <f>IF(ISNA(VLOOKUP(A90,[1]AVANCE!$A$6:$E$122,4,0))=TRUE,0,VLOOKUP(A90,[1]AVANCE!$A$6:$E$122,4,0))</f>
        <v>0</v>
      </c>
      <c r="AW90" s="38">
        <f>IF(ISNA(VLOOKUP(A90,[1]AVANCE!$A$6:$E$122,5,0))=TRUE,0,VLOOKUP(A90,[1]AVANCE!$A$6:$E$122,5,0))</f>
        <v>0</v>
      </c>
      <c r="AX90" s="38">
        <f t="shared" si="61"/>
        <v>0</v>
      </c>
      <c r="AY90" s="57"/>
      <c r="AZ90" s="58">
        <f t="shared" si="62"/>
        <v>976.06666666666672</v>
      </c>
      <c r="BA90" s="38">
        <f t="shared" si="63"/>
        <v>47827.26666666667</v>
      </c>
      <c r="BB90" s="42"/>
      <c r="BC90" s="43"/>
      <c r="BD90" s="59">
        <f t="shared" si="31"/>
        <v>47827.26666666667</v>
      </c>
      <c r="BE90" s="60">
        <f t="shared" si="64"/>
        <v>47900</v>
      </c>
      <c r="BF90" s="61"/>
      <c r="BG90" s="61"/>
      <c r="BH90" s="62">
        <f t="shared" si="65"/>
        <v>0</v>
      </c>
      <c r="BI90" s="62">
        <f t="shared" si="66"/>
        <v>0</v>
      </c>
      <c r="BJ90" s="62">
        <f t="shared" si="67"/>
        <v>0</v>
      </c>
      <c r="BK90" s="63">
        <f t="shared" si="68"/>
        <v>47827.26666666667</v>
      </c>
      <c r="BL90" s="48">
        <f t="shared" si="69"/>
        <v>48803.333333333336</v>
      </c>
      <c r="BM90" s="64"/>
      <c r="BN90" s="64"/>
      <c r="BO90" s="49"/>
    </row>
    <row r="91" spans="1:67" s="18" customFormat="1" ht="27.75" customHeight="1">
      <c r="A91" s="50" t="s">
        <v>151</v>
      </c>
      <c r="B91" s="51" t="s">
        <v>346</v>
      </c>
      <c r="C91" s="52"/>
      <c r="D91" s="53" t="s">
        <v>290</v>
      </c>
      <c r="E91" s="54">
        <v>42289</v>
      </c>
      <c r="F91" s="25">
        <v>42359</v>
      </c>
      <c r="G91" s="54" t="s">
        <v>299</v>
      </c>
      <c r="H91" s="55" t="s">
        <v>187</v>
      </c>
      <c r="I91" s="29">
        <v>134600</v>
      </c>
      <c r="J91" s="28">
        <v>42369</v>
      </c>
      <c r="K91" s="29">
        <v>11</v>
      </c>
      <c r="L91" s="29">
        <f t="shared" si="52"/>
        <v>49353.333333333336</v>
      </c>
      <c r="M91" s="56">
        <f>IF(ISNA(VLOOKUP(A91,[1]ABSENCE!$B$5:$AK$76,35,0))=TRUE,0,VLOOKUP(A91,[1]ABSENCE!$B$5:$AK$76,35,0))</f>
        <v>0</v>
      </c>
      <c r="N91" s="33">
        <f>IF(ISNA(VLOOKUP(A91,[1]ABSENCE!$B$5:$AK$76,36,0))=TRUE,0,VLOOKUP(A91,[1]ABSENCE!$B$5:$AK$76,36,0))</f>
        <v>0</v>
      </c>
      <c r="O91" s="31">
        <f>IF(ISNA(VLOOKUP($A91,[1]HS!$B$5:$T$122,3,0))=TRUE,0,VLOOKUP($A91,[1]HS!$B$5:$T$122,3,0))</f>
        <v>776.5533952576011</v>
      </c>
      <c r="P91" s="32"/>
      <c r="Q91" s="33"/>
      <c r="R91" s="32"/>
      <c r="S91" s="33"/>
      <c r="T91" s="32"/>
      <c r="U91" s="33"/>
      <c r="V91" s="32"/>
      <c r="W91" s="33"/>
      <c r="X91" s="32"/>
      <c r="Y91" s="33"/>
      <c r="Z91" s="34">
        <f t="shared" si="48"/>
        <v>0</v>
      </c>
      <c r="AA91" s="31">
        <f>+VLOOKUP(A91,[1]CONGE!$A$2:$W$113,20,0)</f>
        <v>0</v>
      </c>
      <c r="AB91" s="31">
        <f>+VLOOKUP(A91,[1]CONGE!$A$2:$W$113,21,0)</f>
        <v>0</v>
      </c>
      <c r="AC91" s="33">
        <f>IF(ISNA(VLOOKUP(A91,'[1]REPAS+DEPL'!$A$6:$M$1028,13,0))=TRUE,0,VLOOKUP(A91,'[1]REPAS+DEPL'!$A$6:$M$1028,13,0))</f>
        <v>0</v>
      </c>
      <c r="AD91" s="35"/>
      <c r="AE91" s="33">
        <f>IF(ISNA(VLOOKUP(A91,[1]Préavis!$A$2:$E$98,5,0))=TRUE,0,(VLOOKUP(A91,[1]Préavis!$A$2:$E$98,5,0)))</f>
        <v>0</v>
      </c>
      <c r="AF91" s="31">
        <f>+VLOOKUP(A91,[1]CONGE!$A$2:$V$112,18,0)</f>
        <v>0</v>
      </c>
      <c r="AG91" s="33">
        <f>IF(ISNA(VLOOKUP($A91,[1]CONGE!$A$2:$S$134,19,0))=TRUE,0,VLOOKUP($A91,[1]CONGE!$A$2:$S$134,19,0))</f>
        <v>0</v>
      </c>
      <c r="AH91" s="31">
        <f>+VLOOKUP(A91,[1]CONGE!$A$2:$W$113,22,0)</f>
        <v>0</v>
      </c>
      <c r="AI91" s="31">
        <f>+VLOOKUP(A91,[1]CONGE!$A$2:$W$113,23,0)</f>
        <v>0</v>
      </c>
      <c r="AJ91" s="36">
        <f t="shared" si="53"/>
        <v>49353.333333333336</v>
      </c>
      <c r="AK91" s="33">
        <f>IF(ISNA(VLOOKUP(A91,[1]AVANTAGE!$A$5:$T$118,19,0))=TRUE,0,VLOOKUP(A91,[1]AVANTAGE!$A$5:$T$118,19,0))</f>
        <v>0</v>
      </c>
      <c r="AL91" s="33">
        <f>IF(ISNA(VLOOKUP(A91,[1]AVANTAGE!$A$5:$T$118,20,0))=TRUE,0,VLOOKUP(A91,[1]AVANTAGE!$A$5:$T$118,20,0))</f>
        <v>0</v>
      </c>
      <c r="AM91" s="37">
        <f t="shared" si="54"/>
        <v>49353.333333333336</v>
      </c>
      <c r="AN91" s="38">
        <f t="shared" si="55"/>
        <v>493.53333333333336</v>
      </c>
      <c r="AO91" s="33">
        <f t="shared" si="56"/>
        <v>493.53333333333336</v>
      </c>
      <c r="AP91" s="38"/>
      <c r="AQ91" s="38">
        <f t="shared" si="57"/>
        <v>48300</v>
      </c>
      <c r="AR91" s="39">
        <f t="shared" si="58"/>
        <v>0</v>
      </c>
      <c r="AS91" s="40">
        <f>VLOOKUP(A91,'[1]Liste personnel'!$B$3:$R$187,16,0)</f>
        <v>0</v>
      </c>
      <c r="AT91" s="38">
        <f t="shared" si="59"/>
        <v>0</v>
      </c>
      <c r="AU91" s="38">
        <f t="shared" si="60"/>
        <v>0</v>
      </c>
      <c r="AV91" s="38">
        <f>IF(ISNA(VLOOKUP(A91,[1]AVANCE!$A$6:$E$122,4,0))=TRUE,0,VLOOKUP(A91,[1]AVANCE!$A$6:$E$122,4,0))</f>
        <v>0</v>
      </c>
      <c r="AW91" s="38">
        <f>IF(ISNA(VLOOKUP(A91,[1]AVANCE!$A$6:$E$122,5,0))=TRUE,0,VLOOKUP(A91,[1]AVANCE!$A$6:$E$122,5,0))</f>
        <v>0</v>
      </c>
      <c r="AX91" s="38">
        <f t="shared" si="61"/>
        <v>0</v>
      </c>
      <c r="AY91" s="57"/>
      <c r="AZ91" s="58">
        <f t="shared" si="62"/>
        <v>987.06666666666672</v>
      </c>
      <c r="BA91" s="38">
        <f t="shared" si="63"/>
        <v>48366.26666666667</v>
      </c>
      <c r="BB91" s="42"/>
      <c r="BC91" s="43"/>
      <c r="BD91" s="59">
        <f t="shared" si="31"/>
        <v>48366.26666666667</v>
      </c>
      <c r="BE91" s="60">
        <f t="shared" si="64"/>
        <v>48400</v>
      </c>
      <c r="BF91" s="61"/>
      <c r="BG91" s="61"/>
      <c r="BH91" s="62">
        <f t="shared" si="65"/>
        <v>0</v>
      </c>
      <c r="BI91" s="62">
        <f t="shared" si="66"/>
        <v>0</v>
      </c>
      <c r="BJ91" s="62">
        <f t="shared" si="67"/>
        <v>0</v>
      </c>
      <c r="BK91" s="63">
        <f t="shared" si="68"/>
        <v>48366.26666666667</v>
      </c>
      <c r="BL91" s="48">
        <f t="shared" si="69"/>
        <v>49353.333333333336</v>
      </c>
      <c r="BM91" s="64"/>
      <c r="BN91" s="64"/>
      <c r="BO91" s="49"/>
    </row>
    <row r="92" spans="1:67" s="18" customFormat="1" ht="27" customHeight="1">
      <c r="A92" s="50" t="s">
        <v>152</v>
      </c>
      <c r="B92" s="51" t="s">
        <v>347</v>
      </c>
      <c r="C92" s="52"/>
      <c r="D92" s="53" t="s">
        <v>290</v>
      </c>
      <c r="E92" s="54">
        <v>42289</v>
      </c>
      <c r="F92" s="25">
        <v>42359</v>
      </c>
      <c r="G92" s="54" t="s">
        <v>299</v>
      </c>
      <c r="H92" s="55" t="s">
        <v>187</v>
      </c>
      <c r="I92" s="29">
        <v>133100</v>
      </c>
      <c r="J92" s="28">
        <v>42369</v>
      </c>
      <c r="K92" s="29">
        <v>11</v>
      </c>
      <c r="L92" s="29">
        <f t="shared" si="52"/>
        <v>48803.333333333336</v>
      </c>
      <c r="M92" s="56">
        <f>IF(ISNA(VLOOKUP(A92,[1]ABSENCE!$B$5:$AK$76,35,0))=TRUE,0,VLOOKUP(A92,[1]ABSENCE!$B$5:$AK$76,35,0))</f>
        <v>0</v>
      </c>
      <c r="N92" s="33">
        <f>IF(ISNA(VLOOKUP(A92,[1]ABSENCE!$B$5:$AK$76,36,0))=TRUE,0,VLOOKUP(A92,[1]ABSENCE!$B$5:$AK$76,36,0))</f>
        <v>0</v>
      </c>
      <c r="O92" s="31">
        <f>IF(ISNA(VLOOKUP($A92,[1]HS!$B$5:$T$122,3,0))=TRUE,0,VLOOKUP($A92,[1]HS!$B$5:$T$122,3,0))</f>
        <v>767.89938268043613</v>
      </c>
      <c r="P92" s="32"/>
      <c r="Q92" s="33"/>
      <c r="R92" s="32"/>
      <c r="S92" s="33"/>
      <c r="T92" s="32"/>
      <c r="U92" s="33"/>
      <c r="V92" s="32"/>
      <c r="W92" s="33"/>
      <c r="X92" s="32"/>
      <c r="Y92" s="33"/>
      <c r="Z92" s="34">
        <f t="shared" si="48"/>
        <v>0</v>
      </c>
      <c r="AA92" s="31">
        <f>+VLOOKUP(A92,[1]CONGE!$A$2:$W$113,20,0)</f>
        <v>0</v>
      </c>
      <c r="AB92" s="31">
        <f>+VLOOKUP(A92,[1]CONGE!$A$2:$W$113,21,0)</f>
        <v>0</v>
      </c>
      <c r="AC92" s="33">
        <f>IF(ISNA(VLOOKUP(A92,'[1]REPAS+DEPL'!$A$6:$M$1028,13,0))=TRUE,0,VLOOKUP(A92,'[1]REPAS+DEPL'!$A$6:$M$1028,13,0))</f>
        <v>0</v>
      </c>
      <c r="AD92" s="35"/>
      <c r="AE92" s="33">
        <f>IF(ISNA(VLOOKUP(A92,[1]Préavis!$A$2:$E$98,5,0))=TRUE,0,(VLOOKUP(A92,[1]Préavis!$A$2:$E$98,5,0)))</f>
        <v>0</v>
      </c>
      <c r="AF92" s="31">
        <f>+VLOOKUP(A92,[1]CONGE!$A$2:$V$112,18,0)</f>
        <v>0</v>
      </c>
      <c r="AG92" s="33">
        <f>IF(ISNA(VLOOKUP($A92,[1]CONGE!$A$2:$S$134,19,0))=TRUE,0,VLOOKUP($A92,[1]CONGE!$A$2:$S$134,19,0))</f>
        <v>0</v>
      </c>
      <c r="AH92" s="31">
        <f>+VLOOKUP(A92,[1]CONGE!$A$2:$W$113,22,0)</f>
        <v>0</v>
      </c>
      <c r="AI92" s="31">
        <f>+VLOOKUP(A92,[1]CONGE!$A$2:$W$113,23,0)</f>
        <v>0</v>
      </c>
      <c r="AJ92" s="36">
        <f t="shared" si="53"/>
        <v>48803.333333333336</v>
      </c>
      <c r="AK92" s="33">
        <f>IF(ISNA(VLOOKUP(A92,[1]AVANTAGE!$A$5:$T$118,19,0))=TRUE,0,VLOOKUP(A92,[1]AVANTAGE!$A$5:$T$118,19,0))</f>
        <v>0</v>
      </c>
      <c r="AL92" s="33">
        <f>IF(ISNA(VLOOKUP(A92,[1]AVANTAGE!$A$5:$T$118,20,0))=TRUE,0,VLOOKUP(A92,[1]AVANTAGE!$A$5:$T$118,20,0))</f>
        <v>0</v>
      </c>
      <c r="AM92" s="37">
        <f t="shared" si="54"/>
        <v>48803.333333333336</v>
      </c>
      <c r="AN92" s="38">
        <f t="shared" si="55"/>
        <v>488.03333333333336</v>
      </c>
      <c r="AO92" s="33">
        <f t="shared" si="56"/>
        <v>488.03333333333336</v>
      </c>
      <c r="AP92" s="38"/>
      <c r="AQ92" s="38">
        <f t="shared" si="57"/>
        <v>47800</v>
      </c>
      <c r="AR92" s="39">
        <f t="shared" si="58"/>
        <v>0</v>
      </c>
      <c r="AS92" s="40">
        <f>VLOOKUP(A92,'[1]Liste personnel'!$B$3:$R$187,16,0)</f>
        <v>0</v>
      </c>
      <c r="AT92" s="38">
        <f t="shared" si="59"/>
        <v>0</v>
      </c>
      <c r="AU92" s="38">
        <f t="shared" si="60"/>
        <v>0</v>
      </c>
      <c r="AV92" s="38">
        <f>IF(ISNA(VLOOKUP(A92,[1]AVANCE!$A$6:$E$122,4,0))=TRUE,0,VLOOKUP(A92,[1]AVANCE!$A$6:$E$122,4,0))</f>
        <v>0</v>
      </c>
      <c r="AW92" s="38">
        <f>IF(ISNA(VLOOKUP(A92,[1]AVANCE!$A$6:$E$122,5,0))=TRUE,0,VLOOKUP(A92,[1]AVANCE!$A$6:$E$122,5,0))</f>
        <v>0</v>
      </c>
      <c r="AX92" s="38">
        <f t="shared" si="61"/>
        <v>0</v>
      </c>
      <c r="AY92" s="57"/>
      <c r="AZ92" s="58">
        <f t="shared" si="62"/>
        <v>976.06666666666672</v>
      </c>
      <c r="BA92" s="38">
        <f t="shared" si="63"/>
        <v>47827.26666666667</v>
      </c>
      <c r="BB92" s="42"/>
      <c r="BC92" s="43"/>
      <c r="BD92" s="59">
        <f t="shared" si="31"/>
        <v>47827.26666666667</v>
      </c>
      <c r="BE92" s="60">
        <f t="shared" si="64"/>
        <v>47900</v>
      </c>
      <c r="BF92" s="61"/>
      <c r="BG92" s="61"/>
      <c r="BH92" s="62">
        <f t="shared" si="65"/>
        <v>0</v>
      </c>
      <c r="BI92" s="62">
        <f t="shared" si="66"/>
        <v>0</v>
      </c>
      <c r="BJ92" s="62">
        <f t="shared" si="67"/>
        <v>0</v>
      </c>
      <c r="BK92" s="63">
        <f t="shared" si="68"/>
        <v>47827.26666666667</v>
      </c>
      <c r="BL92" s="48">
        <f t="shared" si="69"/>
        <v>48803.333333333336</v>
      </c>
      <c r="BM92" s="64"/>
      <c r="BN92" s="64"/>
      <c r="BO92" s="49"/>
    </row>
    <row r="93" spans="1:67" s="18" customFormat="1" ht="27" customHeight="1">
      <c r="A93" s="50" t="s">
        <v>153</v>
      </c>
      <c r="B93" s="51" t="s">
        <v>348</v>
      </c>
      <c r="C93" s="52"/>
      <c r="D93" s="53" t="s">
        <v>290</v>
      </c>
      <c r="E93" s="54">
        <v>42289</v>
      </c>
      <c r="F93" s="25">
        <v>42359</v>
      </c>
      <c r="G93" s="54" t="s">
        <v>299</v>
      </c>
      <c r="H93" s="55" t="s">
        <v>187</v>
      </c>
      <c r="I93" s="29">
        <v>133100</v>
      </c>
      <c r="J93" s="28">
        <v>42369</v>
      </c>
      <c r="K93" s="29">
        <v>11</v>
      </c>
      <c r="L93" s="29">
        <f t="shared" si="52"/>
        <v>48803.333333333336</v>
      </c>
      <c r="M93" s="56">
        <f>IF(ISNA(VLOOKUP(A93,[1]ABSENCE!$B$5:$AK$76,35,0))=TRUE,0,VLOOKUP(A93,[1]ABSENCE!$B$5:$AK$76,35,0))</f>
        <v>0</v>
      </c>
      <c r="N93" s="33">
        <f>IF(ISNA(VLOOKUP(A93,[1]ABSENCE!$B$5:$AK$76,36,0))=TRUE,0,VLOOKUP(A93,[1]ABSENCE!$B$5:$AK$76,36,0))</f>
        <v>0</v>
      </c>
      <c r="O93" s="31">
        <f>IF(ISNA(VLOOKUP($A93,[1]HS!$B$5:$T$122,3,0))=TRUE,0,VLOOKUP($A93,[1]HS!$B$5:$T$122,3,0))</f>
        <v>767.89938268043613</v>
      </c>
      <c r="P93" s="32"/>
      <c r="Q93" s="33"/>
      <c r="R93" s="32"/>
      <c r="S93" s="33"/>
      <c r="T93" s="32"/>
      <c r="U93" s="33"/>
      <c r="V93" s="32"/>
      <c r="W93" s="33"/>
      <c r="X93" s="32"/>
      <c r="Y93" s="33"/>
      <c r="Z93" s="34">
        <f t="shared" si="48"/>
        <v>0</v>
      </c>
      <c r="AA93" s="31">
        <f>+VLOOKUP(A93,[1]CONGE!$A$2:$W$113,20,0)</f>
        <v>0</v>
      </c>
      <c r="AB93" s="31">
        <f>+VLOOKUP(A93,[1]CONGE!$A$2:$W$113,21,0)</f>
        <v>0</v>
      </c>
      <c r="AC93" s="33">
        <f>IF(ISNA(VLOOKUP(A93,'[1]REPAS+DEPL'!$A$6:$M$1028,13,0))=TRUE,0,VLOOKUP(A93,'[1]REPAS+DEPL'!$A$6:$M$1028,13,0))</f>
        <v>0</v>
      </c>
      <c r="AD93" s="35"/>
      <c r="AE93" s="33">
        <f>IF(ISNA(VLOOKUP(A93,[1]Préavis!$A$2:$E$98,5,0))=TRUE,0,(VLOOKUP(A93,[1]Préavis!$A$2:$E$98,5,0)))</f>
        <v>0</v>
      </c>
      <c r="AF93" s="31">
        <f>+VLOOKUP(A93,[1]CONGE!$A$2:$V$112,18,0)</f>
        <v>0</v>
      </c>
      <c r="AG93" s="33">
        <f>IF(ISNA(VLOOKUP($A93,[1]CONGE!$A$2:$S$134,19,0))=TRUE,0,VLOOKUP($A93,[1]CONGE!$A$2:$S$134,19,0))</f>
        <v>0</v>
      </c>
      <c r="AH93" s="31">
        <f>+VLOOKUP(A93,[1]CONGE!$A$2:$W$113,22,0)</f>
        <v>0</v>
      </c>
      <c r="AI93" s="31">
        <f>+VLOOKUP(A93,[1]CONGE!$A$2:$W$113,23,0)</f>
        <v>0</v>
      </c>
      <c r="AJ93" s="36">
        <f t="shared" si="53"/>
        <v>48803.333333333336</v>
      </c>
      <c r="AK93" s="33">
        <f>IF(ISNA(VLOOKUP(A93,[1]AVANTAGE!$A$5:$T$118,19,0))=TRUE,0,VLOOKUP(A93,[1]AVANTAGE!$A$5:$T$118,19,0))</f>
        <v>0</v>
      </c>
      <c r="AL93" s="33">
        <f>IF(ISNA(VLOOKUP(A93,[1]AVANTAGE!$A$5:$T$118,20,0))=TRUE,0,VLOOKUP(A93,[1]AVANTAGE!$A$5:$T$118,20,0))</f>
        <v>0</v>
      </c>
      <c r="AM93" s="37">
        <f t="shared" si="54"/>
        <v>48803.333333333336</v>
      </c>
      <c r="AN93" s="38">
        <f t="shared" si="55"/>
        <v>488.03333333333336</v>
      </c>
      <c r="AO93" s="33">
        <f t="shared" si="56"/>
        <v>488.03333333333336</v>
      </c>
      <c r="AP93" s="38"/>
      <c r="AQ93" s="38">
        <f t="shared" si="57"/>
        <v>47800</v>
      </c>
      <c r="AR93" s="39">
        <f t="shared" si="58"/>
        <v>0</v>
      </c>
      <c r="AS93" s="40">
        <f>VLOOKUP(A93,'[1]Liste personnel'!$B$3:$R$187,16,0)</f>
        <v>0</v>
      </c>
      <c r="AT93" s="38">
        <f t="shared" si="59"/>
        <v>0</v>
      </c>
      <c r="AU93" s="38">
        <f t="shared" si="60"/>
        <v>0</v>
      </c>
      <c r="AV93" s="38">
        <f>IF(ISNA(VLOOKUP(A93,[1]AVANCE!$A$6:$E$122,4,0))=TRUE,0,VLOOKUP(A93,[1]AVANCE!$A$6:$E$122,4,0))</f>
        <v>0</v>
      </c>
      <c r="AW93" s="38">
        <f>IF(ISNA(VLOOKUP(A93,[1]AVANCE!$A$6:$E$122,5,0))=TRUE,0,VLOOKUP(A93,[1]AVANCE!$A$6:$E$122,5,0))</f>
        <v>0</v>
      </c>
      <c r="AX93" s="38">
        <f t="shared" si="61"/>
        <v>0</v>
      </c>
      <c r="AY93" s="57"/>
      <c r="AZ93" s="58">
        <f t="shared" si="62"/>
        <v>976.06666666666672</v>
      </c>
      <c r="BA93" s="38">
        <f t="shared" si="63"/>
        <v>47827.26666666667</v>
      </c>
      <c r="BB93" s="42"/>
      <c r="BC93" s="43"/>
      <c r="BD93" s="59">
        <f t="shared" si="31"/>
        <v>47827.26666666667</v>
      </c>
      <c r="BE93" s="60">
        <f t="shared" si="64"/>
        <v>47900</v>
      </c>
      <c r="BF93" s="61"/>
      <c r="BG93" s="61"/>
      <c r="BH93" s="62">
        <f t="shared" si="65"/>
        <v>0</v>
      </c>
      <c r="BI93" s="62">
        <f t="shared" si="66"/>
        <v>0</v>
      </c>
      <c r="BJ93" s="62">
        <f t="shared" si="67"/>
        <v>0</v>
      </c>
      <c r="BK93" s="63">
        <f t="shared" si="68"/>
        <v>47827.26666666667</v>
      </c>
      <c r="BL93" s="48">
        <f t="shared" si="69"/>
        <v>48803.333333333336</v>
      </c>
      <c r="BM93" s="64"/>
      <c r="BN93" s="64"/>
      <c r="BO93" s="49"/>
    </row>
    <row r="94" spans="1:67" s="18" customFormat="1" ht="27" customHeight="1">
      <c r="A94" s="50" t="s">
        <v>154</v>
      </c>
      <c r="B94" s="51" t="s">
        <v>349</v>
      </c>
      <c r="C94" s="52"/>
      <c r="D94" s="53" t="s">
        <v>290</v>
      </c>
      <c r="E94" s="54">
        <v>42289</v>
      </c>
      <c r="F94" s="25">
        <v>42359</v>
      </c>
      <c r="G94" s="54" t="s">
        <v>299</v>
      </c>
      <c r="H94" s="55" t="s">
        <v>187</v>
      </c>
      <c r="I94" s="29">
        <v>133100</v>
      </c>
      <c r="J94" s="28">
        <v>42369</v>
      </c>
      <c r="K94" s="29">
        <v>11</v>
      </c>
      <c r="L94" s="29">
        <f t="shared" si="52"/>
        <v>48803.333333333336</v>
      </c>
      <c r="M94" s="56">
        <f>IF(ISNA(VLOOKUP(A94,[1]ABSENCE!$B$5:$AK$76,35,0))=TRUE,0,VLOOKUP(A94,[1]ABSENCE!$B$5:$AK$76,35,0))</f>
        <v>0</v>
      </c>
      <c r="N94" s="33">
        <f>IF(ISNA(VLOOKUP(A94,[1]ABSENCE!$B$5:$AK$76,36,0))=TRUE,0,VLOOKUP(A94,[1]ABSENCE!$B$5:$AK$76,36,0))</f>
        <v>0</v>
      </c>
      <c r="O94" s="31">
        <f>IF(ISNA(VLOOKUP($A94,[1]HS!$B$5:$T$122,3,0))=TRUE,0,VLOOKUP($A94,[1]HS!$B$5:$T$122,3,0))</f>
        <v>767.89938268043613</v>
      </c>
      <c r="P94" s="32"/>
      <c r="Q94" s="33"/>
      <c r="R94" s="32"/>
      <c r="S94" s="33"/>
      <c r="T94" s="32"/>
      <c r="U94" s="33"/>
      <c r="V94" s="32"/>
      <c r="W94" s="33"/>
      <c r="X94" s="32"/>
      <c r="Y94" s="33"/>
      <c r="Z94" s="34">
        <f t="shared" si="48"/>
        <v>0</v>
      </c>
      <c r="AA94" s="31">
        <f>+VLOOKUP(A94,[1]CONGE!$A$2:$W$113,20,0)</f>
        <v>0</v>
      </c>
      <c r="AB94" s="31">
        <f>+VLOOKUP(A94,[1]CONGE!$A$2:$W$113,21,0)</f>
        <v>0</v>
      </c>
      <c r="AC94" s="33">
        <f>IF(ISNA(VLOOKUP(A94,'[1]REPAS+DEPL'!$A$6:$M$1028,13,0))=TRUE,0,VLOOKUP(A94,'[1]REPAS+DEPL'!$A$6:$M$1028,13,0))</f>
        <v>0</v>
      </c>
      <c r="AD94" s="35"/>
      <c r="AE94" s="33">
        <f>IF(ISNA(VLOOKUP(A94,[1]Préavis!$A$2:$E$98,5,0))=TRUE,0,(VLOOKUP(A94,[1]Préavis!$A$2:$E$98,5,0)))</f>
        <v>0</v>
      </c>
      <c r="AF94" s="31">
        <f>+VLOOKUP(A94,[1]CONGE!$A$2:$V$112,18,0)</f>
        <v>0</v>
      </c>
      <c r="AG94" s="33">
        <f>IF(ISNA(VLOOKUP($A94,[1]CONGE!$A$2:$S$134,19,0))=TRUE,0,VLOOKUP($A94,[1]CONGE!$A$2:$S$134,19,0))</f>
        <v>0</v>
      </c>
      <c r="AH94" s="31">
        <f>+VLOOKUP(A94,[1]CONGE!$A$2:$W$113,22,0)</f>
        <v>0</v>
      </c>
      <c r="AI94" s="31">
        <f>+VLOOKUP(A94,[1]CONGE!$A$2:$W$113,23,0)</f>
        <v>0</v>
      </c>
      <c r="AJ94" s="36">
        <f t="shared" si="53"/>
        <v>48803.333333333336</v>
      </c>
      <c r="AK94" s="33">
        <f>IF(ISNA(VLOOKUP(A94,[1]AVANTAGE!$A$5:$T$118,19,0))=TRUE,0,VLOOKUP(A94,[1]AVANTAGE!$A$5:$T$118,19,0))</f>
        <v>0</v>
      </c>
      <c r="AL94" s="33">
        <f>IF(ISNA(VLOOKUP(A94,[1]AVANTAGE!$A$5:$T$118,20,0))=TRUE,0,VLOOKUP(A94,[1]AVANTAGE!$A$5:$T$118,20,0))</f>
        <v>0</v>
      </c>
      <c r="AM94" s="37">
        <f t="shared" si="54"/>
        <v>48803.333333333336</v>
      </c>
      <c r="AN94" s="38">
        <f t="shared" si="55"/>
        <v>488.03333333333336</v>
      </c>
      <c r="AO94" s="33">
        <f t="shared" si="56"/>
        <v>488.03333333333336</v>
      </c>
      <c r="AP94" s="38"/>
      <c r="AQ94" s="38">
        <f t="shared" si="57"/>
        <v>47800</v>
      </c>
      <c r="AR94" s="39">
        <f t="shared" si="58"/>
        <v>0</v>
      </c>
      <c r="AS94" s="40">
        <f>VLOOKUP(A94,'[1]Liste personnel'!$B$3:$R$187,16,0)</f>
        <v>0</v>
      </c>
      <c r="AT94" s="38">
        <f t="shared" si="59"/>
        <v>0</v>
      </c>
      <c r="AU94" s="38">
        <f t="shared" si="60"/>
        <v>0</v>
      </c>
      <c r="AV94" s="38">
        <f>IF(ISNA(VLOOKUP(A94,[1]AVANCE!$A$6:$E$122,4,0))=TRUE,0,VLOOKUP(A94,[1]AVANCE!$A$6:$E$122,4,0))</f>
        <v>0</v>
      </c>
      <c r="AW94" s="38">
        <f>IF(ISNA(VLOOKUP(A94,[1]AVANCE!$A$6:$E$122,5,0))=TRUE,0,VLOOKUP(A94,[1]AVANCE!$A$6:$E$122,5,0))</f>
        <v>0</v>
      </c>
      <c r="AX94" s="38">
        <f t="shared" si="61"/>
        <v>0</v>
      </c>
      <c r="AY94" s="57"/>
      <c r="AZ94" s="58">
        <f t="shared" si="62"/>
        <v>976.06666666666672</v>
      </c>
      <c r="BA94" s="38">
        <f t="shared" si="63"/>
        <v>47827.26666666667</v>
      </c>
      <c r="BB94" s="42"/>
      <c r="BC94" s="43"/>
      <c r="BD94" s="59">
        <f t="shared" si="31"/>
        <v>47827.26666666667</v>
      </c>
      <c r="BE94" s="60">
        <f t="shared" si="64"/>
        <v>47900</v>
      </c>
      <c r="BF94" s="61"/>
      <c r="BG94" s="61"/>
      <c r="BH94" s="62">
        <f t="shared" si="65"/>
        <v>0</v>
      </c>
      <c r="BI94" s="62">
        <f t="shared" si="66"/>
        <v>0</v>
      </c>
      <c r="BJ94" s="62">
        <f t="shared" si="67"/>
        <v>0</v>
      </c>
      <c r="BK94" s="63">
        <f t="shared" si="68"/>
        <v>47827.26666666667</v>
      </c>
      <c r="BL94" s="48">
        <f t="shared" si="69"/>
        <v>48803.333333333336</v>
      </c>
      <c r="BM94" s="64"/>
      <c r="BN94" s="64"/>
      <c r="BO94" s="49"/>
    </row>
    <row r="95" spans="1:67" s="18" customFormat="1" ht="27" customHeight="1">
      <c r="A95" s="50" t="s">
        <v>155</v>
      </c>
      <c r="B95" s="51" t="s">
        <v>350</v>
      </c>
      <c r="C95" s="52"/>
      <c r="D95" s="53" t="s">
        <v>290</v>
      </c>
      <c r="E95" s="54">
        <v>42290</v>
      </c>
      <c r="F95" s="25">
        <v>42359</v>
      </c>
      <c r="G95" s="54" t="s">
        <v>299</v>
      </c>
      <c r="H95" s="55" t="s">
        <v>187</v>
      </c>
      <c r="I95" s="29">
        <v>133100</v>
      </c>
      <c r="J95" s="28">
        <v>42369</v>
      </c>
      <c r="K95" s="29">
        <v>11</v>
      </c>
      <c r="L95" s="29">
        <f t="shared" si="52"/>
        <v>48803.333333333336</v>
      </c>
      <c r="M95" s="56">
        <f>IF(ISNA(VLOOKUP(A95,[1]ABSENCE!$B$5:$AK$76,35,0))=TRUE,0,VLOOKUP(A95,[1]ABSENCE!$B$5:$AK$76,35,0))</f>
        <v>0</v>
      </c>
      <c r="N95" s="33">
        <f>IF(ISNA(VLOOKUP(A95,[1]ABSENCE!$B$5:$AK$76,36,0))=TRUE,0,VLOOKUP(A95,[1]ABSENCE!$B$5:$AK$76,36,0))</f>
        <v>0</v>
      </c>
      <c r="O95" s="31">
        <f>IF(ISNA(VLOOKUP($A95,[1]HS!$B$5:$T$122,3,0))=TRUE,0,VLOOKUP($A95,[1]HS!$B$5:$T$122,3,0))</f>
        <v>767.89938268043613</v>
      </c>
      <c r="P95" s="32"/>
      <c r="Q95" s="33"/>
      <c r="R95" s="32"/>
      <c r="S95" s="33"/>
      <c r="T95" s="32"/>
      <c r="U95" s="33"/>
      <c r="V95" s="32"/>
      <c r="W95" s="33"/>
      <c r="X95" s="32"/>
      <c r="Y95" s="33"/>
      <c r="Z95" s="34">
        <f t="shared" si="48"/>
        <v>0</v>
      </c>
      <c r="AA95" s="31">
        <f>+VLOOKUP(A95,[1]CONGE!$A$2:$W$113,20,0)</f>
        <v>0</v>
      </c>
      <c r="AB95" s="31">
        <f>+VLOOKUP(A95,[1]CONGE!$A$2:$W$113,21,0)</f>
        <v>0</v>
      </c>
      <c r="AC95" s="33">
        <f>IF(ISNA(VLOOKUP(A95,'[1]REPAS+DEPL'!$A$6:$M$1028,13,0))=TRUE,0,VLOOKUP(A95,'[1]REPAS+DEPL'!$A$6:$M$1028,13,0))</f>
        <v>0</v>
      </c>
      <c r="AD95" s="35"/>
      <c r="AE95" s="33">
        <f>IF(ISNA(VLOOKUP(A95,[1]Préavis!$A$2:$E$98,5,0))=TRUE,0,(VLOOKUP(A95,[1]Préavis!$A$2:$E$98,5,0)))</f>
        <v>0</v>
      </c>
      <c r="AF95" s="31">
        <f>+VLOOKUP(A95,[1]CONGE!$A$2:$V$112,18,0)</f>
        <v>0</v>
      </c>
      <c r="AG95" s="33">
        <f>IF(ISNA(VLOOKUP($A95,[1]CONGE!$A$2:$S$134,19,0))=TRUE,0,VLOOKUP($A95,[1]CONGE!$A$2:$S$134,19,0))</f>
        <v>0</v>
      </c>
      <c r="AH95" s="31">
        <f>+VLOOKUP(A95,[1]CONGE!$A$2:$W$113,22,0)</f>
        <v>0</v>
      </c>
      <c r="AI95" s="31">
        <f>+VLOOKUP(A95,[1]CONGE!$A$2:$W$113,23,0)</f>
        <v>0</v>
      </c>
      <c r="AJ95" s="36">
        <f t="shared" si="53"/>
        <v>48803.333333333336</v>
      </c>
      <c r="AK95" s="33">
        <f>IF(ISNA(VLOOKUP(A95,[1]AVANTAGE!$A$5:$T$118,19,0))=TRUE,0,VLOOKUP(A95,[1]AVANTAGE!$A$5:$T$118,19,0))</f>
        <v>0</v>
      </c>
      <c r="AL95" s="33">
        <f>IF(ISNA(VLOOKUP(A95,[1]AVANTAGE!$A$5:$T$118,20,0))=TRUE,0,VLOOKUP(A95,[1]AVANTAGE!$A$5:$T$118,20,0))</f>
        <v>0</v>
      </c>
      <c r="AM95" s="37">
        <f t="shared" si="54"/>
        <v>48803.333333333336</v>
      </c>
      <c r="AN95" s="38">
        <f t="shared" si="55"/>
        <v>488.03333333333336</v>
      </c>
      <c r="AO95" s="33">
        <f t="shared" si="56"/>
        <v>488.03333333333336</v>
      </c>
      <c r="AP95" s="38"/>
      <c r="AQ95" s="38">
        <f t="shared" si="57"/>
        <v>47800</v>
      </c>
      <c r="AR95" s="39">
        <f t="shared" si="58"/>
        <v>0</v>
      </c>
      <c r="AS95" s="40">
        <f>VLOOKUP(A95,'[1]Liste personnel'!$B$3:$R$187,16,0)</f>
        <v>0</v>
      </c>
      <c r="AT95" s="38">
        <f t="shared" si="59"/>
        <v>0</v>
      </c>
      <c r="AU95" s="38">
        <f t="shared" si="60"/>
        <v>0</v>
      </c>
      <c r="AV95" s="38">
        <f>IF(ISNA(VLOOKUP(A95,[1]AVANCE!$A$6:$E$122,4,0))=TRUE,0,VLOOKUP(A95,[1]AVANCE!$A$6:$E$122,4,0))</f>
        <v>0</v>
      </c>
      <c r="AW95" s="38">
        <f>IF(ISNA(VLOOKUP(A95,[1]AVANCE!$A$6:$E$122,5,0))=TRUE,0,VLOOKUP(A95,[1]AVANCE!$A$6:$E$122,5,0))</f>
        <v>0</v>
      </c>
      <c r="AX95" s="38">
        <f t="shared" si="61"/>
        <v>0</v>
      </c>
      <c r="AY95" s="57"/>
      <c r="AZ95" s="58">
        <f t="shared" si="62"/>
        <v>976.06666666666672</v>
      </c>
      <c r="BA95" s="38">
        <f t="shared" si="63"/>
        <v>47827.26666666667</v>
      </c>
      <c r="BB95" s="42"/>
      <c r="BC95" s="43"/>
      <c r="BD95" s="59">
        <f t="shared" si="31"/>
        <v>47827.26666666667</v>
      </c>
      <c r="BE95" s="60">
        <f t="shared" si="64"/>
        <v>47900</v>
      </c>
      <c r="BF95" s="61"/>
      <c r="BG95" s="61"/>
      <c r="BH95" s="62">
        <f t="shared" si="65"/>
        <v>0</v>
      </c>
      <c r="BI95" s="62">
        <f t="shared" si="66"/>
        <v>0</v>
      </c>
      <c r="BJ95" s="62">
        <f t="shared" si="67"/>
        <v>0</v>
      </c>
      <c r="BK95" s="63">
        <f t="shared" si="68"/>
        <v>47827.26666666667</v>
      </c>
      <c r="BL95" s="48">
        <f t="shared" si="69"/>
        <v>48803.333333333336</v>
      </c>
      <c r="BM95" s="64"/>
      <c r="BN95" s="64"/>
      <c r="BO95" s="49"/>
    </row>
    <row r="96" spans="1:67" s="18" customFormat="1" ht="27" customHeight="1">
      <c r="A96" s="50" t="s">
        <v>156</v>
      </c>
      <c r="B96" s="51" t="s">
        <v>351</v>
      </c>
      <c r="C96" s="52"/>
      <c r="D96" s="53" t="s">
        <v>281</v>
      </c>
      <c r="E96" s="54">
        <v>42292</v>
      </c>
      <c r="F96" s="25">
        <v>42359</v>
      </c>
      <c r="G96" s="54" t="s">
        <v>352</v>
      </c>
      <c r="H96" s="55" t="s">
        <v>173</v>
      </c>
      <c r="I96" s="29">
        <v>446408</v>
      </c>
      <c r="J96" s="28">
        <v>42369</v>
      </c>
      <c r="K96" s="29">
        <v>11</v>
      </c>
      <c r="L96" s="29">
        <f t="shared" si="52"/>
        <v>163682.93333333332</v>
      </c>
      <c r="M96" s="56">
        <f>IF(ISNA(VLOOKUP(A96,[1]ABSENCE!$B$5:$AK$76,35,0))=TRUE,0,VLOOKUP(A96,[1]ABSENCE!$B$5:$AK$76,35,0))</f>
        <v>0</v>
      </c>
      <c r="N96" s="33">
        <f>IF(ISNA(VLOOKUP(A96,[1]ABSENCE!$B$5:$AK$76,36,0))=TRUE,0,VLOOKUP(A96,[1]ABSENCE!$B$5:$AK$76,36,0))</f>
        <v>0</v>
      </c>
      <c r="O96" s="31">
        <f>IF(ISNA(VLOOKUP($A96,[1]HS!$B$5:$T$122,3,0))=TRUE,0,VLOOKUP($A96,[1]HS!$B$5:$T$122,3,0))</f>
        <v>2575.4802976980322</v>
      </c>
      <c r="P96" s="32"/>
      <c r="Q96" s="33"/>
      <c r="R96" s="32"/>
      <c r="S96" s="33"/>
      <c r="T96" s="32"/>
      <c r="U96" s="33"/>
      <c r="V96" s="32"/>
      <c r="W96" s="33"/>
      <c r="X96" s="32"/>
      <c r="Y96" s="33"/>
      <c r="Z96" s="34">
        <f t="shared" si="48"/>
        <v>0</v>
      </c>
      <c r="AA96" s="31">
        <f>+VLOOKUP(A96,[1]CONGE!$A$2:$W$113,20,0)</f>
        <v>0</v>
      </c>
      <c r="AB96" s="31">
        <f>+VLOOKUP(A96,[1]CONGE!$A$2:$W$113,21,0)</f>
        <v>0</v>
      </c>
      <c r="AC96" s="33">
        <f>IF(ISNA(VLOOKUP(A96,'[1]REPAS+DEPL'!$A$6:$M$1028,13,0))=TRUE,0,VLOOKUP(A96,'[1]REPAS+DEPL'!$A$6:$M$1028,13,0))</f>
        <v>0</v>
      </c>
      <c r="AD96" s="35"/>
      <c r="AE96" s="33">
        <f>IF(ISNA(VLOOKUP(A96,[1]Préavis!$A$2:$E$98,5,0))=TRUE,0,(VLOOKUP(A96,[1]Préavis!$A$2:$E$98,5,0)))</f>
        <v>0</v>
      </c>
      <c r="AF96" s="31">
        <f>+VLOOKUP(A96,[1]CONGE!$A$2:$V$112,18,0)</f>
        <v>0</v>
      </c>
      <c r="AG96" s="33">
        <f>IF(ISNA(VLOOKUP($A96,[1]CONGE!$A$2:$S$134,19,0))=TRUE,0,VLOOKUP($A96,[1]CONGE!$A$2:$S$134,19,0))</f>
        <v>0</v>
      </c>
      <c r="AH96" s="31">
        <f>+VLOOKUP(A96,[1]CONGE!$A$2:$W$113,22,0)</f>
        <v>0</v>
      </c>
      <c r="AI96" s="31">
        <f>+VLOOKUP(A96,[1]CONGE!$A$2:$W$113,23,0)</f>
        <v>0</v>
      </c>
      <c r="AJ96" s="36">
        <f t="shared" si="53"/>
        <v>163682.93333333332</v>
      </c>
      <c r="AK96" s="33">
        <f>IF(ISNA(VLOOKUP(A96,[1]AVANTAGE!$A$5:$T$118,19,0))=TRUE,0,VLOOKUP(A96,[1]AVANTAGE!$A$5:$T$118,19,0))</f>
        <v>0</v>
      </c>
      <c r="AL96" s="33">
        <f>IF(ISNA(VLOOKUP(A96,[1]AVANTAGE!$A$5:$T$118,20,0))=TRUE,0,VLOOKUP(A96,[1]AVANTAGE!$A$5:$T$118,20,0))</f>
        <v>0</v>
      </c>
      <c r="AM96" s="37">
        <f t="shared" si="54"/>
        <v>163682.93333333332</v>
      </c>
      <c r="AN96" s="38">
        <f t="shared" si="55"/>
        <v>1636.8293333333331</v>
      </c>
      <c r="AO96" s="33">
        <f t="shared" si="56"/>
        <v>1636.8293333333331</v>
      </c>
      <c r="AP96" s="38"/>
      <c r="AQ96" s="38">
        <f t="shared" si="57"/>
        <v>160400</v>
      </c>
      <c r="AR96" s="39">
        <f t="shared" si="58"/>
        <v>0</v>
      </c>
      <c r="AS96" s="40">
        <f>VLOOKUP(A96,'[1]Liste personnel'!$B$3:$R$187,16,0)</f>
        <v>0</v>
      </c>
      <c r="AT96" s="38">
        <f t="shared" si="59"/>
        <v>0</v>
      </c>
      <c r="AU96" s="38">
        <f t="shared" si="60"/>
        <v>0</v>
      </c>
      <c r="AV96" s="38">
        <f>IF(ISNA(VLOOKUP(A96,[1]AVANCE!$A$6:$E$122,4,0))=TRUE,0,VLOOKUP(A96,[1]AVANCE!$A$6:$E$122,4,0))</f>
        <v>0</v>
      </c>
      <c r="AW96" s="38">
        <f>IF(ISNA(VLOOKUP(A96,[1]AVANCE!$A$6:$E$122,5,0))=TRUE,0,VLOOKUP(A96,[1]AVANCE!$A$6:$E$122,5,0))</f>
        <v>0</v>
      </c>
      <c r="AX96" s="38">
        <f t="shared" si="61"/>
        <v>0</v>
      </c>
      <c r="AY96" s="57"/>
      <c r="AZ96" s="58">
        <f t="shared" si="62"/>
        <v>3273.6586666666662</v>
      </c>
      <c r="BA96" s="38">
        <f t="shared" si="63"/>
        <v>160409.27466666666</v>
      </c>
      <c r="BB96" s="42"/>
      <c r="BC96" s="43"/>
      <c r="BD96" s="59">
        <f t="shared" ref="BD96:BD101" si="70">+BA96+BB96+BC96</f>
        <v>160409.27466666666</v>
      </c>
      <c r="BE96" s="60">
        <f t="shared" si="64"/>
        <v>160500</v>
      </c>
      <c r="BF96" s="61"/>
      <c r="BG96" s="61"/>
      <c r="BH96" s="62">
        <f t="shared" si="65"/>
        <v>0</v>
      </c>
      <c r="BI96" s="62">
        <f t="shared" si="66"/>
        <v>0</v>
      </c>
      <c r="BJ96" s="62">
        <f t="shared" si="67"/>
        <v>0</v>
      </c>
      <c r="BK96" s="63">
        <f t="shared" si="68"/>
        <v>160409.27466666666</v>
      </c>
      <c r="BL96" s="48">
        <f t="shared" si="69"/>
        <v>163682.93333333332</v>
      </c>
      <c r="BM96" s="64"/>
      <c r="BN96" s="64"/>
      <c r="BO96" s="49"/>
    </row>
    <row r="97" spans="1:67" s="18" customFormat="1" ht="27" customHeight="1">
      <c r="A97" s="50" t="s">
        <v>157</v>
      </c>
      <c r="B97" s="51" t="s">
        <v>353</v>
      </c>
      <c r="C97" s="52"/>
      <c r="D97" s="53" t="s">
        <v>290</v>
      </c>
      <c r="E97" s="54">
        <v>42327</v>
      </c>
      <c r="F97" s="25">
        <v>42359</v>
      </c>
      <c r="G97" s="54" t="s">
        <v>299</v>
      </c>
      <c r="H97" s="55" t="s">
        <v>187</v>
      </c>
      <c r="I97" s="29">
        <v>133100</v>
      </c>
      <c r="J97" s="28">
        <v>42369</v>
      </c>
      <c r="K97" s="29">
        <v>11</v>
      </c>
      <c r="L97" s="29">
        <f t="shared" si="52"/>
        <v>48803.333333333336</v>
      </c>
      <c r="M97" s="56">
        <f>IF(ISNA(VLOOKUP(A97,[1]ABSENCE!$B$5:$AK$76,35,0))=TRUE,0,VLOOKUP(A97,[1]ABSENCE!$B$5:$AK$76,35,0))</f>
        <v>0</v>
      </c>
      <c r="N97" s="33">
        <f>IF(ISNA(VLOOKUP(A97,[1]ABSENCE!$B$5:$AK$76,36,0))=TRUE,0,VLOOKUP(A97,[1]ABSENCE!$B$5:$AK$76,36,0))</f>
        <v>0</v>
      </c>
      <c r="O97" s="31">
        <f>IF(ISNA(VLOOKUP($A97,[1]HS!$B$5:$T$122,3,0))=TRUE,0,VLOOKUP($A97,[1]HS!$B$5:$T$122,3,0))</f>
        <v>767.89938268043613</v>
      </c>
      <c r="P97" s="32"/>
      <c r="Q97" s="33"/>
      <c r="R97" s="32"/>
      <c r="S97" s="33"/>
      <c r="T97" s="32"/>
      <c r="U97" s="33"/>
      <c r="V97" s="32"/>
      <c r="W97" s="33"/>
      <c r="X97" s="32"/>
      <c r="Y97" s="33"/>
      <c r="Z97" s="34">
        <f t="shared" si="48"/>
        <v>0</v>
      </c>
      <c r="AA97" s="31">
        <f>+VLOOKUP(A97,[1]CONGE!$A$2:$W$113,20,0)</f>
        <v>0</v>
      </c>
      <c r="AB97" s="31">
        <f>+VLOOKUP(A97,[1]CONGE!$A$2:$W$113,21,0)</f>
        <v>0</v>
      </c>
      <c r="AC97" s="33">
        <f>IF(ISNA(VLOOKUP(A97,'[1]REPAS+DEPL'!$A$6:$M$1028,13,0))=TRUE,0,VLOOKUP(A97,'[1]REPAS+DEPL'!$A$6:$M$1028,13,0))</f>
        <v>0</v>
      </c>
      <c r="AD97" s="35"/>
      <c r="AE97" s="33">
        <f>IF(ISNA(VLOOKUP(A97,[1]Préavis!$A$2:$E$98,5,0))=TRUE,0,(VLOOKUP(A97,[1]Préavis!$A$2:$E$98,5,0)))</f>
        <v>0</v>
      </c>
      <c r="AF97" s="31">
        <f>+VLOOKUP(A97,[1]CONGE!$A$2:$V$112,18,0)</f>
        <v>0</v>
      </c>
      <c r="AG97" s="33">
        <f>IF(ISNA(VLOOKUP($A97,[1]CONGE!$A$2:$S$134,19,0))=TRUE,0,VLOOKUP($A97,[1]CONGE!$A$2:$S$134,19,0))</f>
        <v>0</v>
      </c>
      <c r="AH97" s="31">
        <f>+VLOOKUP(A97,[1]CONGE!$A$2:$W$113,22,0)</f>
        <v>0</v>
      </c>
      <c r="AI97" s="31">
        <f>+VLOOKUP(A97,[1]CONGE!$A$2:$W$113,23,0)</f>
        <v>0</v>
      </c>
      <c r="AJ97" s="36">
        <f t="shared" si="53"/>
        <v>48803.333333333336</v>
      </c>
      <c r="AK97" s="33">
        <f>IF(ISNA(VLOOKUP(A97,[1]AVANTAGE!$A$5:$T$118,19,0))=TRUE,0,VLOOKUP(A97,[1]AVANTAGE!$A$5:$T$118,19,0))</f>
        <v>0</v>
      </c>
      <c r="AL97" s="33">
        <f>IF(ISNA(VLOOKUP(A97,[1]AVANTAGE!$A$5:$T$118,20,0))=TRUE,0,VLOOKUP(A97,[1]AVANTAGE!$A$5:$T$118,20,0))</f>
        <v>0</v>
      </c>
      <c r="AM97" s="37">
        <f t="shared" si="54"/>
        <v>48803.333333333336</v>
      </c>
      <c r="AN97" s="38">
        <f t="shared" si="55"/>
        <v>488.03333333333336</v>
      </c>
      <c r="AO97" s="33">
        <f t="shared" si="56"/>
        <v>488.03333333333336</v>
      </c>
      <c r="AP97" s="38"/>
      <c r="AQ97" s="38">
        <f t="shared" si="57"/>
        <v>47800</v>
      </c>
      <c r="AR97" s="39">
        <f t="shared" si="58"/>
        <v>0</v>
      </c>
      <c r="AS97" s="40">
        <f>VLOOKUP(A97,'[1]Liste personnel'!$B$3:$R$187,16,0)</f>
        <v>0</v>
      </c>
      <c r="AT97" s="38">
        <f t="shared" si="59"/>
        <v>0</v>
      </c>
      <c r="AU97" s="38">
        <f t="shared" si="60"/>
        <v>0</v>
      </c>
      <c r="AV97" s="38">
        <f>IF(ISNA(VLOOKUP(A97,[1]AVANCE!$A$6:$E$122,4,0))=TRUE,0,VLOOKUP(A97,[1]AVANCE!$A$6:$E$122,4,0))</f>
        <v>0</v>
      </c>
      <c r="AW97" s="38">
        <f>IF(ISNA(VLOOKUP(A97,[1]AVANCE!$A$6:$E$122,5,0))=TRUE,0,VLOOKUP(A97,[1]AVANCE!$A$6:$E$122,5,0))</f>
        <v>0</v>
      </c>
      <c r="AX97" s="38">
        <f t="shared" si="61"/>
        <v>0</v>
      </c>
      <c r="AY97" s="57"/>
      <c r="AZ97" s="58">
        <f t="shared" si="62"/>
        <v>976.06666666666672</v>
      </c>
      <c r="BA97" s="38">
        <f t="shared" si="63"/>
        <v>47827.26666666667</v>
      </c>
      <c r="BB97" s="42"/>
      <c r="BC97" s="43"/>
      <c r="BD97" s="59">
        <f t="shared" si="70"/>
        <v>47827.26666666667</v>
      </c>
      <c r="BE97" s="60">
        <f t="shared" si="64"/>
        <v>47900</v>
      </c>
      <c r="BF97" s="61"/>
      <c r="BG97" s="61"/>
      <c r="BH97" s="62">
        <f t="shared" si="65"/>
        <v>0</v>
      </c>
      <c r="BI97" s="62">
        <f t="shared" si="66"/>
        <v>0</v>
      </c>
      <c r="BJ97" s="62">
        <f t="shared" si="67"/>
        <v>0</v>
      </c>
      <c r="BK97" s="63">
        <f t="shared" si="68"/>
        <v>47827.26666666667</v>
      </c>
      <c r="BL97" s="48">
        <f t="shared" si="69"/>
        <v>48803.333333333336</v>
      </c>
      <c r="BM97" s="64"/>
      <c r="BN97" s="64"/>
      <c r="BO97" s="49"/>
    </row>
    <row r="98" spans="1:67" s="18" customFormat="1" ht="27" customHeight="1">
      <c r="A98" s="50" t="s">
        <v>158</v>
      </c>
      <c r="B98" s="51" t="s">
        <v>354</v>
      </c>
      <c r="C98" s="52"/>
      <c r="D98" s="53" t="s">
        <v>290</v>
      </c>
      <c r="E98" s="54">
        <v>42327</v>
      </c>
      <c r="F98" s="25">
        <v>42359</v>
      </c>
      <c r="G98" s="54" t="s">
        <v>299</v>
      </c>
      <c r="H98" s="55" t="s">
        <v>187</v>
      </c>
      <c r="I98" s="29">
        <v>133100</v>
      </c>
      <c r="J98" s="28">
        <v>42369</v>
      </c>
      <c r="K98" s="29">
        <v>11</v>
      </c>
      <c r="L98" s="29">
        <f t="shared" si="52"/>
        <v>48803.333333333336</v>
      </c>
      <c r="M98" s="56">
        <f>IF(ISNA(VLOOKUP(A98,[1]ABSENCE!$B$5:$AK$76,35,0))=TRUE,0,VLOOKUP(A98,[1]ABSENCE!$B$5:$AK$76,35,0))</f>
        <v>0</v>
      </c>
      <c r="N98" s="33">
        <f>IF(ISNA(VLOOKUP(A98,[1]ABSENCE!$B$5:$AK$76,36,0))=TRUE,0,VLOOKUP(A98,[1]ABSENCE!$B$5:$AK$76,36,0))</f>
        <v>0</v>
      </c>
      <c r="O98" s="31">
        <f>IF(ISNA(VLOOKUP($A98,[1]HS!$B$5:$T$122,3,0))=TRUE,0,VLOOKUP($A98,[1]HS!$B$5:$T$122,3,0))</f>
        <v>767.89938268043613</v>
      </c>
      <c r="P98" s="32"/>
      <c r="Q98" s="33"/>
      <c r="R98" s="32"/>
      <c r="S98" s="33"/>
      <c r="T98" s="32"/>
      <c r="U98" s="33"/>
      <c r="V98" s="32"/>
      <c r="W98" s="33"/>
      <c r="X98" s="32"/>
      <c r="Y98" s="33"/>
      <c r="Z98" s="34">
        <f t="shared" si="48"/>
        <v>0</v>
      </c>
      <c r="AA98" s="31">
        <f>+VLOOKUP(A98,[1]CONGE!$A$2:$W$113,20,0)</f>
        <v>0</v>
      </c>
      <c r="AB98" s="31">
        <f>+VLOOKUP(A98,[1]CONGE!$A$2:$W$113,21,0)</f>
        <v>0</v>
      </c>
      <c r="AC98" s="33">
        <f>IF(ISNA(VLOOKUP(A98,'[1]REPAS+DEPL'!$A$6:$M$1028,13,0))=TRUE,0,VLOOKUP(A98,'[1]REPAS+DEPL'!$A$6:$M$1028,13,0))</f>
        <v>0</v>
      </c>
      <c r="AD98" s="35"/>
      <c r="AE98" s="33">
        <f>IF(ISNA(VLOOKUP(A98,[1]Préavis!$A$2:$E$98,5,0))=TRUE,0,(VLOOKUP(A98,[1]Préavis!$A$2:$E$98,5,0)))</f>
        <v>0</v>
      </c>
      <c r="AF98" s="31">
        <f>+VLOOKUP(A98,[1]CONGE!$A$2:$V$112,18,0)</f>
        <v>0</v>
      </c>
      <c r="AG98" s="33">
        <f>IF(ISNA(VLOOKUP($A98,[1]CONGE!$A$2:$S$134,19,0))=TRUE,0,VLOOKUP($A98,[1]CONGE!$A$2:$S$134,19,0))</f>
        <v>0</v>
      </c>
      <c r="AH98" s="31">
        <f>+VLOOKUP(A98,[1]CONGE!$A$2:$W$113,22,0)</f>
        <v>0</v>
      </c>
      <c r="AI98" s="31">
        <f>+VLOOKUP(A98,[1]CONGE!$A$2:$W$113,23,0)</f>
        <v>0</v>
      </c>
      <c r="AJ98" s="36">
        <f t="shared" si="53"/>
        <v>48803.333333333336</v>
      </c>
      <c r="AK98" s="33">
        <f>IF(ISNA(VLOOKUP(A98,[1]AVANTAGE!$A$5:$T$118,19,0))=TRUE,0,VLOOKUP(A98,[1]AVANTAGE!$A$5:$T$118,19,0))</f>
        <v>0</v>
      </c>
      <c r="AL98" s="33">
        <f>IF(ISNA(VLOOKUP(A98,[1]AVANTAGE!$A$5:$T$118,20,0))=TRUE,0,VLOOKUP(A98,[1]AVANTAGE!$A$5:$T$118,20,0))</f>
        <v>0</v>
      </c>
      <c r="AM98" s="37">
        <f t="shared" si="54"/>
        <v>48803.333333333336</v>
      </c>
      <c r="AN98" s="38">
        <f t="shared" si="55"/>
        <v>488.03333333333336</v>
      </c>
      <c r="AO98" s="33">
        <f t="shared" si="56"/>
        <v>488.03333333333336</v>
      </c>
      <c r="AP98" s="38"/>
      <c r="AQ98" s="38">
        <f t="shared" si="57"/>
        <v>47800</v>
      </c>
      <c r="AR98" s="39">
        <f t="shared" si="58"/>
        <v>0</v>
      </c>
      <c r="AS98" s="40">
        <f>VLOOKUP(A98,'[1]Liste personnel'!$B$3:$R$187,16,0)</f>
        <v>0</v>
      </c>
      <c r="AT98" s="38">
        <f t="shared" si="59"/>
        <v>0</v>
      </c>
      <c r="AU98" s="38">
        <f t="shared" si="60"/>
        <v>0</v>
      </c>
      <c r="AV98" s="38">
        <f>IF(ISNA(VLOOKUP(A98,[1]AVANCE!$A$6:$E$122,4,0))=TRUE,0,VLOOKUP(A98,[1]AVANCE!$A$6:$E$122,4,0))</f>
        <v>0</v>
      </c>
      <c r="AW98" s="38">
        <f>IF(ISNA(VLOOKUP(A98,[1]AVANCE!$A$6:$E$122,5,0))=TRUE,0,VLOOKUP(A98,[1]AVANCE!$A$6:$E$122,5,0))</f>
        <v>0</v>
      </c>
      <c r="AX98" s="38">
        <f t="shared" si="61"/>
        <v>0</v>
      </c>
      <c r="AY98" s="57"/>
      <c r="AZ98" s="58">
        <f t="shared" si="62"/>
        <v>976.06666666666672</v>
      </c>
      <c r="BA98" s="38">
        <f t="shared" si="63"/>
        <v>47827.26666666667</v>
      </c>
      <c r="BB98" s="42"/>
      <c r="BC98" s="43"/>
      <c r="BD98" s="59">
        <f t="shared" si="70"/>
        <v>47827.26666666667</v>
      </c>
      <c r="BE98" s="60">
        <f t="shared" si="64"/>
        <v>47900</v>
      </c>
      <c r="BF98" s="61"/>
      <c r="BG98" s="61"/>
      <c r="BH98" s="62">
        <f t="shared" si="65"/>
        <v>0</v>
      </c>
      <c r="BI98" s="62">
        <f t="shared" si="66"/>
        <v>0</v>
      </c>
      <c r="BJ98" s="62">
        <f t="shared" si="67"/>
        <v>0</v>
      </c>
      <c r="BK98" s="63">
        <f t="shared" si="68"/>
        <v>47827.26666666667</v>
      </c>
      <c r="BL98" s="48">
        <f t="shared" si="69"/>
        <v>48803.333333333336</v>
      </c>
      <c r="BM98" s="64"/>
      <c r="BN98" s="64"/>
      <c r="BO98" s="49"/>
    </row>
    <row r="99" spans="1:67" s="18" customFormat="1" ht="27" customHeight="1">
      <c r="A99" s="50" t="s">
        <v>159</v>
      </c>
      <c r="B99" s="51" t="s">
        <v>355</v>
      </c>
      <c r="C99" s="52"/>
      <c r="D99" s="53" t="s">
        <v>290</v>
      </c>
      <c r="E99" s="54">
        <v>42327</v>
      </c>
      <c r="F99" s="25">
        <v>42359</v>
      </c>
      <c r="G99" s="54" t="s">
        <v>299</v>
      </c>
      <c r="H99" s="55" t="s">
        <v>187</v>
      </c>
      <c r="I99" s="29">
        <v>133100</v>
      </c>
      <c r="J99" s="28">
        <v>42369</v>
      </c>
      <c r="K99" s="29">
        <v>11</v>
      </c>
      <c r="L99" s="29">
        <f t="shared" si="52"/>
        <v>48803.333333333336</v>
      </c>
      <c r="M99" s="56">
        <f>IF(ISNA(VLOOKUP(A99,[1]ABSENCE!$B$5:$AK$76,35,0))=TRUE,0,VLOOKUP(A99,[1]ABSENCE!$B$5:$AK$76,35,0))</f>
        <v>0</v>
      </c>
      <c r="N99" s="33">
        <f>IF(ISNA(VLOOKUP(A99,[1]ABSENCE!$B$5:$AK$76,36,0))=TRUE,0,VLOOKUP(A99,[1]ABSENCE!$B$5:$AK$76,36,0))</f>
        <v>0</v>
      </c>
      <c r="O99" s="31">
        <f>IF(ISNA(VLOOKUP($A99,[1]HS!$B$5:$T$122,3,0))=TRUE,0,VLOOKUP($A99,[1]HS!$B$5:$T$122,3,0))</f>
        <v>767.89938268043613</v>
      </c>
      <c r="P99" s="32"/>
      <c r="Q99" s="33"/>
      <c r="R99" s="32"/>
      <c r="S99" s="33"/>
      <c r="T99" s="32"/>
      <c r="U99" s="33"/>
      <c r="V99" s="32"/>
      <c r="W99" s="33"/>
      <c r="X99" s="32"/>
      <c r="Y99" s="33"/>
      <c r="Z99" s="34">
        <f t="shared" si="48"/>
        <v>0</v>
      </c>
      <c r="AA99" s="31">
        <f>+VLOOKUP(A99,[1]CONGE!$A$2:$W$113,20,0)</f>
        <v>0</v>
      </c>
      <c r="AB99" s="31">
        <f>+VLOOKUP(A99,[1]CONGE!$A$2:$W$113,21,0)</f>
        <v>0</v>
      </c>
      <c r="AC99" s="33">
        <f>IF(ISNA(VLOOKUP(A99,'[1]REPAS+DEPL'!$A$6:$M$1028,13,0))=TRUE,0,VLOOKUP(A99,'[1]REPAS+DEPL'!$A$6:$M$1028,13,0))</f>
        <v>0</v>
      </c>
      <c r="AD99" s="35"/>
      <c r="AE99" s="33">
        <f>IF(ISNA(VLOOKUP(A99,[1]Préavis!$A$2:$E$98,5,0))=TRUE,0,(VLOOKUP(A99,[1]Préavis!$A$2:$E$98,5,0)))</f>
        <v>0</v>
      </c>
      <c r="AF99" s="31">
        <f>+VLOOKUP(A99,[1]CONGE!$A$2:$V$112,18,0)</f>
        <v>0</v>
      </c>
      <c r="AG99" s="33">
        <f>IF(ISNA(VLOOKUP($A99,[1]CONGE!$A$2:$S$134,19,0))=TRUE,0,VLOOKUP($A99,[1]CONGE!$A$2:$S$134,19,0))</f>
        <v>0</v>
      </c>
      <c r="AH99" s="31">
        <f>+VLOOKUP(A99,[1]CONGE!$A$2:$W$113,22,0)</f>
        <v>0</v>
      </c>
      <c r="AI99" s="31">
        <f>+VLOOKUP(A99,[1]CONGE!$A$2:$W$113,23,0)</f>
        <v>0</v>
      </c>
      <c r="AJ99" s="36">
        <f t="shared" si="53"/>
        <v>48803.333333333336</v>
      </c>
      <c r="AK99" s="33">
        <f>IF(ISNA(VLOOKUP(A99,[1]AVANTAGE!$A$5:$T$118,19,0))=TRUE,0,VLOOKUP(A99,[1]AVANTAGE!$A$5:$T$118,19,0))</f>
        <v>0</v>
      </c>
      <c r="AL99" s="33">
        <f>IF(ISNA(VLOOKUP(A99,[1]AVANTAGE!$A$5:$T$118,20,0))=TRUE,0,VLOOKUP(A99,[1]AVANTAGE!$A$5:$T$118,20,0))</f>
        <v>0</v>
      </c>
      <c r="AM99" s="37">
        <f t="shared" si="54"/>
        <v>48803.333333333336</v>
      </c>
      <c r="AN99" s="38">
        <f t="shared" si="55"/>
        <v>488.03333333333336</v>
      </c>
      <c r="AO99" s="33">
        <f t="shared" si="56"/>
        <v>488.03333333333336</v>
      </c>
      <c r="AP99" s="38"/>
      <c r="AQ99" s="38">
        <f t="shared" si="57"/>
        <v>47800</v>
      </c>
      <c r="AR99" s="39">
        <f t="shared" si="58"/>
        <v>0</v>
      </c>
      <c r="AS99" s="40">
        <f>VLOOKUP(A99,'[1]Liste personnel'!$B$3:$R$187,16,0)</f>
        <v>0</v>
      </c>
      <c r="AT99" s="38">
        <f t="shared" si="59"/>
        <v>0</v>
      </c>
      <c r="AU99" s="38">
        <f t="shared" si="60"/>
        <v>0</v>
      </c>
      <c r="AV99" s="38">
        <f>IF(ISNA(VLOOKUP(A99,[1]AVANCE!$A$6:$E$122,4,0))=TRUE,0,VLOOKUP(A99,[1]AVANCE!$A$6:$E$122,4,0))</f>
        <v>0</v>
      </c>
      <c r="AW99" s="38">
        <f>IF(ISNA(VLOOKUP(A99,[1]AVANCE!$A$6:$E$122,5,0))=TRUE,0,VLOOKUP(A99,[1]AVANCE!$A$6:$E$122,5,0))</f>
        <v>0</v>
      </c>
      <c r="AX99" s="38">
        <f t="shared" si="61"/>
        <v>0</v>
      </c>
      <c r="AY99" s="57"/>
      <c r="AZ99" s="58">
        <f t="shared" si="62"/>
        <v>976.06666666666672</v>
      </c>
      <c r="BA99" s="38">
        <f t="shared" si="63"/>
        <v>47827.26666666667</v>
      </c>
      <c r="BB99" s="42"/>
      <c r="BC99" s="43"/>
      <c r="BD99" s="59">
        <f t="shared" si="70"/>
        <v>47827.26666666667</v>
      </c>
      <c r="BE99" s="60">
        <f t="shared" si="64"/>
        <v>47900</v>
      </c>
      <c r="BF99" s="61"/>
      <c r="BG99" s="61"/>
      <c r="BH99" s="62">
        <f t="shared" si="65"/>
        <v>0</v>
      </c>
      <c r="BI99" s="62">
        <f t="shared" si="66"/>
        <v>0</v>
      </c>
      <c r="BJ99" s="62">
        <f t="shared" si="67"/>
        <v>0</v>
      </c>
      <c r="BK99" s="63">
        <f t="shared" si="68"/>
        <v>47827.26666666667</v>
      </c>
      <c r="BL99" s="48">
        <f t="shared" si="69"/>
        <v>48803.333333333336</v>
      </c>
      <c r="BM99" s="64"/>
      <c r="BN99" s="64"/>
      <c r="BO99" s="49"/>
    </row>
    <row r="100" spans="1:67" s="18" customFormat="1" ht="27" customHeight="1">
      <c r="A100" s="50" t="s">
        <v>160</v>
      </c>
      <c r="B100" s="51" t="s">
        <v>356</v>
      </c>
      <c r="C100" s="52"/>
      <c r="D100" s="53" t="s">
        <v>290</v>
      </c>
      <c r="E100" s="54">
        <v>42327</v>
      </c>
      <c r="F100" s="25">
        <v>42359</v>
      </c>
      <c r="G100" s="54" t="s">
        <v>299</v>
      </c>
      <c r="H100" s="55" t="s">
        <v>187</v>
      </c>
      <c r="I100" s="29">
        <v>133100</v>
      </c>
      <c r="J100" s="28">
        <v>42369</v>
      </c>
      <c r="K100" s="29">
        <v>11</v>
      </c>
      <c r="L100" s="29">
        <f t="shared" si="52"/>
        <v>48803.333333333336</v>
      </c>
      <c r="M100" s="56">
        <f>IF(ISNA(VLOOKUP(A100,[1]ABSENCE!$B$5:$AK$76,35,0))=TRUE,0,VLOOKUP(A100,[1]ABSENCE!$B$5:$AK$76,35,0))</f>
        <v>0</v>
      </c>
      <c r="N100" s="33">
        <f>IF(ISNA(VLOOKUP(A100,[1]ABSENCE!$B$5:$AK$76,36,0))=TRUE,0,VLOOKUP(A100,[1]ABSENCE!$B$5:$AK$76,36,0))</f>
        <v>0</v>
      </c>
      <c r="O100" s="31">
        <f>IF(ISNA(VLOOKUP($A100,[1]HS!$B$5:$T$122,3,0))=TRUE,0,VLOOKUP($A100,[1]HS!$B$5:$T$122,3,0))</f>
        <v>767.89938268043613</v>
      </c>
      <c r="P100" s="32"/>
      <c r="Q100" s="33"/>
      <c r="R100" s="32"/>
      <c r="S100" s="33"/>
      <c r="T100" s="32"/>
      <c r="U100" s="33"/>
      <c r="V100" s="32"/>
      <c r="W100" s="33"/>
      <c r="X100" s="32"/>
      <c r="Y100" s="33"/>
      <c r="Z100" s="34">
        <f t="shared" si="48"/>
        <v>0</v>
      </c>
      <c r="AA100" s="31">
        <f>+VLOOKUP(A100,[1]CONGE!$A$2:$W$113,20,0)</f>
        <v>0</v>
      </c>
      <c r="AB100" s="31">
        <f>+VLOOKUP(A100,[1]CONGE!$A$2:$W$113,21,0)</f>
        <v>0</v>
      </c>
      <c r="AC100" s="33">
        <f>IF(ISNA(VLOOKUP(A100,'[1]REPAS+DEPL'!$A$6:$M$1028,13,0))=TRUE,0,VLOOKUP(A100,'[1]REPAS+DEPL'!$A$6:$M$1028,13,0))</f>
        <v>0</v>
      </c>
      <c r="AD100" s="35"/>
      <c r="AE100" s="33">
        <f>IF(ISNA(VLOOKUP(A100,[1]Préavis!$A$2:$E$98,5,0))=TRUE,0,(VLOOKUP(A100,[1]Préavis!$A$2:$E$98,5,0)))</f>
        <v>0</v>
      </c>
      <c r="AF100" s="31">
        <f>+VLOOKUP(A100,[1]CONGE!$A$2:$V$112,18,0)</f>
        <v>0</v>
      </c>
      <c r="AG100" s="33">
        <f>IF(ISNA(VLOOKUP($A100,[1]CONGE!$A$2:$S$134,19,0))=TRUE,0,VLOOKUP($A100,[1]CONGE!$A$2:$S$134,19,0))</f>
        <v>0</v>
      </c>
      <c r="AH100" s="31">
        <f>+VLOOKUP(A100,[1]CONGE!$A$2:$W$113,22,0)</f>
        <v>0</v>
      </c>
      <c r="AI100" s="31">
        <f>+VLOOKUP(A100,[1]CONGE!$A$2:$W$113,23,0)</f>
        <v>0</v>
      </c>
      <c r="AJ100" s="36">
        <f t="shared" si="53"/>
        <v>48803.333333333336</v>
      </c>
      <c r="AK100" s="33">
        <f>IF(ISNA(VLOOKUP(A100,[1]AVANTAGE!$A$5:$T$118,19,0))=TRUE,0,VLOOKUP(A100,[1]AVANTAGE!$A$5:$T$118,19,0))</f>
        <v>0</v>
      </c>
      <c r="AL100" s="33">
        <f>IF(ISNA(VLOOKUP(A100,[1]AVANTAGE!$A$5:$T$118,20,0))=TRUE,0,VLOOKUP(A100,[1]AVANTAGE!$A$5:$T$118,20,0))</f>
        <v>0</v>
      </c>
      <c r="AM100" s="37">
        <f t="shared" si="54"/>
        <v>48803.333333333336</v>
      </c>
      <c r="AN100" s="38">
        <f t="shared" si="55"/>
        <v>488.03333333333336</v>
      </c>
      <c r="AO100" s="33">
        <f t="shared" si="56"/>
        <v>488.03333333333336</v>
      </c>
      <c r="AP100" s="38"/>
      <c r="AQ100" s="38">
        <f t="shared" si="57"/>
        <v>47800</v>
      </c>
      <c r="AR100" s="39">
        <f t="shared" si="58"/>
        <v>0</v>
      </c>
      <c r="AS100" s="40">
        <f>VLOOKUP(A100,'[1]Liste personnel'!$B$3:$R$187,16,0)</f>
        <v>0</v>
      </c>
      <c r="AT100" s="38">
        <f t="shared" si="59"/>
        <v>0</v>
      </c>
      <c r="AU100" s="38">
        <f t="shared" si="60"/>
        <v>0</v>
      </c>
      <c r="AV100" s="38">
        <f>IF(ISNA(VLOOKUP(A100,[1]AVANCE!$A$6:$E$122,4,0))=TRUE,0,VLOOKUP(A100,[1]AVANCE!$A$6:$E$122,4,0))</f>
        <v>0</v>
      </c>
      <c r="AW100" s="38">
        <f>IF(ISNA(VLOOKUP(A100,[1]AVANCE!$A$6:$E$122,5,0))=TRUE,0,VLOOKUP(A100,[1]AVANCE!$A$6:$E$122,5,0))</f>
        <v>0</v>
      </c>
      <c r="AX100" s="38">
        <f t="shared" si="61"/>
        <v>0</v>
      </c>
      <c r="AY100" s="57"/>
      <c r="AZ100" s="58">
        <f t="shared" si="62"/>
        <v>976.06666666666672</v>
      </c>
      <c r="BA100" s="38">
        <f t="shared" si="63"/>
        <v>47827.26666666667</v>
      </c>
      <c r="BB100" s="42"/>
      <c r="BC100" s="43"/>
      <c r="BD100" s="59">
        <f t="shared" si="70"/>
        <v>47827.26666666667</v>
      </c>
      <c r="BE100" s="60">
        <f t="shared" si="64"/>
        <v>47900</v>
      </c>
      <c r="BF100" s="61"/>
      <c r="BG100" s="61"/>
      <c r="BH100" s="62">
        <f t="shared" si="65"/>
        <v>0</v>
      </c>
      <c r="BI100" s="62">
        <f t="shared" si="66"/>
        <v>0</v>
      </c>
      <c r="BJ100" s="62">
        <f t="shared" si="67"/>
        <v>0</v>
      </c>
      <c r="BK100" s="63">
        <f t="shared" si="68"/>
        <v>47827.26666666667</v>
      </c>
      <c r="BL100" s="48">
        <f t="shared" si="69"/>
        <v>48803.333333333336</v>
      </c>
      <c r="BM100" s="64"/>
      <c r="BN100" s="64"/>
      <c r="BO100" s="49"/>
    </row>
    <row r="101" spans="1:67" s="18" customFormat="1" ht="27" customHeight="1">
      <c r="A101" s="50" t="s">
        <v>161</v>
      </c>
      <c r="B101" s="51" t="s">
        <v>357</v>
      </c>
      <c r="C101" s="52"/>
      <c r="D101" s="53" t="s">
        <v>290</v>
      </c>
      <c r="E101" s="54">
        <v>42333</v>
      </c>
      <c r="F101" s="25">
        <v>42359</v>
      </c>
      <c r="G101" s="54" t="s">
        <v>299</v>
      </c>
      <c r="H101" s="55" t="s">
        <v>187</v>
      </c>
      <c r="I101" s="29">
        <v>133100</v>
      </c>
      <c r="J101" s="28">
        <v>42369</v>
      </c>
      <c r="K101" s="29">
        <v>11</v>
      </c>
      <c r="L101" s="29">
        <f t="shared" si="52"/>
        <v>48803.333333333336</v>
      </c>
      <c r="M101" s="56">
        <f>IF(ISNA(VLOOKUP(A101,[1]ABSENCE!$B$5:$AK$76,35,0))=TRUE,0,VLOOKUP(A101,[1]ABSENCE!$B$5:$AK$76,35,0))</f>
        <v>0</v>
      </c>
      <c r="N101" s="33">
        <f>IF(ISNA(VLOOKUP(A101,[1]ABSENCE!$B$5:$AK$76,36,0))=TRUE,0,VLOOKUP(A101,[1]ABSENCE!$B$5:$AK$76,36,0))</f>
        <v>0</v>
      </c>
      <c r="O101" s="31">
        <f>IF(ISNA(VLOOKUP($A101,[1]HS!$B$5:$T$122,3,0))=TRUE,0,VLOOKUP($A101,[1]HS!$B$5:$T$122,3,0))</f>
        <v>767.89938268043613</v>
      </c>
      <c r="P101" s="32"/>
      <c r="Q101" s="33"/>
      <c r="R101" s="32"/>
      <c r="S101" s="33"/>
      <c r="T101" s="32"/>
      <c r="U101" s="33"/>
      <c r="V101" s="32"/>
      <c r="W101" s="33"/>
      <c r="X101" s="32"/>
      <c r="Y101" s="33"/>
      <c r="Z101" s="34">
        <f t="shared" si="48"/>
        <v>0</v>
      </c>
      <c r="AA101" s="31">
        <f>+VLOOKUP(A101,[1]CONGE!$A$2:$W$113,20,0)</f>
        <v>0</v>
      </c>
      <c r="AB101" s="31">
        <f>+VLOOKUP(A101,[1]CONGE!$A$2:$W$113,21,0)</f>
        <v>0</v>
      </c>
      <c r="AC101" s="33">
        <f>IF(ISNA(VLOOKUP(A101,'[1]REPAS+DEPL'!$A$6:$M$1028,13,0))=TRUE,0,VLOOKUP(A101,'[1]REPAS+DEPL'!$A$6:$M$1028,13,0))</f>
        <v>0</v>
      </c>
      <c r="AD101" s="35"/>
      <c r="AE101" s="33">
        <f>IF(ISNA(VLOOKUP(A101,[1]Préavis!$A$2:$E$98,5,0))=TRUE,0,(VLOOKUP(A101,[1]Préavis!$A$2:$E$98,5,0)))</f>
        <v>0</v>
      </c>
      <c r="AF101" s="31">
        <f>+VLOOKUP(A101,[1]CONGE!$A$2:$V$112,18,0)</f>
        <v>0</v>
      </c>
      <c r="AG101" s="33">
        <f>IF(ISNA(VLOOKUP($A101,[1]CONGE!$A$2:$S$134,19,0))=TRUE,0,VLOOKUP($A101,[1]CONGE!$A$2:$S$134,19,0))</f>
        <v>0</v>
      </c>
      <c r="AH101" s="31">
        <f>+VLOOKUP(A101,[1]CONGE!$A$2:$W$113,22,0)</f>
        <v>0</v>
      </c>
      <c r="AI101" s="31">
        <f>+VLOOKUP(A101,[1]CONGE!$A$2:$W$113,23,0)</f>
        <v>0</v>
      </c>
      <c r="AJ101" s="36">
        <f t="shared" si="53"/>
        <v>48803.333333333336</v>
      </c>
      <c r="AK101" s="33">
        <f>IF(ISNA(VLOOKUP(A101,[1]AVANTAGE!$A$5:$T$118,19,0))=TRUE,0,VLOOKUP(A101,[1]AVANTAGE!$A$5:$T$118,19,0))</f>
        <v>0</v>
      </c>
      <c r="AL101" s="33">
        <f>IF(ISNA(VLOOKUP(A101,[1]AVANTAGE!$A$5:$T$118,20,0))=TRUE,0,VLOOKUP(A101,[1]AVANTAGE!$A$5:$T$118,20,0))</f>
        <v>0</v>
      </c>
      <c r="AM101" s="37">
        <f t="shared" si="54"/>
        <v>48803.333333333336</v>
      </c>
      <c r="AN101" s="38">
        <f t="shared" si="55"/>
        <v>488.03333333333336</v>
      </c>
      <c r="AO101" s="33">
        <f t="shared" si="56"/>
        <v>488.03333333333336</v>
      </c>
      <c r="AP101" s="38"/>
      <c r="AQ101" s="38">
        <f t="shared" si="57"/>
        <v>47800</v>
      </c>
      <c r="AR101" s="39">
        <f t="shared" si="58"/>
        <v>0</v>
      </c>
      <c r="AS101" s="40">
        <f>VLOOKUP(A101,'[1]Liste personnel'!$B$3:$R$187,16,0)</f>
        <v>0</v>
      </c>
      <c r="AT101" s="38">
        <f t="shared" si="59"/>
        <v>0</v>
      </c>
      <c r="AU101" s="38">
        <f t="shared" si="60"/>
        <v>0</v>
      </c>
      <c r="AV101" s="38">
        <f>IF(ISNA(VLOOKUP(A101,[1]AVANCE!$A$6:$E$122,4,0))=TRUE,0,VLOOKUP(A101,[1]AVANCE!$A$6:$E$122,4,0))</f>
        <v>0</v>
      </c>
      <c r="AW101" s="38">
        <f>IF(ISNA(VLOOKUP(A101,[1]AVANCE!$A$6:$E$122,5,0))=TRUE,0,VLOOKUP(A101,[1]AVANCE!$A$6:$E$122,5,0))</f>
        <v>0</v>
      </c>
      <c r="AX101" s="38">
        <f t="shared" si="61"/>
        <v>0</v>
      </c>
      <c r="AY101" s="57"/>
      <c r="AZ101" s="58">
        <f t="shared" si="62"/>
        <v>976.06666666666672</v>
      </c>
      <c r="BA101" s="38">
        <f t="shared" si="63"/>
        <v>47827.26666666667</v>
      </c>
      <c r="BB101" s="42"/>
      <c r="BC101" s="43"/>
      <c r="BD101" s="59">
        <f t="shared" si="70"/>
        <v>47827.26666666667</v>
      </c>
      <c r="BE101" s="60">
        <f t="shared" si="64"/>
        <v>47900</v>
      </c>
      <c r="BF101" s="61"/>
      <c r="BG101" s="61"/>
      <c r="BH101" s="62">
        <f t="shared" si="65"/>
        <v>0</v>
      </c>
      <c r="BI101" s="62">
        <f t="shared" si="66"/>
        <v>0</v>
      </c>
      <c r="BJ101" s="62">
        <f t="shared" si="67"/>
        <v>0</v>
      </c>
      <c r="BK101" s="63">
        <f t="shared" si="68"/>
        <v>47827.26666666667</v>
      </c>
      <c r="BL101" s="48">
        <f t="shared" si="69"/>
        <v>48803.333333333336</v>
      </c>
      <c r="BM101" s="64"/>
      <c r="BN101" s="64"/>
      <c r="BO101" s="49"/>
    </row>
    <row r="102" spans="1:67" s="18" customFormat="1" ht="27" customHeight="1">
      <c r="A102" s="50" t="s">
        <v>162</v>
      </c>
      <c r="B102" s="51" t="s">
        <v>358</v>
      </c>
      <c r="C102" s="52"/>
      <c r="D102" s="53" t="s">
        <v>290</v>
      </c>
      <c r="E102" s="54">
        <v>42333</v>
      </c>
      <c r="F102" s="25">
        <v>42359</v>
      </c>
      <c r="G102" s="54" t="s">
        <v>299</v>
      </c>
      <c r="H102" s="55" t="s">
        <v>187</v>
      </c>
      <c r="I102" s="29">
        <v>133100</v>
      </c>
      <c r="J102" s="28">
        <v>42369</v>
      </c>
      <c r="K102" s="29">
        <v>11</v>
      </c>
      <c r="L102" s="29">
        <f t="shared" si="52"/>
        <v>48803.333333333336</v>
      </c>
      <c r="M102" s="56">
        <f>IF(ISNA(VLOOKUP(A102,[1]ABSENCE!$B$5:$AK$76,35,0))=TRUE,0,VLOOKUP(A102,[1]ABSENCE!$B$5:$AK$76,35,0))</f>
        <v>0</v>
      </c>
      <c r="N102" s="33">
        <f>IF(ISNA(VLOOKUP(A102,[1]ABSENCE!$B$5:$AK$76,36,0))=TRUE,0,VLOOKUP(A102,[1]ABSENCE!$B$5:$AK$76,36,0))</f>
        <v>0</v>
      </c>
      <c r="O102" s="31">
        <f>IF(ISNA(VLOOKUP($A102,[1]HS!$B$5:$T$122,3,0))=TRUE,0,VLOOKUP($A102,[1]HS!$B$5:$T$122,3,0))</f>
        <v>767.89938268043613</v>
      </c>
      <c r="P102" s="32"/>
      <c r="Q102" s="33"/>
      <c r="R102" s="32"/>
      <c r="S102" s="33"/>
      <c r="T102" s="32"/>
      <c r="U102" s="33"/>
      <c r="V102" s="32"/>
      <c r="W102" s="33"/>
      <c r="X102" s="32"/>
      <c r="Y102" s="33"/>
      <c r="Z102" s="34">
        <f t="shared" si="48"/>
        <v>0</v>
      </c>
      <c r="AA102" s="31">
        <f>+VLOOKUP(A102,[1]CONGE!$A$2:$W$113,20,0)</f>
        <v>0</v>
      </c>
      <c r="AB102" s="31">
        <f>+VLOOKUP(A102,[1]CONGE!$A$2:$W$113,21,0)</f>
        <v>0</v>
      </c>
      <c r="AC102" s="33">
        <f>IF(ISNA(VLOOKUP(A102,'[1]REPAS+DEPL'!$A$6:$M$1028,13,0))=TRUE,0,VLOOKUP(A102,'[1]REPAS+DEPL'!$A$6:$M$1028,13,0))</f>
        <v>0</v>
      </c>
      <c r="AD102" s="35"/>
      <c r="AE102" s="33">
        <f>IF(ISNA(VLOOKUP(A102,[1]Préavis!$A$2:$E$98,5,0))=TRUE,0,(VLOOKUP(A102,[1]Préavis!$A$2:$E$98,5,0)))</f>
        <v>0</v>
      </c>
      <c r="AF102" s="31">
        <f>+VLOOKUP(A102,[1]CONGE!$A$2:$V$112,18,0)</f>
        <v>0</v>
      </c>
      <c r="AG102" s="33">
        <f>IF(ISNA(VLOOKUP($A102,[1]CONGE!$A$2:$S$134,19,0))=TRUE,0,VLOOKUP($A102,[1]CONGE!$A$2:$S$134,19,0))</f>
        <v>0</v>
      </c>
      <c r="AH102" s="31">
        <f>+VLOOKUP(A102,[1]CONGE!$A$2:$W$113,22,0)</f>
        <v>0</v>
      </c>
      <c r="AI102" s="31">
        <f>+VLOOKUP(A102,[1]CONGE!$A$2:$W$113,23,0)</f>
        <v>0</v>
      </c>
      <c r="AJ102" s="36">
        <f t="shared" si="53"/>
        <v>48803.333333333336</v>
      </c>
      <c r="AK102" s="33">
        <f>IF(ISNA(VLOOKUP(A102,[1]AVANTAGE!$A$5:$T$118,19,0))=TRUE,0,VLOOKUP(A102,[1]AVANTAGE!$A$5:$T$118,19,0))</f>
        <v>0</v>
      </c>
      <c r="AL102" s="33">
        <f>IF(ISNA(VLOOKUP(A102,[1]AVANTAGE!$A$5:$T$118,20,0))=TRUE,0,VLOOKUP(A102,[1]AVANTAGE!$A$5:$T$118,20,0))</f>
        <v>0</v>
      </c>
      <c r="AM102" s="37">
        <f t="shared" si="54"/>
        <v>48803.333333333336</v>
      </c>
      <c r="AN102" s="38">
        <f t="shared" si="55"/>
        <v>488.03333333333336</v>
      </c>
      <c r="AO102" s="33">
        <f t="shared" si="56"/>
        <v>488.03333333333336</v>
      </c>
      <c r="AP102" s="38"/>
      <c r="AQ102" s="38">
        <f t="shared" si="57"/>
        <v>47800</v>
      </c>
      <c r="AR102" s="39">
        <f t="shared" si="58"/>
        <v>0</v>
      </c>
      <c r="AS102" s="40">
        <f>VLOOKUP(A102,'[1]Liste personnel'!$B$3:$R$187,16,0)</f>
        <v>0</v>
      </c>
      <c r="AT102" s="38">
        <f t="shared" si="59"/>
        <v>0</v>
      </c>
      <c r="AU102" s="38">
        <f t="shared" si="60"/>
        <v>0</v>
      </c>
      <c r="AV102" s="38">
        <f>IF(ISNA(VLOOKUP(A102,[1]AVANCE!$A$6:$E$122,4,0))=TRUE,0,VLOOKUP(A102,[1]AVANCE!$A$6:$E$122,4,0))</f>
        <v>0</v>
      </c>
      <c r="AW102" s="38">
        <f>IF(ISNA(VLOOKUP(A102,[1]AVANCE!$A$6:$E$122,5,0))=TRUE,0,VLOOKUP(A102,[1]AVANCE!$A$6:$E$122,5,0))</f>
        <v>0</v>
      </c>
      <c r="AX102" s="38">
        <f t="shared" si="61"/>
        <v>0</v>
      </c>
      <c r="AY102" s="57"/>
      <c r="AZ102" s="58">
        <f t="shared" si="62"/>
        <v>976.06666666666672</v>
      </c>
      <c r="BA102" s="38">
        <f t="shared" si="63"/>
        <v>47827.26666666667</v>
      </c>
      <c r="BB102" s="42"/>
      <c r="BC102" s="43"/>
      <c r="BD102" s="59">
        <f>+BA102+BB102+BC102</f>
        <v>47827.26666666667</v>
      </c>
      <c r="BE102" s="60">
        <f t="shared" si="64"/>
        <v>47900</v>
      </c>
      <c r="BF102" s="61"/>
      <c r="BG102" s="61"/>
      <c r="BH102" s="62">
        <f t="shared" si="65"/>
        <v>0</v>
      </c>
      <c r="BI102" s="62">
        <f t="shared" si="66"/>
        <v>0</v>
      </c>
      <c r="BJ102" s="62">
        <f t="shared" si="67"/>
        <v>0</v>
      </c>
      <c r="BK102" s="63">
        <f t="shared" si="68"/>
        <v>47827.26666666667</v>
      </c>
      <c r="BL102" s="48">
        <f t="shared" si="69"/>
        <v>48803.333333333336</v>
      </c>
      <c r="BM102" s="64"/>
      <c r="BN102" s="64"/>
      <c r="BO102" s="49"/>
    </row>
    <row r="103" spans="1:67" s="18" customFormat="1" ht="27" customHeight="1">
      <c r="A103" s="50" t="s">
        <v>163</v>
      </c>
      <c r="B103" s="51" t="s">
        <v>359</v>
      </c>
      <c r="C103" s="52"/>
      <c r="D103" s="53" t="s">
        <v>290</v>
      </c>
      <c r="E103" s="54">
        <v>42333</v>
      </c>
      <c r="F103" s="25">
        <v>42359</v>
      </c>
      <c r="G103" s="54" t="s">
        <v>299</v>
      </c>
      <c r="H103" s="55" t="s">
        <v>187</v>
      </c>
      <c r="I103" s="29">
        <v>133100</v>
      </c>
      <c r="J103" s="28">
        <v>42369</v>
      </c>
      <c r="K103" s="29">
        <v>11</v>
      </c>
      <c r="L103" s="29">
        <f t="shared" si="52"/>
        <v>48803.333333333336</v>
      </c>
      <c r="M103" s="56">
        <f>IF(ISNA(VLOOKUP(A103,[1]ABSENCE!$B$5:$AK$76,35,0))=TRUE,0,VLOOKUP(A103,[1]ABSENCE!$B$5:$AK$76,35,0))</f>
        <v>0</v>
      </c>
      <c r="N103" s="33">
        <f>IF(ISNA(VLOOKUP(A103,[1]ABSENCE!$B$5:$AK$76,36,0))=TRUE,0,VLOOKUP(A103,[1]ABSENCE!$B$5:$AK$76,36,0))</f>
        <v>0</v>
      </c>
      <c r="O103" s="31">
        <f>IF(ISNA(VLOOKUP($A103,[1]HS!$B$5:$T$122,3,0))=TRUE,0,VLOOKUP($A103,[1]HS!$B$5:$T$122,3,0))</f>
        <v>767.89938268043613</v>
      </c>
      <c r="P103" s="32"/>
      <c r="Q103" s="33"/>
      <c r="R103" s="32"/>
      <c r="S103" s="33"/>
      <c r="T103" s="32"/>
      <c r="U103" s="33"/>
      <c r="V103" s="32"/>
      <c r="W103" s="33"/>
      <c r="X103" s="32"/>
      <c r="Y103" s="33"/>
      <c r="Z103" s="34">
        <f t="shared" si="48"/>
        <v>0</v>
      </c>
      <c r="AA103" s="31">
        <f>+VLOOKUP(A103,[1]CONGE!$A$2:$W$113,20,0)</f>
        <v>0</v>
      </c>
      <c r="AB103" s="31">
        <f>+VLOOKUP(A103,[1]CONGE!$A$2:$W$113,21,0)</f>
        <v>0</v>
      </c>
      <c r="AC103" s="33">
        <f>IF(ISNA(VLOOKUP(A103,'[1]REPAS+DEPL'!$A$6:$M$1028,13,0))=TRUE,0,VLOOKUP(A103,'[1]REPAS+DEPL'!$A$6:$M$1028,13,0))</f>
        <v>0</v>
      </c>
      <c r="AD103" s="35"/>
      <c r="AE103" s="33">
        <f>IF(ISNA(VLOOKUP(A103,[1]Préavis!$A$2:$E$98,5,0))=TRUE,0,(VLOOKUP(A103,[1]Préavis!$A$2:$E$98,5,0)))</f>
        <v>0</v>
      </c>
      <c r="AF103" s="31">
        <f>+VLOOKUP(A103,[1]CONGE!$A$2:$V$112,18,0)</f>
        <v>0</v>
      </c>
      <c r="AG103" s="33">
        <f>IF(ISNA(VLOOKUP($A103,[1]CONGE!$A$2:$S$134,19,0))=TRUE,0,VLOOKUP($A103,[1]CONGE!$A$2:$S$134,19,0))</f>
        <v>0</v>
      </c>
      <c r="AH103" s="31">
        <f>+VLOOKUP(A103,[1]CONGE!$A$2:$W$113,22,0)</f>
        <v>0</v>
      </c>
      <c r="AI103" s="31">
        <f>+VLOOKUP(A103,[1]CONGE!$A$2:$W$113,23,0)</f>
        <v>0</v>
      </c>
      <c r="AJ103" s="36">
        <f t="shared" si="53"/>
        <v>48803.333333333336</v>
      </c>
      <c r="AK103" s="33">
        <f>IF(ISNA(VLOOKUP(A103,[1]AVANTAGE!$A$5:$T$118,19,0))=TRUE,0,VLOOKUP(A103,[1]AVANTAGE!$A$5:$T$118,19,0))</f>
        <v>0</v>
      </c>
      <c r="AL103" s="33">
        <f>IF(ISNA(VLOOKUP(A103,[1]AVANTAGE!$A$5:$T$118,20,0))=TRUE,0,VLOOKUP(A103,[1]AVANTAGE!$A$5:$T$118,20,0))</f>
        <v>0</v>
      </c>
      <c r="AM103" s="37">
        <f t="shared" si="54"/>
        <v>48803.333333333336</v>
      </c>
      <c r="AN103" s="38">
        <f t="shared" si="55"/>
        <v>488.03333333333336</v>
      </c>
      <c r="AO103" s="33">
        <f t="shared" si="56"/>
        <v>488.03333333333336</v>
      </c>
      <c r="AP103" s="38"/>
      <c r="AQ103" s="38">
        <f t="shared" si="57"/>
        <v>47800</v>
      </c>
      <c r="AR103" s="39">
        <f t="shared" si="58"/>
        <v>0</v>
      </c>
      <c r="AS103" s="40">
        <f>VLOOKUP(A103,'[1]Liste personnel'!$B$3:$R$187,16,0)</f>
        <v>0</v>
      </c>
      <c r="AT103" s="38">
        <f t="shared" si="59"/>
        <v>0</v>
      </c>
      <c r="AU103" s="38">
        <f t="shared" si="60"/>
        <v>0</v>
      </c>
      <c r="AV103" s="38">
        <f>IF(ISNA(VLOOKUP(A103,[1]AVANCE!$A$6:$E$122,4,0))=TRUE,0,VLOOKUP(A103,[1]AVANCE!$A$6:$E$122,4,0))</f>
        <v>0</v>
      </c>
      <c r="AW103" s="38">
        <f>IF(ISNA(VLOOKUP(A103,[1]AVANCE!$A$6:$E$122,5,0))=TRUE,0,VLOOKUP(A103,[1]AVANCE!$A$6:$E$122,5,0))</f>
        <v>0</v>
      </c>
      <c r="AX103" s="38">
        <f t="shared" si="61"/>
        <v>0</v>
      </c>
      <c r="AY103" s="57"/>
      <c r="AZ103" s="58">
        <f t="shared" si="62"/>
        <v>976.06666666666672</v>
      </c>
      <c r="BA103" s="38">
        <f t="shared" si="63"/>
        <v>47827.26666666667</v>
      </c>
      <c r="BB103" s="42"/>
      <c r="BC103" s="43"/>
      <c r="BD103" s="59">
        <f>+BA103+BB103+BC103</f>
        <v>47827.26666666667</v>
      </c>
      <c r="BE103" s="60">
        <f t="shared" si="64"/>
        <v>47900</v>
      </c>
      <c r="BF103" s="61"/>
      <c r="BG103" s="61"/>
      <c r="BH103" s="62">
        <f t="shared" si="65"/>
        <v>0</v>
      </c>
      <c r="BI103" s="62">
        <f t="shared" si="66"/>
        <v>0</v>
      </c>
      <c r="BJ103" s="62">
        <f t="shared" si="67"/>
        <v>0</v>
      </c>
      <c r="BK103" s="63">
        <f t="shared" si="68"/>
        <v>47827.26666666667</v>
      </c>
      <c r="BL103" s="48">
        <f t="shared" si="69"/>
        <v>48803.333333333336</v>
      </c>
      <c r="BM103" s="64"/>
      <c r="BN103" s="64"/>
      <c r="BO103" s="49"/>
    </row>
    <row r="104" spans="1:67" s="18" customFormat="1" ht="27" customHeight="1">
      <c r="A104" s="50" t="s">
        <v>164</v>
      </c>
      <c r="B104" s="51" t="s">
        <v>360</v>
      </c>
      <c r="C104" s="52"/>
      <c r="D104" s="53" t="s">
        <v>290</v>
      </c>
      <c r="E104" s="54">
        <v>42339</v>
      </c>
      <c r="F104" s="25">
        <v>42359</v>
      </c>
      <c r="G104" s="54" t="s">
        <v>299</v>
      </c>
      <c r="H104" s="55" t="s">
        <v>187</v>
      </c>
      <c r="I104" s="29">
        <v>133100</v>
      </c>
      <c r="J104" s="28">
        <v>42369</v>
      </c>
      <c r="K104" s="29">
        <v>11</v>
      </c>
      <c r="L104" s="29">
        <f t="shared" si="52"/>
        <v>48803.333333333336</v>
      </c>
      <c r="M104" s="56">
        <f>IF(ISNA(VLOOKUP(A104,[1]ABSENCE!$B$5:$AK$76,35,0))=TRUE,0,VLOOKUP(A104,[1]ABSENCE!$B$5:$AK$76,35,0))</f>
        <v>0</v>
      </c>
      <c r="N104" s="33">
        <f>IF(ISNA(VLOOKUP(A104,[1]ABSENCE!$B$5:$AK$76,36,0))=TRUE,0,VLOOKUP(A104,[1]ABSENCE!$B$5:$AK$76,36,0))</f>
        <v>0</v>
      </c>
      <c r="O104" s="31">
        <f>IF(ISNA(VLOOKUP($A104,[1]HS!$B$5:$T$122,3,0))=TRUE,0,VLOOKUP($A104,[1]HS!$B$5:$T$122,3,0))</f>
        <v>767.89938268043613</v>
      </c>
      <c r="P104" s="32"/>
      <c r="Q104" s="33"/>
      <c r="R104" s="32"/>
      <c r="S104" s="33"/>
      <c r="T104" s="32"/>
      <c r="U104" s="33"/>
      <c r="V104" s="32"/>
      <c r="W104" s="33"/>
      <c r="X104" s="32"/>
      <c r="Y104" s="33"/>
      <c r="Z104" s="34">
        <f t="shared" si="48"/>
        <v>0</v>
      </c>
      <c r="AA104" s="31">
        <f>+VLOOKUP(A104,[1]CONGE!$A$2:$W$113,20,0)</f>
        <v>0</v>
      </c>
      <c r="AB104" s="31">
        <f>+VLOOKUP(A104,[1]CONGE!$A$2:$W$113,21,0)</f>
        <v>0</v>
      </c>
      <c r="AC104" s="33">
        <f>IF(ISNA(VLOOKUP(A104,'[1]REPAS+DEPL'!$A$6:$M$1028,13,0))=TRUE,0,VLOOKUP(A104,'[1]REPAS+DEPL'!$A$6:$M$1028,13,0))</f>
        <v>0</v>
      </c>
      <c r="AD104" s="35"/>
      <c r="AE104" s="33">
        <f>IF(ISNA(VLOOKUP(A104,[1]Préavis!$A$2:$E$98,5,0))=TRUE,0,(VLOOKUP(A104,[1]Préavis!$A$2:$E$98,5,0)))</f>
        <v>0</v>
      </c>
      <c r="AF104" s="31">
        <f>+VLOOKUP(A104,[1]CONGE!$A$2:$V$112,18,0)</f>
        <v>0</v>
      </c>
      <c r="AG104" s="33">
        <f>IF(ISNA(VLOOKUP($A104,[1]CONGE!$A$2:$S$134,19,0))=TRUE,0,VLOOKUP($A104,[1]CONGE!$A$2:$S$134,19,0))</f>
        <v>0</v>
      </c>
      <c r="AH104" s="31">
        <f>+VLOOKUP(A104,[1]CONGE!$A$2:$W$113,22,0)</f>
        <v>0</v>
      </c>
      <c r="AI104" s="31">
        <f>+VLOOKUP(A104,[1]CONGE!$A$2:$W$113,23,0)</f>
        <v>0</v>
      </c>
      <c r="AJ104" s="36">
        <f t="shared" si="53"/>
        <v>48803.333333333336</v>
      </c>
      <c r="AK104" s="33">
        <f>IF(ISNA(VLOOKUP(A104,[1]AVANTAGE!$A$5:$T$118,19,0))=TRUE,0,VLOOKUP(A104,[1]AVANTAGE!$A$5:$T$118,19,0))</f>
        <v>0</v>
      </c>
      <c r="AL104" s="33">
        <f>IF(ISNA(VLOOKUP(A104,[1]AVANTAGE!$A$5:$T$118,20,0))=TRUE,0,VLOOKUP(A104,[1]AVANTAGE!$A$5:$T$118,20,0))</f>
        <v>0</v>
      </c>
      <c r="AM104" s="37">
        <f t="shared" si="54"/>
        <v>48803.333333333336</v>
      </c>
      <c r="AN104" s="38">
        <f t="shared" si="55"/>
        <v>488.03333333333336</v>
      </c>
      <c r="AO104" s="33">
        <f t="shared" si="56"/>
        <v>488.03333333333336</v>
      </c>
      <c r="AP104" s="38"/>
      <c r="AQ104" s="38">
        <f t="shared" si="57"/>
        <v>47800</v>
      </c>
      <c r="AR104" s="39">
        <f t="shared" si="58"/>
        <v>0</v>
      </c>
      <c r="AS104" s="40">
        <f>VLOOKUP(A104,'[1]Liste personnel'!$B$3:$R$187,16,0)</f>
        <v>0</v>
      </c>
      <c r="AT104" s="38">
        <f t="shared" si="59"/>
        <v>0</v>
      </c>
      <c r="AU104" s="38">
        <f t="shared" si="60"/>
        <v>0</v>
      </c>
      <c r="AV104" s="38">
        <f>IF(ISNA(VLOOKUP(A104,[1]AVANCE!$A$6:$E$122,4,0))=TRUE,0,VLOOKUP(A104,[1]AVANCE!$A$6:$E$122,4,0))</f>
        <v>0</v>
      </c>
      <c r="AW104" s="38">
        <f>IF(ISNA(VLOOKUP(A104,[1]AVANCE!$A$6:$E$122,5,0))=TRUE,0,VLOOKUP(A104,[1]AVANCE!$A$6:$E$122,5,0))</f>
        <v>0</v>
      </c>
      <c r="AX104" s="38">
        <f t="shared" si="61"/>
        <v>0</v>
      </c>
      <c r="AY104" s="57"/>
      <c r="AZ104" s="58">
        <f t="shared" si="62"/>
        <v>976.06666666666672</v>
      </c>
      <c r="BA104" s="38">
        <f t="shared" si="63"/>
        <v>47827.26666666667</v>
      </c>
      <c r="BB104" s="42"/>
      <c r="BC104" s="43"/>
      <c r="BD104" s="59">
        <f>+BA104+BB104+BC104</f>
        <v>47827.26666666667</v>
      </c>
      <c r="BE104" s="60">
        <f t="shared" si="64"/>
        <v>47900</v>
      </c>
      <c r="BF104" s="61"/>
      <c r="BG104" s="61"/>
      <c r="BH104" s="62">
        <f t="shared" si="65"/>
        <v>0</v>
      </c>
      <c r="BI104" s="62">
        <f t="shared" si="66"/>
        <v>0</v>
      </c>
      <c r="BJ104" s="62">
        <f t="shared" si="67"/>
        <v>0</v>
      </c>
      <c r="BK104" s="63">
        <f t="shared" si="68"/>
        <v>47827.26666666667</v>
      </c>
      <c r="BL104" s="48">
        <f t="shared" si="69"/>
        <v>48803.333333333336</v>
      </c>
      <c r="BM104" s="64"/>
      <c r="BN104" s="64"/>
      <c r="BO104" s="49"/>
    </row>
    <row r="105" spans="1:67" s="18" customFormat="1" ht="27" customHeight="1">
      <c r="A105" s="50"/>
      <c r="B105" s="51"/>
      <c r="C105" s="52"/>
      <c r="D105" s="53"/>
      <c r="E105" s="54"/>
      <c r="F105" s="25"/>
      <c r="G105" s="54"/>
      <c r="H105" s="55"/>
      <c r="I105" s="29"/>
      <c r="J105" s="28"/>
      <c r="K105" s="29"/>
      <c r="L105" s="29"/>
      <c r="M105" s="56"/>
      <c r="N105" s="33"/>
      <c r="O105" s="31"/>
      <c r="P105" s="32"/>
      <c r="Q105" s="33"/>
      <c r="R105" s="32"/>
      <c r="S105" s="33"/>
      <c r="T105" s="32"/>
      <c r="U105" s="33"/>
      <c r="V105" s="32"/>
      <c r="W105" s="33"/>
      <c r="X105" s="32"/>
      <c r="Y105" s="33"/>
      <c r="Z105" s="34">
        <f t="shared" si="48"/>
        <v>0</v>
      </c>
      <c r="AA105" s="31"/>
      <c r="AB105" s="31"/>
      <c r="AC105" s="33"/>
      <c r="AD105" s="35"/>
      <c r="AE105" s="33"/>
      <c r="AF105" s="31"/>
      <c r="AG105" s="33"/>
      <c r="AH105" s="31"/>
      <c r="AI105" s="31"/>
      <c r="AJ105" s="36"/>
      <c r="AK105" s="33"/>
      <c r="AL105" s="33"/>
      <c r="AM105" s="37"/>
      <c r="AN105" s="38"/>
      <c r="AO105" s="33"/>
      <c r="AP105" s="38"/>
      <c r="AQ105" s="38"/>
      <c r="AR105" s="39"/>
      <c r="AS105" s="40"/>
      <c r="AT105" s="38"/>
      <c r="AU105" s="38"/>
      <c r="AV105" s="38"/>
      <c r="AW105" s="38"/>
      <c r="AX105" s="38"/>
      <c r="AY105" s="57"/>
      <c r="AZ105" s="58"/>
      <c r="BA105" s="38"/>
      <c r="BB105" s="117"/>
      <c r="BC105" s="118"/>
      <c r="BD105" s="59"/>
      <c r="BE105" s="60"/>
      <c r="BF105" s="61"/>
      <c r="BG105" s="61"/>
      <c r="BH105" s="62"/>
      <c r="BI105" s="62"/>
      <c r="BJ105" s="62"/>
      <c r="BK105" s="63"/>
      <c r="BL105" s="48"/>
      <c r="BM105" s="64"/>
      <c r="BN105" s="64"/>
      <c r="BO105" s="49"/>
    </row>
    <row r="106" spans="1:67" s="18" customFormat="1" ht="27" customHeight="1">
      <c r="A106" s="50"/>
      <c r="B106" s="51"/>
      <c r="C106" s="52"/>
      <c r="D106" s="53"/>
      <c r="E106" s="54"/>
      <c r="F106" s="25"/>
      <c r="G106" s="54"/>
      <c r="H106" s="55"/>
      <c r="I106" s="29"/>
      <c r="J106" s="28"/>
      <c r="K106" s="29"/>
      <c r="L106" s="29"/>
      <c r="M106" s="56"/>
      <c r="N106" s="33"/>
      <c r="O106" s="31"/>
      <c r="P106" s="32"/>
      <c r="Q106" s="33"/>
      <c r="R106" s="32"/>
      <c r="S106" s="33"/>
      <c r="T106" s="32"/>
      <c r="U106" s="33"/>
      <c r="V106" s="32"/>
      <c r="W106" s="33"/>
      <c r="X106" s="32"/>
      <c r="Y106" s="33"/>
      <c r="Z106" s="34">
        <f t="shared" si="48"/>
        <v>0</v>
      </c>
      <c r="AA106" s="31"/>
      <c r="AB106" s="31"/>
      <c r="AC106" s="33"/>
      <c r="AD106" s="35"/>
      <c r="AE106" s="33"/>
      <c r="AF106" s="31"/>
      <c r="AG106" s="33"/>
      <c r="AH106" s="31"/>
      <c r="AI106" s="31"/>
      <c r="AJ106" s="36"/>
      <c r="AK106" s="33"/>
      <c r="AL106" s="33"/>
      <c r="AM106" s="37"/>
      <c r="AN106" s="38"/>
      <c r="AO106" s="33"/>
      <c r="AP106" s="38"/>
      <c r="AQ106" s="38"/>
      <c r="AR106" s="39"/>
      <c r="AS106" s="40"/>
      <c r="AT106" s="38"/>
      <c r="AU106" s="38"/>
      <c r="AV106" s="38"/>
      <c r="AW106" s="38"/>
      <c r="AX106" s="38"/>
      <c r="AY106" s="57"/>
      <c r="AZ106" s="58"/>
      <c r="BA106" s="38"/>
      <c r="BB106" s="117"/>
      <c r="BC106" s="118"/>
      <c r="BD106" s="59"/>
      <c r="BE106" s="60"/>
      <c r="BF106" s="61"/>
      <c r="BG106" s="61"/>
      <c r="BH106" s="62"/>
      <c r="BI106" s="62"/>
      <c r="BJ106" s="62"/>
      <c r="BK106" s="63"/>
      <c r="BL106" s="48"/>
      <c r="BM106" s="64"/>
      <c r="BN106" s="64"/>
      <c r="BO106" s="49"/>
    </row>
    <row r="107" spans="1:67" s="18" customFormat="1" ht="27" customHeight="1">
      <c r="A107" s="50"/>
      <c r="B107" s="51"/>
      <c r="C107" s="52"/>
      <c r="D107" s="53"/>
      <c r="E107" s="54"/>
      <c r="F107" s="25"/>
      <c r="G107" s="54"/>
      <c r="H107" s="55"/>
      <c r="I107" s="29"/>
      <c r="J107" s="28"/>
      <c r="K107" s="29"/>
      <c r="L107" s="29"/>
      <c r="M107" s="56"/>
      <c r="N107" s="33"/>
      <c r="O107" s="31"/>
      <c r="P107" s="32"/>
      <c r="Q107" s="33"/>
      <c r="R107" s="32"/>
      <c r="S107" s="33"/>
      <c r="T107" s="32"/>
      <c r="U107" s="33"/>
      <c r="V107" s="32"/>
      <c r="W107" s="33"/>
      <c r="X107" s="32"/>
      <c r="Y107" s="33"/>
      <c r="Z107" s="34">
        <f t="shared" si="48"/>
        <v>0</v>
      </c>
      <c r="AA107" s="31"/>
      <c r="AB107" s="31"/>
      <c r="AC107" s="33"/>
      <c r="AD107" s="35"/>
      <c r="AE107" s="33"/>
      <c r="AF107" s="31"/>
      <c r="AG107" s="33"/>
      <c r="AH107" s="31"/>
      <c r="AI107" s="31"/>
      <c r="AJ107" s="36"/>
      <c r="AK107" s="33"/>
      <c r="AL107" s="33"/>
      <c r="AM107" s="37"/>
      <c r="AN107" s="38"/>
      <c r="AO107" s="33"/>
      <c r="AP107" s="38"/>
      <c r="AQ107" s="38"/>
      <c r="AR107" s="39"/>
      <c r="AS107" s="40"/>
      <c r="AT107" s="38"/>
      <c r="AU107" s="38"/>
      <c r="AV107" s="38"/>
      <c r="AW107" s="38"/>
      <c r="AX107" s="38"/>
      <c r="AY107" s="57"/>
      <c r="AZ107" s="58"/>
      <c r="BA107" s="38"/>
      <c r="BB107" s="117"/>
      <c r="BC107" s="118"/>
      <c r="BD107" s="59"/>
      <c r="BE107" s="60"/>
      <c r="BF107" s="61"/>
      <c r="BG107" s="61"/>
      <c r="BH107" s="62"/>
      <c r="BI107" s="62"/>
      <c r="BJ107" s="62"/>
      <c r="BK107" s="63"/>
      <c r="BL107" s="48"/>
      <c r="BM107" s="64"/>
      <c r="BN107" s="64"/>
      <c r="BO107" s="49"/>
    </row>
    <row r="108" spans="1:67" s="18" customFormat="1" ht="27" customHeight="1">
      <c r="A108" s="50"/>
      <c r="B108" s="51"/>
      <c r="C108" s="52"/>
      <c r="D108" s="53"/>
      <c r="E108" s="54"/>
      <c r="F108" s="119"/>
      <c r="G108" s="54"/>
      <c r="H108" s="55"/>
      <c r="I108" s="29"/>
      <c r="J108" s="120"/>
      <c r="K108" s="29"/>
      <c r="L108" s="29"/>
      <c r="M108" s="56"/>
      <c r="N108" s="33"/>
      <c r="O108" s="33"/>
      <c r="P108" s="32"/>
      <c r="Q108" s="33"/>
      <c r="R108" s="32"/>
      <c r="S108" s="33"/>
      <c r="T108" s="32"/>
      <c r="U108" s="33"/>
      <c r="V108" s="32"/>
      <c r="W108" s="33"/>
      <c r="X108" s="32"/>
      <c r="Y108" s="33"/>
      <c r="Z108" s="33"/>
      <c r="AA108" s="33"/>
      <c r="AB108" s="33"/>
      <c r="AC108" s="33"/>
      <c r="AD108" s="57"/>
      <c r="AE108" s="33"/>
      <c r="AF108" s="33"/>
      <c r="AG108" s="33"/>
      <c r="AH108" s="31"/>
      <c r="AI108" s="31"/>
      <c r="AJ108" s="33"/>
      <c r="AK108" s="33"/>
      <c r="AL108" s="33"/>
      <c r="AM108" s="37"/>
      <c r="AN108" s="38"/>
      <c r="AO108" s="33"/>
      <c r="AP108" s="38"/>
      <c r="AQ108" s="38"/>
      <c r="AR108" s="38"/>
      <c r="AS108" s="40"/>
      <c r="AT108" s="38"/>
      <c r="AU108" s="38"/>
      <c r="AV108" s="38"/>
      <c r="AW108" s="38"/>
      <c r="AX108" s="38"/>
      <c r="AY108" s="57"/>
      <c r="AZ108" s="58"/>
      <c r="BA108" s="38"/>
      <c r="BB108" s="117"/>
      <c r="BC108" s="118"/>
      <c r="BD108" s="59"/>
      <c r="BE108" s="60"/>
      <c r="BF108" s="61"/>
      <c r="BG108" s="61"/>
      <c r="BH108" s="62"/>
      <c r="BI108" s="62"/>
      <c r="BJ108" s="62"/>
      <c r="BK108" s="63"/>
      <c r="BL108" s="63"/>
      <c r="BN108" s="49"/>
    </row>
    <row r="109" spans="1:67" s="87" customFormat="1" ht="27" customHeight="1">
      <c r="A109" s="121">
        <f>+COUNTA(A2:A108)</f>
        <v>103</v>
      </c>
      <c r="B109" s="121" t="s">
        <v>165</v>
      </c>
      <c r="C109" s="122"/>
      <c r="D109" s="123"/>
      <c r="E109" s="124"/>
      <c r="F109" s="125"/>
      <c r="G109" s="124"/>
      <c r="H109" s="124"/>
      <c r="I109" s="123"/>
      <c r="J109" s="126"/>
      <c r="K109" s="122"/>
      <c r="L109" s="122">
        <f>SUM(L2:L108)</f>
        <v>12369749.700000016</v>
      </c>
      <c r="M109" s="127"/>
      <c r="N109" s="122">
        <f>SUM(N2:N108)</f>
        <v>0</v>
      </c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2">
        <f ca="1">SUM(Z2:Z108)</f>
        <v>0</v>
      </c>
      <c r="AA109" s="122">
        <f>SUM(AA2:AA108)</f>
        <v>0</v>
      </c>
      <c r="AB109" s="122">
        <f>SUM(AB2:AB108)</f>
        <v>0</v>
      </c>
      <c r="AC109" s="122">
        <f>SUM(AC2:AC108)</f>
        <v>0</v>
      </c>
      <c r="AD109" s="128">
        <f>SUM(AD2:AD108)</f>
        <v>0</v>
      </c>
      <c r="AE109" s="129"/>
      <c r="AF109" s="122">
        <f>SUM(AF2:AF108)</f>
        <v>0</v>
      </c>
      <c r="AG109" s="127">
        <f>SUM(AG2:AG108)</f>
        <v>0</v>
      </c>
      <c r="AH109" s="127"/>
      <c r="AI109" s="127">
        <f t="shared" ref="AI109:BE109" si="71">SUM(AI2:AI108)</f>
        <v>0</v>
      </c>
      <c r="AJ109" s="129">
        <f t="shared" ca="1" si="71"/>
        <v>12369749.700000016</v>
      </c>
      <c r="AK109" s="129">
        <f t="shared" si="71"/>
        <v>7132499.1466666674</v>
      </c>
      <c r="AL109" s="129">
        <f t="shared" si="71"/>
        <v>997500.2</v>
      </c>
      <c r="AM109" s="130">
        <f t="shared" ca="1" si="71"/>
        <v>13367249.900000017</v>
      </c>
      <c r="AN109" s="122">
        <f t="shared" ca="1" si="71"/>
        <v>126180.23566666691</v>
      </c>
      <c r="AO109" s="122">
        <f t="shared" ca="1" si="71"/>
        <v>105409.99333333356</v>
      </c>
      <c r="AP109" s="129">
        <f t="shared" si="71"/>
        <v>0</v>
      </c>
      <c r="AQ109" s="129">
        <f t="shared" ca="1" si="71"/>
        <v>13131600</v>
      </c>
      <c r="AR109" s="129">
        <f t="shared" ca="1" si="71"/>
        <v>728180</v>
      </c>
      <c r="AS109" s="129">
        <f t="shared" si="71"/>
        <v>23</v>
      </c>
      <c r="AT109" s="129">
        <f t="shared" si="71"/>
        <v>46000</v>
      </c>
      <c r="AU109" s="129">
        <f t="shared" ca="1" si="71"/>
        <v>728180</v>
      </c>
      <c r="AV109" s="129">
        <f t="shared" si="71"/>
        <v>0</v>
      </c>
      <c r="AW109" s="129">
        <f t="shared" si="71"/>
        <v>0</v>
      </c>
      <c r="AX109" s="122">
        <f t="shared" si="71"/>
        <v>0</v>
      </c>
      <c r="AY109" s="128">
        <f t="shared" si="71"/>
        <v>0</v>
      </c>
      <c r="AZ109" s="122">
        <f t="shared" ca="1" si="71"/>
        <v>959770.22900000017</v>
      </c>
      <c r="BA109" s="122">
        <f t="shared" ca="1" si="71"/>
        <v>11409979.471000027</v>
      </c>
      <c r="BB109" s="131">
        <f t="shared" si="71"/>
        <v>0</v>
      </c>
      <c r="BC109" s="131">
        <f t="shared" si="71"/>
        <v>0</v>
      </c>
      <c r="BD109" s="129">
        <f t="shared" ca="1" si="71"/>
        <v>11409979.471000027</v>
      </c>
      <c r="BE109" s="129">
        <f t="shared" ca="1" si="71"/>
        <v>11415400</v>
      </c>
      <c r="BF109" s="132"/>
      <c r="BG109" s="133"/>
      <c r="BH109" s="134"/>
      <c r="BI109" s="134"/>
      <c r="BJ109" s="134"/>
      <c r="BK109" s="130"/>
      <c r="BL109" s="130">
        <f>+L109-N109+BJ109</f>
        <v>12369749.700000016</v>
      </c>
      <c r="BM109" s="18"/>
      <c r="BN109" s="49"/>
    </row>
    <row r="110" spans="1:67" s="136" customFormat="1" ht="27.75" customHeight="1">
      <c r="A110" s="135">
        <v>1</v>
      </c>
      <c r="B110" s="135">
        <v>2</v>
      </c>
      <c r="C110" s="135">
        <v>3</v>
      </c>
      <c r="D110" s="135">
        <v>4</v>
      </c>
      <c r="E110" s="135">
        <v>5</v>
      </c>
      <c r="F110" s="135">
        <v>6</v>
      </c>
      <c r="G110" s="135">
        <v>7</v>
      </c>
      <c r="H110" s="135">
        <v>8</v>
      </c>
      <c r="I110" s="135">
        <v>9</v>
      </c>
      <c r="J110" s="135">
        <v>10</v>
      </c>
      <c r="K110" s="135">
        <v>11</v>
      </c>
      <c r="L110" s="135">
        <v>12</v>
      </c>
      <c r="M110" s="135">
        <v>13</v>
      </c>
      <c r="N110" s="135">
        <v>14</v>
      </c>
      <c r="O110" s="135">
        <v>15</v>
      </c>
      <c r="P110" s="135">
        <v>16</v>
      </c>
      <c r="Q110" s="135">
        <v>17</v>
      </c>
      <c r="R110" s="135">
        <v>18</v>
      </c>
      <c r="S110" s="135">
        <v>19</v>
      </c>
      <c r="T110" s="135">
        <v>20</v>
      </c>
      <c r="U110" s="135">
        <v>21</v>
      </c>
      <c r="V110" s="135">
        <v>22</v>
      </c>
      <c r="W110" s="135">
        <v>23</v>
      </c>
      <c r="X110" s="135">
        <v>24</v>
      </c>
      <c r="Y110" s="135">
        <v>25</v>
      </c>
      <c r="Z110" s="135">
        <v>26</v>
      </c>
      <c r="AA110" s="135">
        <v>27</v>
      </c>
      <c r="AB110" s="135">
        <v>28</v>
      </c>
      <c r="AC110" s="135">
        <v>29</v>
      </c>
      <c r="AD110" s="136">
        <v>30</v>
      </c>
      <c r="AE110" s="135">
        <v>31</v>
      </c>
      <c r="AF110" s="135">
        <v>32</v>
      </c>
      <c r="AG110" s="135">
        <v>33</v>
      </c>
      <c r="AH110" s="135">
        <v>34</v>
      </c>
      <c r="AI110" s="135">
        <v>35</v>
      </c>
      <c r="AJ110" s="135">
        <v>36</v>
      </c>
      <c r="AK110" s="135">
        <v>37</v>
      </c>
      <c r="AL110" s="135">
        <v>38</v>
      </c>
      <c r="AM110" s="135">
        <v>39</v>
      </c>
      <c r="AN110" s="135">
        <v>40</v>
      </c>
      <c r="AO110" s="135">
        <v>41</v>
      </c>
      <c r="AP110" s="135">
        <v>42</v>
      </c>
      <c r="AQ110" s="135">
        <v>43</v>
      </c>
      <c r="AR110" s="135">
        <v>44</v>
      </c>
      <c r="AS110" s="135">
        <v>45</v>
      </c>
      <c r="AT110" s="135">
        <v>46</v>
      </c>
      <c r="AU110" s="135">
        <v>47</v>
      </c>
      <c r="AV110" s="135">
        <v>48</v>
      </c>
      <c r="AW110" s="135">
        <v>49</v>
      </c>
      <c r="AX110" s="135">
        <v>50</v>
      </c>
      <c r="AY110" s="135">
        <v>51</v>
      </c>
      <c r="AZ110" s="135">
        <v>52</v>
      </c>
      <c r="BA110" s="135">
        <v>53</v>
      </c>
      <c r="BB110" s="135">
        <v>54</v>
      </c>
      <c r="BC110" s="135">
        <v>55</v>
      </c>
      <c r="BD110" s="135">
        <v>56</v>
      </c>
      <c r="BE110" s="137">
        <v>57</v>
      </c>
      <c r="BF110" s="135">
        <v>58</v>
      </c>
      <c r="BG110" s="135">
        <v>59</v>
      </c>
      <c r="BH110" s="135">
        <v>60</v>
      </c>
      <c r="BI110" s="135">
        <v>61</v>
      </c>
      <c r="BJ110" s="135">
        <v>62</v>
      </c>
      <c r="BK110" s="135">
        <v>63</v>
      </c>
      <c r="BL110" s="135">
        <v>64</v>
      </c>
      <c r="BM110" s="18"/>
      <c r="BN110" s="49"/>
    </row>
  </sheetData>
  <printOptions horizontalCentered="1"/>
  <pageMargins left="0" right="0" top="0.59055118110236227" bottom="0.19685039370078741" header="0.11811023622047245" footer="0.35433070866141736"/>
  <pageSetup paperSize="9" scale="89" fitToHeight="4" orientation="portrait" verticalDpi="300" r:id="rId1"/>
  <headerFooter alignWithMargins="0">
    <oddHeader>&amp;C&amp;"Arial,Gras"TECHMARINE
LISTE DU PERSONNEL PERMANENT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BO109"/>
  <sheetViews>
    <sheetView showGridLines="0" zoomScale="75" zoomScaleNormal="75" workbookViewId="0">
      <pane xSplit="2" ySplit="1" topLeftCell="AA97" activePane="bottomRight" state="frozen"/>
      <selection activeCell="H4" sqref="H4"/>
      <selection pane="topRight" activeCell="H4" sqref="H4"/>
      <selection pane="bottomLeft" activeCell="H4" sqref="H4"/>
      <selection pane="bottomRight" activeCell="BR113" sqref="BR113"/>
    </sheetView>
  </sheetViews>
  <sheetFormatPr baseColWidth="10" defaultRowHeight="15"/>
  <cols>
    <col min="1" max="1" width="9.140625" style="138" bestFit="1" customWidth="1"/>
    <col min="2" max="2" width="28" style="139" customWidth="1"/>
    <col min="3" max="3" width="4.7109375" style="64" hidden="1" customWidth="1"/>
    <col min="4" max="4" width="12.5703125" style="64" hidden="1" customWidth="1"/>
    <col min="5" max="5" width="12" style="140" hidden="1" customWidth="1"/>
    <col min="6" max="6" width="9.7109375" style="140" hidden="1" customWidth="1"/>
    <col min="7" max="7" width="17" style="64" hidden="1" customWidth="1"/>
    <col min="8" max="8" width="4.7109375" style="64" hidden="1" customWidth="1"/>
    <col min="9" max="9" width="12.42578125" style="141" customWidth="1"/>
    <col min="10" max="10" width="10.28515625" style="140" hidden="1" customWidth="1"/>
    <col min="11" max="11" width="12.42578125" style="64" hidden="1" customWidth="1"/>
    <col min="12" max="12" width="17.85546875" style="64" hidden="1" customWidth="1"/>
    <col min="13" max="13" width="7.42578125" style="142" hidden="1" customWidth="1"/>
    <col min="14" max="14" width="10.85546875" style="143" hidden="1" customWidth="1"/>
    <col min="15" max="15" width="9.85546875" style="143" hidden="1" customWidth="1"/>
    <col min="16" max="16" width="8.7109375" style="144" hidden="1" customWidth="1"/>
    <col min="17" max="17" width="11.140625" style="143" hidden="1" customWidth="1"/>
    <col min="18" max="18" width="6" style="144" hidden="1" customWidth="1"/>
    <col min="19" max="19" width="9.7109375" style="143" hidden="1" customWidth="1"/>
    <col min="20" max="20" width="8.28515625" style="144" hidden="1" customWidth="1"/>
    <col min="21" max="21" width="8.5703125" style="143" hidden="1" customWidth="1"/>
    <col min="22" max="22" width="8.85546875" style="144" hidden="1" customWidth="1"/>
    <col min="23" max="23" width="9.28515625" style="143" hidden="1" customWidth="1"/>
    <col min="24" max="24" width="7.7109375" style="144" hidden="1" customWidth="1"/>
    <col min="25" max="25" width="10.85546875" style="143" hidden="1" customWidth="1"/>
    <col min="26" max="26" width="13.28515625" style="143" hidden="1" customWidth="1"/>
    <col min="27" max="27" width="12.85546875" style="143" hidden="1" customWidth="1"/>
    <col min="28" max="28" width="14.42578125" style="143" hidden="1" customWidth="1"/>
    <col min="29" max="29" width="12.140625" style="143" hidden="1" customWidth="1"/>
    <col min="30" max="30" width="13.140625" style="145" hidden="1" customWidth="1"/>
    <col min="31" max="31" width="10.28515625" style="143" hidden="1" customWidth="1"/>
    <col min="32" max="32" width="12" style="143" customWidth="1"/>
    <col min="33" max="33" width="12.28515625" style="143" hidden="1" customWidth="1"/>
    <col min="34" max="34" width="12" style="143" hidden="1" customWidth="1"/>
    <col min="35" max="35" width="13" style="143" hidden="1" customWidth="1"/>
    <col min="36" max="36" width="17.140625" style="142" customWidth="1"/>
    <col min="37" max="37" width="14.42578125" style="142" hidden="1" customWidth="1"/>
    <col min="38" max="38" width="19" style="142" hidden="1" customWidth="1"/>
    <col min="39" max="39" width="14.42578125" style="146" hidden="1" customWidth="1"/>
    <col min="40" max="40" width="12" style="147" hidden="1" customWidth="1"/>
    <col min="41" max="41" width="11" style="142" hidden="1" customWidth="1"/>
    <col min="42" max="42" width="14.5703125" style="147" hidden="1" customWidth="1"/>
    <col min="43" max="44" width="14.42578125" style="147" hidden="1" customWidth="1"/>
    <col min="45" max="45" width="13.140625" style="148" hidden="1" customWidth="1"/>
    <col min="46" max="46" width="10.42578125" style="147" hidden="1" customWidth="1"/>
    <col min="47" max="47" width="13.140625" style="147" hidden="1" customWidth="1"/>
    <col min="48" max="48" width="16.28515625" style="147" hidden="1" customWidth="1"/>
    <col min="49" max="49" width="15.140625" style="147" hidden="1" customWidth="1"/>
    <col min="50" max="50" width="16" style="147" hidden="1" customWidth="1"/>
    <col min="51" max="51" width="18.85546875" style="149" hidden="1" customWidth="1"/>
    <col min="52" max="52" width="14.28515625" style="150" hidden="1" customWidth="1"/>
    <col min="53" max="53" width="18.28515625" style="147" hidden="1" customWidth="1"/>
    <col min="54" max="54" width="13.28515625" style="151" hidden="1" customWidth="1"/>
    <col min="55" max="55" width="7.42578125" style="151" hidden="1" customWidth="1"/>
    <col min="56" max="56" width="14.85546875" style="147" hidden="1" customWidth="1"/>
    <col min="57" max="57" width="15.140625" style="152" hidden="1" customWidth="1"/>
    <col min="58" max="58" width="17.28515625" style="153" hidden="1" customWidth="1"/>
    <col min="59" max="59" width="16.7109375" style="153" hidden="1" customWidth="1"/>
    <col min="60" max="60" width="14.85546875" style="154" hidden="1" customWidth="1"/>
    <col min="61" max="61" width="6.42578125" style="154" hidden="1" customWidth="1"/>
    <col min="62" max="62" width="16" style="154" hidden="1" customWidth="1"/>
    <col min="63" max="63" width="16.85546875" style="155" hidden="1" customWidth="1"/>
    <col min="64" max="64" width="17.28515625" style="155" hidden="1" customWidth="1"/>
    <col min="65" max="16384" width="11.42578125" style="64"/>
  </cols>
  <sheetData>
    <row r="1" spans="1:67" s="19" customFormat="1" ht="33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>
        <v>42369</v>
      </c>
      <c r="G1" s="3" t="s">
        <v>5</v>
      </c>
      <c r="H1" s="3" t="s">
        <v>6</v>
      </c>
      <c r="I1" s="3" t="s">
        <v>7</v>
      </c>
      <c r="J1" s="5" t="s">
        <v>8</v>
      </c>
      <c r="K1" s="3" t="s">
        <v>9</v>
      </c>
      <c r="L1" s="3" t="s">
        <v>10</v>
      </c>
      <c r="M1" s="6" t="s">
        <v>11</v>
      </c>
      <c r="N1" s="7" t="s">
        <v>12</v>
      </c>
      <c r="O1" s="7" t="s">
        <v>13</v>
      </c>
      <c r="P1" s="8" t="s">
        <v>14</v>
      </c>
      <c r="Q1" s="7" t="s">
        <v>15</v>
      </c>
      <c r="R1" s="9" t="s">
        <v>16</v>
      </c>
      <c r="S1" s="7" t="s">
        <v>17</v>
      </c>
      <c r="T1" s="8" t="s">
        <v>18</v>
      </c>
      <c r="U1" s="7" t="s">
        <v>19</v>
      </c>
      <c r="V1" s="8" t="s">
        <v>20</v>
      </c>
      <c r="W1" s="7" t="s">
        <v>21</v>
      </c>
      <c r="X1" s="8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10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6" t="s">
        <v>10</v>
      </c>
      <c r="AK1" s="6" t="s">
        <v>34</v>
      </c>
      <c r="AL1" s="6" t="s">
        <v>35</v>
      </c>
      <c r="AM1" s="11" t="s">
        <v>36</v>
      </c>
      <c r="AN1" s="12" t="s">
        <v>37</v>
      </c>
      <c r="AO1" s="6" t="s">
        <v>38</v>
      </c>
      <c r="AP1" s="7" t="s">
        <v>39</v>
      </c>
      <c r="AQ1" s="7" t="s">
        <v>40</v>
      </c>
      <c r="AR1" s="7" t="s">
        <v>41</v>
      </c>
      <c r="AS1" s="8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12" t="s">
        <v>47</v>
      </c>
      <c r="AY1" s="13" t="s">
        <v>48</v>
      </c>
      <c r="AZ1" s="14" t="s">
        <v>49</v>
      </c>
      <c r="BA1" s="12" t="s">
        <v>50</v>
      </c>
      <c r="BB1" s="15" t="s">
        <v>362</v>
      </c>
      <c r="BC1" s="15" t="s">
        <v>361</v>
      </c>
      <c r="BD1" s="12" t="s">
        <v>53</v>
      </c>
      <c r="BE1" s="7" t="s">
        <v>54</v>
      </c>
      <c r="BF1" s="16" t="s">
        <v>55</v>
      </c>
      <c r="BG1" s="16" t="s">
        <v>56</v>
      </c>
      <c r="BH1" s="17" t="s">
        <v>57</v>
      </c>
      <c r="BI1" s="17" t="s">
        <v>58</v>
      </c>
      <c r="BJ1" s="17" t="s">
        <v>59</v>
      </c>
      <c r="BK1" s="11" t="s">
        <v>60</v>
      </c>
      <c r="BL1" s="11" t="s">
        <v>61</v>
      </c>
      <c r="BM1" s="18"/>
    </row>
    <row r="2" spans="1:67" s="18" customFormat="1" ht="27.75" customHeight="1">
      <c r="A2" s="20" t="s">
        <v>62</v>
      </c>
      <c r="B2" s="21" t="s">
        <v>166</v>
      </c>
      <c r="C2" s="22"/>
      <c r="D2" s="23" t="s">
        <v>167</v>
      </c>
      <c r="E2" s="24">
        <v>40046</v>
      </c>
      <c r="F2" s="25">
        <v>42369</v>
      </c>
      <c r="G2" s="24" t="s">
        <v>168</v>
      </c>
      <c r="H2" s="26" t="s">
        <v>169</v>
      </c>
      <c r="I2" s="27">
        <v>380000</v>
      </c>
      <c r="J2" s="28">
        <v>42368</v>
      </c>
      <c r="K2" s="29">
        <v>0</v>
      </c>
      <c r="L2" s="29">
        <v>0</v>
      </c>
      <c r="M2" s="30">
        <v>0</v>
      </c>
      <c r="N2" s="31">
        <v>0</v>
      </c>
      <c r="O2" s="31">
        <v>2192.3498528817859</v>
      </c>
      <c r="P2" s="32">
        <v>0</v>
      </c>
      <c r="Q2" s="33">
        <v>0</v>
      </c>
      <c r="R2" s="32">
        <v>0</v>
      </c>
      <c r="S2" s="33">
        <v>0</v>
      </c>
      <c r="T2" s="32">
        <v>0</v>
      </c>
      <c r="U2" s="33">
        <v>0</v>
      </c>
      <c r="V2" s="32">
        <v>0</v>
      </c>
      <c r="W2" s="33">
        <v>0</v>
      </c>
      <c r="X2" s="32">
        <v>0</v>
      </c>
      <c r="Y2" s="33">
        <v>0</v>
      </c>
      <c r="Z2" s="31">
        <v>0</v>
      </c>
      <c r="AA2" s="31">
        <v>0</v>
      </c>
      <c r="AB2" s="31">
        <v>0</v>
      </c>
      <c r="AC2" s="31">
        <v>0</v>
      </c>
      <c r="AD2" s="35"/>
      <c r="AE2" s="31">
        <v>0</v>
      </c>
      <c r="AF2" s="31">
        <v>36.75</v>
      </c>
      <c r="AG2" s="31">
        <v>628266.5750297003</v>
      </c>
      <c r="AH2" s="31">
        <v>0</v>
      </c>
      <c r="AI2" s="31">
        <v>0</v>
      </c>
      <c r="AJ2" s="36">
        <v>628266.5750297003</v>
      </c>
      <c r="AK2" s="31">
        <f>IF(ISNA(VLOOKUP(A2,[2]AVANTAGE!$A$5:$T$118,19,0))=TRUE,0,VLOOKUP(A2,[2]AVANTAGE!$A$5:$T$118,19,0))</f>
        <v>0</v>
      </c>
      <c r="AL2" s="31">
        <f>IF(ISNA(VLOOKUP(A2,[2]AVANTAGE!$A$5:$T$118,20,0))=TRUE,0,VLOOKUP(A2,[2]AVANTAGE!$A$5:$T$118,20,0))</f>
        <v>0</v>
      </c>
      <c r="AM2" s="37">
        <f>+AJ2+AL2</f>
        <v>628266.5750297003</v>
      </c>
      <c r="AN2" s="38">
        <f>IF(D2=0,0,(IF((AM2)*1%&gt;10641.07,10641.07,(AM2)*1%)))</f>
        <v>6282.6657502970029</v>
      </c>
      <c r="AO2" s="33">
        <f>IF(D2=0,0,(IF((AM2)*1%&gt;10641.07,10641.07,(AM2)*1%)))</f>
        <v>6282.6657502970029</v>
      </c>
      <c r="AP2" s="38"/>
      <c r="AQ2" s="38">
        <f>+INT((AJ2+AL2-AO2-AN2-AP2)/100)*100</f>
        <v>615700</v>
      </c>
      <c r="AR2" s="39">
        <f>IF(AQ2=0,0,IF(AQ2&lt;=250000,0,(AQ2-250000)*20%))</f>
        <v>73140</v>
      </c>
      <c r="AS2" s="40">
        <f>VLOOKUP(A2,'[2]Liste personnel'!$B$3:$R$187,16,0)</f>
        <v>0</v>
      </c>
      <c r="AT2" s="39">
        <f>+AS2*2000</f>
        <v>0</v>
      </c>
      <c r="AU2" s="39">
        <f>+IF(AR2=0,0,IF(AR2-AT2&lt;200,200,AR2-AT2))</f>
        <v>73140</v>
      </c>
      <c r="AV2" s="39">
        <f>IF(ISNA(VLOOKUP(A2,[2]AVANCE!$A$6:$E$122,4,0))=TRUE,0,VLOOKUP(A2,[2]AVANCE!$A$6:$E$122,4,0))</f>
        <v>0</v>
      </c>
      <c r="AW2" s="39">
        <f>IF(ISNA(VLOOKUP(A2,[2]AVANCE!$A$6:$E$122,5,0))=TRUE,0,VLOOKUP(A2,[2]AVANCE!$A$6:$E$122,5,0))</f>
        <v>0</v>
      </c>
      <c r="AX2" s="39">
        <f>+AV2+AW2</f>
        <v>0</v>
      </c>
      <c r="AY2" s="35"/>
      <c r="AZ2" s="41">
        <f>+AO2+AN2+AU2+AX2+AY2</f>
        <v>85705.331500594009</v>
      </c>
      <c r="BA2" s="39">
        <f>+AJ2-AZ2</f>
        <v>542561.24352910626</v>
      </c>
      <c r="BB2" s="42"/>
      <c r="BC2" s="43"/>
      <c r="BD2" s="44">
        <f>+BA2+BB2+BC2</f>
        <v>542561.24352910626</v>
      </c>
      <c r="BE2" s="45">
        <f>IF(BD2-INT(BD2/100)*100&gt;0,INT(BD2/100)*100+100,INT(BD2/100)*100)</f>
        <v>542600</v>
      </c>
      <c r="BF2" s="46"/>
      <c r="BG2" s="46"/>
      <c r="BH2" s="47">
        <f>IF(BF2=0,0,I2/2)</f>
        <v>0</v>
      </c>
      <c r="BI2" s="47">
        <f>IF(BF2=0,0,+IF(BF2-J2&lt;30,J2-BF2,30))</f>
        <v>0</v>
      </c>
      <c r="BJ2" s="47">
        <f>+BI2*BH2/30</f>
        <v>0</v>
      </c>
      <c r="BK2" s="48">
        <f>+BD2+AX2+AY2</f>
        <v>542561.24352910626</v>
      </c>
      <c r="BL2" s="48">
        <f>+L2-N2</f>
        <v>0</v>
      </c>
      <c r="BN2" s="49"/>
      <c r="BO2" s="49"/>
    </row>
    <row r="3" spans="1:67" s="18" customFormat="1" ht="27.75" customHeight="1">
      <c r="A3" s="50" t="s">
        <v>63</v>
      </c>
      <c r="B3" s="51" t="s">
        <v>170</v>
      </c>
      <c r="C3" s="52"/>
      <c r="D3" s="53" t="s">
        <v>171</v>
      </c>
      <c r="E3" s="54">
        <v>40148</v>
      </c>
      <c r="F3" s="25">
        <v>42369</v>
      </c>
      <c r="G3" s="54" t="s">
        <v>172</v>
      </c>
      <c r="H3" s="55" t="s">
        <v>173</v>
      </c>
      <c r="I3" s="29">
        <v>400000</v>
      </c>
      <c r="J3" s="28">
        <v>42368</v>
      </c>
      <c r="K3" s="29">
        <v>0</v>
      </c>
      <c r="L3" s="29">
        <v>0</v>
      </c>
      <c r="M3" s="56">
        <v>0</v>
      </c>
      <c r="N3" s="33">
        <v>0</v>
      </c>
      <c r="O3" s="31">
        <v>2307.7366872439852</v>
      </c>
      <c r="P3" s="32">
        <v>0</v>
      </c>
      <c r="Q3" s="33">
        <v>0</v>
      </c>
      <c r="R3" s="32">
        <v>0</v>
      </c>
      <c r="S3" s="33">
        <v>0</v>
      </c>
      <c r="T3" s="32">
        <v>0</v>
      </c>
      <c r="U3" s="33">
        <v>0</v>
      </c>
      <c r="V3" s="32">
        <v>0</v>
      </c>
      <c r="W3" s="33">
        <v>0</v>
      </c>
      <c r="X3" s="32">
        <v>0</v>
      </c>
      <c r="Y3" s="33">
        <v>0</v>
      </c>
      <c r="Z3" s="33">
        <v>0</v>
      </c>
      <c r="AA3" s="31">
        <v>0</v>
      </c>
      <c r="AB3" s="31">
        <v>0</v>
      </c>
      <c r="AC3" s="33">
        <v>0</v>
      </c>
      <c r="AD3" s="35"/>
      <c r="AE3" s="33">
        <v>0</v>
      </c>
      <c r="AF3" s="31">
        <v>24.25</v>
      </c>
      <c r="AG3" s="33">
        <v>381035.66796968214</v>
      </c>
      <c r="AH3" s="31">
        <v>0</v>
      </c>
      <c r="AI3" s="31">
        <v>0</v>
      </c>
      <c r="AJ3" s="36">
        <v>381035.66796968214</v>
      </c>
      <c r="AK3" s="33">
        <f>IF(ISNA(VLOOKUP(A3,[2]AVANTAGE!$A$5:$T$118,19,0))=TRUE,0,VLOOKUP(A3,[2]AVANTAGE!$A$5:$T$118,19,0))</f>
        <v>0</v>
      </c>
      <c r="AL3" s="33">
        <f>IF(ISNA(VLOOKUP(A3,[2]AVANTAGE!$A$5:$T$118,20,0))=TRUE,0,VLOOKUP(A3,[2]AVANTAGE!$A$5:$T$118,20,0))</f>
        <v>0</v>
      </c>
      <c r="AM3" s="37">
        <f>+AJ3+AL3</f>
        <v>381035.66796968214</v>
      </c>
      <c r="AN3" s="38">
        <f>IF(D3=0,0,(IF((AM3)*1%&gt;10641.07,10641.07,(AM3)*1%)))</f>
        <v>3810.3566796968216</v>
      </c>
      <c r="AO3" s="33">
        <f>IF(D3=0,0,(IF((AM3)*1%&gt;10641.07,10641.07,(AM3)*1%)))</f>
        <v>3810.3566796968216</v>
      </c>
      <c r="AP3" s="38"/>
      <c r="AQ3" s="38">
        <f>+INT((AJ3+AL3-AO3-AN3-AP3)/100)*100</f>
        <v>373400</v>
      </c>
      <c r="AR3" s="39">
        <f>IF(AQ3=0,0,IF(AQ3&lt;=250000,0,(AQ3-250000)*20%))</f>
        <v>24680</v>
      </c>
      <c r="AS3" s="40">
        <f>VLOOKUP(A3,'[2]Liste personnel'!$B$3:$R$187,16,0)</f>
        <v>2</v>
      </c>
      <c r="AT3" s="38">
        <f>+AS3*2000</f>
        <v>4000</v>
      </c>
      <c r="AU3" s="38">
        <f>+IF(AR3=0,0,IF(AR3-AT3&lt;200,200,AR3-AT3))</f>
        <v>20680</v>
      </c>
      <c r="AV3" s="38">
        <f>IF(ISNA(VLOOKUP(A3,[2]AVANCE!$A$6:$E$122,4,0))=TRUE,0,VLOOKUP(A3,[2]AVANCE!$A$6:$E$122,4,0))</f>
        <v>0</v>
      </c>
      <c r="AW3" s="38">
        <f>IF(ISNA(VLOOKUP(A3,[2]AVANCE!$A$6:$E$122,5,0))=TRUE,0,VLOOKUP(A3,[2]AVANCE!$A$6:$E$122,5,0))</f>
        <v>0</v>
      </c>
      <c r="AX3" s="38">
        <f>+AV3+AW3</f>
        <v>0</v>
      </c>
      <c r="AY3" s="57"/>
      <c r="AZ3" s="58">
        <f>+AO3+AN3+AU3+AX3+AY3</f>
        <v>28300.713359393645</v>
      </c>
      <c r="BA3" s="38">
        <f>+AJ3-AZ3</f>
        <v>352734.95461028849</v>
      </c>
      <c r="BB3" s="117"/>
      <c r="BC3" s="118"/>
      <c r="BD3" s="59">
        <f>+BA3+BB3+BC3</f>
        <v>352734.95461028849</v>
      </c>
      <c r="BE3" s="60">
        <f>IF(BD3-INT(BD3/100)*100&gt;0,INT(BD3/100)*100+100,INT(BD3/100)*100)</f>
        <v>352800</v>
      </c>
      <c r="BF3" s="61"/>
      <c r="BG3" s="61"/>
      <c r="BH3" s="62">
        <f>IF(BF3=0,0,I3/2)</f>
        <v>0</v>
      </c>
      <c r="BI3" s="62">
        <f>IF(BF3=0,0,+IF(BF3-J3&lt;30,J3-BF3,30))</f>
        <v>0</v>
      </c>
      <c r="BJ3" s="62">
        <f>+BI3*BH3/30</f>
        <v>0</v>
      </c>
      <c r="BK3" s="63">
        <f>+BD3+AX3+AY3</f>
        <v>352734.95461028849</v>
      </c>
      <c r="BL3" s="48">
        <f>+L3-N3</f>
        <v>0</v>
      </c>
      <c r="BN3" s="49"/>
      <c r="BO3" s="49"/>
    </row>
    <row r="4" spans="1:67" s="18" customFormat="1" ht="27.75" customHeight="1">
      <c r="A4" s="50" t="s">
        <v>64</v>
      </c>
      <c r="B4" s="51" t="s">
        <v>174</v>
      </c>
      <c r="C4" s="52"/>
      <c r="D4" s="53" t="s">
        <v>175</v>
      </c>
      <c r="E4" s="54">
        <v>40148</v>
      </c>
      <c r="F4" s="25">
        <v>42369</v>
      </c>
      <c r="G4" s="54" t="s">
        <v>172</v>
      </c>
      <c r="H4" s="55" t="s">
        <v>173</v>
      </c>
      <c r="I4" s="29">
        <v>472000</v>
      </c>
      <c r="J4" s="28">
        <v>42368</v>
      </c>
      <c r="K4" s="29">
        <v>0</v>
      </c>
      <c r="L4" s="29">
        <v>0</v>
      </c>
      <c r="M4" s="56">
        <v>0</v>
      </c>
      <c r="N4" s="33">
        <v>0</v>
      </c>
      <c r="O4" s="31">
        <v>2723.1292909479025</v>
      </c>
      <c r="P4" s="32">
        <v>0</v>
      </c>
      <c r="Q4" s="33">
        <v>0</v>
      </c>
      <c r="R4" s="32">
        <v>0</v>
      </c>
      <c r="S4" s="33">
        <v>0</v>
      </c>
      <c r="T4" s="32">
        <v>0</v>
      </c>
      <c r="U4" s="33">
        <v>0</v>
      </c>
      <c r="V4" s="32">
        <v>0</v>
      </c>
      <c r="W4" s="33">
        <v>0</v>
      </c>
      <c r="X4" s="32">
        <v>0</v>
      </c>
      <c r="Y4" s="33">
        <v>0</v>
      </c>
      <c r="Z4" s="33">
        <v>0</v>
      </c>
      <c r="AA4" s="31">
        <v>0</v>
      </c>
      <c r="AB4" s="31">
        <v>0</v>
      </c>
      <c r="AC4" s="33">
        <v>0</v>
      </c>
      <c r="AD4" s="35"/>
      <c r="AE4" s="33">
        <v>0</v>
      </c>
      <c r="AF4" s="31">
        <v>37.25</v>
      </c>
      <c r="AG4" s="33">
        <v>875077.50537316955</v>
      </c>
      <c r="AH4" s="31">
        <v>0</v>
      </c>
      <c r="AI4" s="31">
        <v>0</v>
      </c>
      <c r="AJ4" s="36">
        <v>875077.50537316955</v>
      </c>
      <c r="AK4" s="33">
        <f>IF(ISNA(VLOOKUP(A4,[2]AVANTAGE!$A$5:$T$118,19,0))=TRUE,0,VLOOKUP(A4,[2]AVANTAGE!$A$5:$T$118,19,0))</f>
        <v>0</v>
      </c>
      <c r="AL4" s="33">
        <f>IF(ISNA(VLOOKUP(A4,[2]AVANTAGE!$A$5:$T$118,20,0))=TRUE,0,VLOOKUP(A4,[2]AVANTAGE!$A$5:$T$118,20,0))</f>
        <v>0</v>
      </c>
      <c r="AM4" s="37">
        <f>+AJ4+AL4</f>
        <v>875077.50537316955</v>
      </c>
      <c r="AN4" s="38">
        <f>IF(D4=0,0,(IF((AM4)*1%&gt;10641.07,10641.07,(AM4)*1%)))</f>
        <v>8750.7750537316952</v>
      </c>
      <c r="AO4" s="33">
        <f>IF(D4=0,0,(IF((AM4)*1%&gt;10641.07,10641.07,(AM4)*1%)))</f>
        <v>8750.7750537316952</v>
      </c>
      <c r="AP4" s="38"/>
      <c r="AQ4" s="38">
        <f>+INT((AJ4+AL4-AO4-AN4-AP4)/100)*100</f>
        <v>857500</v>
      </c>
      <c r="AR4" s="39">
        <f>IF(AQ4=0,0,IF(AQ4&lt;=250000,0,(AQ4-250000)*20%))</f>
        <v>121500</v>
      </c>
      <c r="AS4" s="40">
        <f>VLOOKUP(A4,'[2]Liste personnel'!$B$3:$R$187,16,0)</f>
        <v>2</v>
      </c>
      <c r="AT4" s="38">
        <f>+AS4*2000</f>
        <v>4000</v>
      </c>
      <c r="AU4" s="38">
        <f>+IF(AR4=0,0,IF(AR4-AT4&lt;200,200,AR4-AT4))</f>
        <v>117500</v>
      </c>
      <c r="AV4" s="38">
        <f>IF(ISNA(VLOOKUP(A4,[2]AVANCE!$A$6:$E$122,4,0))=TRUE,0,VLOOKUP(A4,[2]AVANCE!$A$6:$E$122,4,0))</f>
        <v>0</v>
      </c>
      <c r="AW4" s="38">
        <f>IF(ISNA(VLOOKUP(A4,[2]AVANCE!$A$6:$E$122,5,0))=TRUE,0,VLOOKUP(A4,[2]AVANCE!$A$6:$E$122,5,0))</f>
        <v>0</v>
      </c>
      <c r="AX4" s="38">
        <f>+AV4+AW4</f>
        <v>0</v>
      </c>
      <c r="AY4" s="57"/>
      <c r="AZ4" s="58">
        <f>+AO4+AN4+AU4+AX4+AY4</f>
        <v>135001.55010746338</v>
      </c>
      <c r="BA4" s="38">
        <f>+AJ4-AZ4</f>
        <v>740075.95526570617</v>
      </c>
      <c r="BB4" s="117"/>
      <c r="BC4" s="118"/>
      <c r="BD4" s="59">
        <f>+BA4+BB4+BC4</f>
        <v>740075.95526570617</v>
      </c>
      <c r="BE4" s="60">
        <f>IF(BD4-INT(BD4/100)*100&gt;0,INT(BD4/100)*100+100,INT(BD4/100)*100)</f>
        <v>740100</v>
      </c>
      <c r="BF4" s="61"/>
      <c r="BG4" s="61"/>
      <c r="BH4" s="62">
        <f>IF(BF4=0,0,I4/2)</f>
        <v>0</v>
      </c>
      <c r="BI4" s="62">
        <f>IF(BF4=0,0,+IF(BF4-J4&lt;30,J4-BF4,30))</f>
        <v>0</v>
      </c>
      <c r="BJ4" s="62">
        <f>+BI4*BH4/30</f>
        <v>0</v>
      </c>
      <c r="BK4" s="63">
        <f>+BD4+AX4+AY4</f>
        <v>740075.95526570617</v>
      </c>
      <c r="BL4" s="48">
        <f>+L4-N4</f>
        <v>0</v>
      </c>
      <c r="BN4" s="49"/>
      <c r="BO4" s="49"/>
    </row>
    <row r="5" spans="1:67" s="18" customFormat="1" ht="27.75" customHeight="1">
      <c r="A5" s="50" t="s">
        <v>65</v>
      </c>
      <c r="B5" s="51" t="s">
        <v>176</v>
      </c>
      <c r="C5" s="52"/>
      <c r="D5" s="53" t="s">
        <v>177</v>
      </c>
      <c r="E5" s="54">
        <v>40148</v>
      </c>
      <c r="F5" s="25">
        <v>42369</v>
      </c>
      <c r="G5" s="54" t="s">
        <v>178</v>
      </c>
      <c r="H5" s="55" t="s">
        <v>179</v>
      </c>
      <c r="I5" s="29">
        <v>693857</v>
      </c>
      <c r="J5" s="28">
        <v>42368</v>
      </c>
      <c r="K5" s="29">
        <v>0</v>
      </c>
      <c r="L5" s="29">
        <v>0</v>
      </c>
      <c r="M5" s="56">
        <v>0</v>
      </c>
      <c r="N5" s="33">
        <v>0</v>
      </c>
      <c r="O5" s="31">
        <v>0</v>
      </c>
      <c r="P5" s="32">
        <v>0</v>
      </c>
      <c r="Q5" s="33">
        <v>0</v>
      </c>
      <c r="R5" s="32">
        <v>0</v>
      </c>
      <c r="S5" s="33">
        <v>0</v>
      </c>
      <c r="T5" s="32">
        <v>0</v>
      </c>
      <c r="U5" s="33">
        <v>0</v>
      </c>
      <c r="V5" s="32">
        <v>0</v>
      </c>
      <c r="W5" s="33">
        <v>0</v>
      </c>
      <c r="X5" s="32">
        <v>0</v>
      </c>
      <c r="Y5" s="33">
        <v>0</v>
      </c>
      <c r="Z5" s="33">
        <v>0</v>
      </c>
      <c r="AA5" s="31">
        <v>0</v>
      </c>
      <c r="AB5" s="31">
        <v>0</v>
      </c>
      <c r="AC5" s="33">
        <v>0</v>
      </c>
      <c r="AD5" s="35"/>
      <c r="AE5" s="33">
        <v>0</v>
      </c>
      <c r="AF5" s="31">
        <v>32.75</v>
      </c>
      <c r="AG5" s="33">
        <v>757460.55833333335</v>
      </c>
      <c r="AH5" s="31">
        <v>0</v>
      </c>
      <c r="AI5" s="31">
        <v>0</v>
      </c>
      <c r="AJ5" s="36">
        <v>757460.55833333335</v>
      </c>
      <c r="AK5" s="33">
        <f>IF(ISNA(VLOOKUP(A5,[2]AVANTAGE!$A$5:$T$118,19,0))=TRUE,0,VLOOKUP(A5,[2]AVANTAGE!$A$5:$T$118,19,0))</f>
        <v>0</v>
      </c>
      <c r="AL5" s="33">
        <f>IF(ISNA(VLOOKUP(A5,[2]AVANTAGE!$A$5:$T$118,20,0))=TRUE,0,VLOOKUP(A5,[2]AVANTAGE!$A$5:$T$118,20,0))</f>
        <v>0</v>
      </c>
      <c r="AM5" s="37">
        <f>+AJ5+AL5</f>
        <v>757460.55833333335</v>
      </c>
      <c r="AN5" s="38">
        <f>IF(D5=0,0,(IF((AM5)*1%&gt;10641.07,10641.07,(AM5)*1%)))</f>
        <v>7574.6055833333339</v>
      </c>
      <c r="AO5" s="33">
        <f>IF(D5=0,0,(IF((AM5)*1%&gt;10641.07,10641.07,(AM5)*1%)))</f>
        <v>7574.6055833333339</v>
      </c>
      <c r="AP5" s="38"/>
      <c r="AQ5" s="38">
        <f>+INT((AJ5+AL5-AO5-AN5-AP5)/100)*100</f>
        <v>742300</v>
      </c>
      <c r="AR5" s="39">
        <f>IF(AQ5=0,0,IF(AQ5&lt;=250000,0,(AQ5-250000)*20%))</f>
        <v>98460</v>
      </c>
      <c r="AS5" s="40">
        <f>VLOOKUP(A5,'[2]Liste personnel'!$B$3:$R$187,16,0)</f>
        <v>3</v>
      </c>
      <c r="AT5" s="38">
        <f>+AS5*2000</f>
        <v>6000</v>
      </c>
      <c r="AU5" s="38">
        <f>+IF(AR5=0,0,IF(AR5-AT5&lt;200,200,AR5-AT5))</f>
        <v>92460</v>
      </c>
      <c r="AV5" s="38">
        <f>IF(ISNA(VLOOKUP(A5,[2]AVANCE!$A$6:$E$122,4,0))=TRUE,0,VLOOKUP(A5,[2]AVANCE!$A$6:$E$122,4,0))</f>
        <v>0</v>
      </c>
      <c r="AW5" s="38">
        <f>IF(ISNA(VLOOKUP(A5,[2]AVANCE!$A$6:$E$122,5,0))=TRUE,0,VLOOKUP(A5,[2]AVANCE!$A$6:$E$122,5,0))</f>
        <v>0</v>
      </c>
      <c r="AX5" s="38">
        <f>+AV5+AW5</f>
        <v>0</v>
      </c>
      <c r="AY5" s="57"/>
      <c r="AZ5" s="58">
        <f>+AO5+AN5+AU5+AX5+AY5</f>
        <v>107609.21116666668</v>
      </c>
      <c r="BA5" s="38">
        <f>+AJ5-AZ5</f>
        <v>649851.34716666664</v>
      </c>
      <c r="BB5" s="117"/>
      <c r="BC5" s="118"/>
      <c r="BD5" s="59">
        <f>+BA5+BB5+BC5</f>
        <v>649851.34716666664</v>
      </c>
      <c r="BE5" s="60">
        <f>IF(BD5-INT(BD5/100)*100&gt;0,INT(BD5/100)*100+100,INT(BD5/100)*100)</f>
        <v>649900</v>
      </c>
      <c r="BF5" s="61"/>
      <c r="BG5" s="61"/>
      <c r="BH5" s="62">
        <f>IF(BF5=0,0,I5/2)</f>
        <v>0</v>
      </c>
      <c r="BI5" s="62">
        <f>IF(BF5=0,0,+IF(BF5-J5&lt;30,J5-BF5,30))</f>
        <v>0</v>
      </c>
      <c r="BJ5" s="62">
        <f>+BI5*BH5/30</f>
        <v>0</v>
      </c>
      <c r="BK5" s="63">
        <f>+BD5+AX5+AY5</f>
        <v>649851.34716666664</v>
      </c>
      <c r="BL5" s="48">
        <f>+L5-N5</f>
        <v>0</v>
      </c>
      <c r="BN5" s="49"/>
      <c r="BO5" s="49"/>
    </row>
    <row r="6" spans="1:67" s="18" customFormat="1" ht="27.75" customHeight="1">
      <c r="A6" s="50" t="s">
        <v>66</v>
      </c>
      <c r="B6" s="51" t="s">
        <v>180</v>
      </c>
      <c r="C6" s="52"/>
      <c r="D6" s="53" t="s">
        <v>181</v>
      </c>
      <c r="E6" s="54">
        <v>40148</v>
      </c>
      <c r="F6" s="25">
        <v>42369</v>
      </c>
      <c r="G6" s="54" t="s">
        <v>182</v>
      </c>
      <c r="H6" s="55" t="s">
        <v>183</v>
      </c>
      <c r="I6" s="29">
        <v>275000</v>
      </c>
      <c r="J6" s="28">
        <v>42368</v>
      </c>
      <c r="K6" s="29">
        <v>0</v>
      </c>
      <c r="L6" s="29">
        <v>0</v>
      </c>
      <c r="M6" s="56">
        <v>0</v>
      </c>
      <c r="N6" s="33">
        <v>0</v>
      </c>
      <c r="O6" s="31">
        <v>1586.5689724802398</v>
      </c>
      <c r="P6" s="32">
        <v>0</v>
      </c>
      <c r="Q6" s="33">
        <v>0</v>
      </c>
      <c r="R6" s="32">
        <v>0</v>
      </c>
      <c r="S6" s="33">
        <v>0</v>
      </c>
      <c r="T6" s="32">
        <v>0</v>
      </c>
      <c r="U6" s="33">
        <v>0</v>
      </c>
      <c r="V6" s="32">
        <v>0</v>
      </c>
      <c r="W6" s="33">
        <v>0</v>
      </c>
      <c r="X6" s="32">
        <v>0</v>
      </c>
      <c r="Y6" s="33">
        <v>0</v>
      </c>
      <c r="Z6" s="33">
        <v>0</v>
      </c>
      <c r="AA6" s="31">
        <v>0</v>
      </c>
      <c r="AB6" s="31">
        <v>0</v>
      </c>
      <c r="AC6" s="33">
        <v>0</v>
      </c>
      <c r="AD6" s="35"/>
      <c r="AE6" s="33">
        <v>0</v>
      </c>
      <c r="AF6" s="31">
        <v>16.25</v>
      </c>
      <c r="AG6" s="33">
        <v>187988.51363563427</v>
      </c>
      <c r="AH6" s="31">
        <v>0</v>
      </c>
      <c r="AI6" s="31">
        <v>0</v>
      </c>
      <c r="AJ6" s="36">
        <v>187988.51363563427</v>
      </c>
      <c r="AK6" s="33">
        <f>IF(ISNA(VLOOKUP(A6,[2]AVANTAGE!$A$5:$T$118,19,0))=TRUE,0,VLOOKUP(A6,[2]AVANTAGE!$A$5:$T$118,19,0))</f>
        <v>0</v>
      </c>
      <c r="AL6" s="33">
        <f>IF(ISNA(VLOOKUP(A6,[2]AVANTAGE!$A$5:$T$118,20,0))=TRUE,0,VLOOKUP(A6,[2]AVANTAGE!$A$5:$T$118,20,0))</f>
        <v>0</v>
      </c>
      <c r="AM6" s="37">
        <f>+AJ6+AL6</f>
        <v>187988.51363563427</v>
      </c>
      <c r="AN6" s="38">
        <f>IF(D6=0,0,(IF((AM6)*1%&gt;10641.07,10641.07,(AM6)*1%)))</f>
        <v>1879.8851363563426</v>
      </c>
      <c r="AO6" s="33">
        <f>IF(D6=0,0,(IF((AM6)*1%&gt;10641.07,10641.07,(AM6)*1%)))</f>
        <v>1879.8851363563426</v>
      </c>
      <c r="AP6" s="38"/>
      <c r="AQ6" s="38">
        <f>+INT((AJ6+AL6-AO6-AN6-AP6)/100)*100</f>
        <v>184200</v>
      </c>
      <c r="AR6" s="39">
        <f>IF(AQ6=0,0,IF(AQ6&lt;=250000,0,(AQ6-250000)*20%))</f>
        <v>0</v>
      </c>
      <c r="AS6" s="40">
        <f>VLOOKUP(A6,'[2]Liste personnel'!$B$3:$R$187,16,0)</f>
        <v>0</v>
      </c>
      <c r="AT6" s="38">
        <f>+AS6*2000</f>
        <v>0</v>
      </c>
      <c r="AU6" s="38">
        <f>+IF(AR6=0,0,IF(AR6-AT6&lt;200,200,AR6-AT6))</f>
        <v>0</v>
      </c>
      <c r="AV6" s="38">
        <f>IF(ISNA(VLOOKUP(A6,[2]AVANCE!$A$6:$E$122,4,0))=TRUE,0,VLOOKUP(A6,[2]AVANCE!$A$6:$E$122,4,0))</f>
        <v>0</v>
      </c>
      <c r="AW6" s="38">
        <f>IF(ISNA(VLOOKUP(A6,[2]AVANCE!$A$6:$E$122,5,0))=TRUE,0,VLOOKUP(A6,[2]AVANCE!$A$6:$E$122,5,0))</f>
        <v>0</v>
      </c>
      <c r="AX6" s="38">
        <f>+AV6+AW6</f>
        <v>0</v>
      </c>
      <c r="AY6" s="57"/>
      <c r="AZ6" s="58">
        <f>+AO6+AN6+AU6+AX6+AY6</f>
        <v>3759.7702727126853</v>
      </c>
      <c r="BA6" s="38">
        <f>+AJ6-AZ6</f>
        <v>184228.74336292158</v>
      </c>
      <c r="BB6" s="117"/>
      <c r="BC6" s="118"/>
      <c r="BD6" s="59">
        <f>+BA6+BB6+BC6</f>
        <v>184228.74336292158</v>
      </c>
      <c r="BE6" s="60">
        <f>IF(BD6-INT(BD6/100)*100&gt;0,INT(BD6/100)*100+100,INT(BD6/100)*100)</f>
        <v>184300</v>
      </c>
      <c r="BF6" s="61"/>
      <c r="BG6" s="61"/>
      <c r="BH6" s="62">
        <f>IF(BF6=0,0,I6/2)</f>
        <v>0</v>
      </c>
      <c r="BI6" s="62">
        <f>IF(BF6=0,0,+IF(BF6-J6&lt;30,J6-BF6,30))</f>
        <v>0</v>
      </c>
      <c r="BJ6" s="62">
        <f>+BI6*BH6/30</f>
        <v>0</v>
      </c>
      <c r="BK6" s="63">
        <f>+BD6+AX6+AY6</f>
        <v>184228.74336292158</v>
      </c>
      <c r="BL6" s="48">
        <f>+L6-N6</f>
        <v>0</v>
      </c>
      <c r="BN6" s="49"/>
      <c r="BO6" s="49"/>
    </row>
    <row r="7" spans="1:67" s="18" customFormat="1" ht="27.75" customHeight="1">
      <c r="A7" s="50" t="s">
        <v>67</v>
      </c>
      <c r="B7" s="51" t="s">
        <v>184</v>
      </c>
      <c r="C7" s="52"/>
      <c r="D7" s="53" t="s">
        <v>185</v>
      </c>
      <c r="E7" s="54">
        <v>40148</v>
      </c>
      <c r="F7" s="25">
        <v>42369</v>
      </c>
      <c r="G7" s="54" t="s">
        <v>186</v>
      </c>
      <c r="H7" s="55" t="s">
        <v>187</v>
      </c>
      <c r="I7" s="29">
        <v>170000</v>
      </c>
      <c r="J7" s="28">
        <v>42368</v>
      </c>
      <c r="K7" s="29">
        <v>0</v>
      </c>
      <c r="L7" s="29">
        <v>0</v>
      </c>
      <c r="M7" s="56">
        <v>0</v>
      </c>
      <c r="N7" s="33">
        <v>0</v>
      </c>
      <c r="O7" s="31">
        <v>980.78809207869369</v>
      </c>
      <c r="P7" s="32">
        <v>0</v>
      </c>
      <c r="Q7" s="33">
        <v>0</v>
      </c>
      <c r="R7" s="32">
        <v>0</v>
      </c>
      <c r="S7" s="33">
        <v>0</v>
      </c>
      <c r="T7" s="32">
        <v>0</v>
      </c>
      <c r="U7" s="33">
        <v>0</v>
      </c>
      <c r="V7" s="32">
        <v>0</v>
      </c>
      <c r="W7" s="33">
        <v>0</v>
      </c>
      <c r="X7" s="32">
        <v>0</v>
      </c>
      <c r="Y7" s="33">
        <v>0</v>
      </c>
      <c r="Z7" s="33">
        <v>0</v>
      </c>
      <c r="AA7" s="31">
        <v>0</v>
      </c>
      <c r="AB7" s="31">
        <v>0</v>
      </c>
      <c r="AC7" s="33">
        <v>0</v>
      </c>
      <c r="AD7" s="35"/>
      <c r="AE7" s="33">
        <v>0</v>
      </c>
      <c r="AF7" s="31">
        <v>30.25</v>
      </c>
      <c r="AG7" s="33">
        <v>215394.1066952633</v>
      </c>
      <c r="AH7" s="31">
        <v>0</v>
      </c>
      <c r="AI7" s="31">
        <v>0</v>
      </c>
      <c r="AJ7" s="36">
        <v>215394.1066952633</v>
      </c>
      <c r="AK7" s="33">
        <f>IF(ISNA(VLOOKUP(A7,[2]AVANTAGE!$A$5:$T$118,19,0))=TRUE,0,VLOOKUP(A7,[2]AVANTAGE!$A$5:$T$118,19,0))</f>
        <v>0</v>
      </c>
      <c r="AL7" s="33">
        <f>IF(ISNA(VLOOKUP(A7,[2]AVANTAGE!$A$5:$T$118,20,0))=TRUE,0,VLOOKUP(A7,[2]AVANTAGE!$A$5:$T$118,20,0))</f>
        <v>0</v>
      </c>
      <c r="AM7" s="37">
        <f>+AJ7+AL7</f>
        <v>215394.1066952633</v>
      </c>
      <c r="AN7" s="38">
        <f>IF(D7=0,0,(IF((AM7)*1%&gt;10641.07,10641.07,(AM7)*1%)))</f>
        <v>2153.9410669526328</v>
      </c>
      <c r="AO7" s="33">
        <f>IF(D7=0,0,(IF((AM7)*1%&gt;10641.07,10641.07,(AM7)*1%)))</f>
        <v>2153.9410669526328</v>
      </c>
      <c r="AP7" s="38"/>
      <c r="AQ7" s="38">
        <f>+INT((AJ7+AL7-AO7-AN7-AP7)/100)*100</f>
        <v>211000</v>
      </c>
      <c r="AR7" s="39">
        <f>IF(AQ7=0,0,IF(AQ7&lt;=250000,0,(AQ7-250000)*20%))</f>
        <v>0</v>
      </c>
      <c r="AS7" s="40">
        <f>VLOOKUP(A7,'[2]Liste personnel'!$B$3:$R$187,16,0)</f>
        <v>0</v>
      </c>
      <c r="AT7" s="38">
        <f>+AS7*2000</f>
        <v>0</v>
      </c>
      <c r="AU7" s="38">
        <f>+IF(AR7=0,0,IF(AR7-AT7&lt;200,200,AR7-AT7))</f>
        <v>0</v>
      </c>
      <c r="AV7" s="38">
        <f>IF(ISNA(VLOOKUP(A7,[2]AVANCE!$A$6:$E$122,4,0))=TRUE,0,VLOOKUP(A7,[2]AVANCE!$A$6:$E$122,4,0))</f>
        <v>0</v>
      </c>
      <c r="AW7" s="38">
        <f>IF(ISNA(VLOOKUP(A7,[2]AVANCE!$A$6:$E$122,5,0))=TRUE,0,VLOOKUP(A7,[2]AVANCE!$A$6:$E$122,5,0))</f>
        <v>0</v>
      </c>
      <c r="AX7" s="38">
        <f>+AV7+AW7</f>
        <v>0</v>
      </c>
      <c r="AY7" s="57"/>
      <c r="AZ7" s="58">
        <f>+AO7+AN7+AU7+AX7+AY7</f>
        <v>4307.8821339052656</v>
      </c>
      <c r="BA7" s="38">
        <f>+AJ7-AZ7</f>
        <v>211086.22456135805</v>
      </c>
      <c r="BB7" s="117"/>
      <c r="BC7" s="118"/>
      <c r="BD7" s="59">
        <f>+BA7+BB7+BC7</f>
        <v>211086.22456135805</v>
      </c>
      <c r="BE7" s="60">
        <f>IF(BD7-INT(BD7/100)*100&gt;0,INT(BD7/100)*100+100,INT(BD7/100)*100)</f>
        <v>211100</v>
      </c>
      <c r="BF7" s="61"/>
      <c r="BG7" s="61"/>
      <c r="BH7" s="62">
        <f>IF(BF7=0,0,I7/2)</f>
        <v>0</v>
      </c>
      <c r="BI7" s="62">
        <f>IF(BF7=0,0,+IF(BF7-J7&lt;30,J7-BF7,30))</f>
        <v>0</v>
      </c>
      <c r="BJ7" s="62">
        <f>+BI7*BH7/30</f>
        <v>0</v>
      </c>
      <c r="BK7" s="63">
        <f>+BD7+AX7+AY7</f>
        <v>211086.22456135805</v>
      </c>
      <c r="BL7" s="48">
        <f>+L7-N7</f>
        <v>0</v>
      </c>
      <c r="BN7" s="49"/>
      <c r="BO7" s="49"/>
    </row>
    <row r="8" spans="1:67" s="18" customFormat="1" ht="27.75" customHeight="1">
      <c r="A8" s="50" t="s">
        <v>68</v>
      </c>
      <c r="B8" s="51" t="s">
        <v>188</v>
      </c>
      <c r="C8" s="52"/>
      <c r="D8" s="53" t="s">
        <v>189</v>
      </c>
      <c r="E8" s="54">
        <v>40148</v>
      </c>
      <c r="F8" s="25">
        <v>42369</v>
      </c>
      <c r="G8" s="54" t="s">
        <v>182</v>
      </c>
      <c r="H8" s="55" t="s">
        <v>183</v>
      </c>
      <c r="I8" s="29">
        <v>300000</v>
      </c>
      <c r="J8" s="28">
        <v>42368</v>
      </c>
      <c r="K8" s="29">
        <v>0</v>
      </c>
      <c r="L8" s="29">
        <v>0</v>
      </c>
      <c r="M8" s="56">
        <v>0</v>
      </c>
      <c r="N8" s="33">
        <v>0</v>
      </c>
      <c r="O8" s="31">
        <v>1730.8025154329889</v>
      </c>
      <c r="P8" s="32">
        <v>0</v>
      </c>
      <c r="Q8" s="33">
        <v>0</v>
      </c>
      <c r="R8" s="32">
        <v>0</v>
      </c>
      <c r="S8" s="33">
        <v>0</v>
      </c>
      <c r="T8" s="32">
        <v>0</v>
      </c>
      <c r="U8" s="33">
        <v>0</v>
      </c>
      <c r="V8" s="32">
        <v>0</v>
      </c>
      <c r="W8" s="33">
        <v>0</v>
      </c>
      <c r="X8" s="32">
        <v>0</v>
      </c>
      <c r="Y8" s="33">
        <v>0</v>
      </c>
      <c r="Z8" s="33">
        <v>0</v>
      </c>
      <c r="AA8" s="31">
        <v>0</v>
      </c>
      <c r="AB8" s="31">
        <v>0</v>
      </c>
      <c r="AC8" s="33">
        <v>0</v>
      </c>
      <c r="AD8" s="35"/>
      <c r="AE8" s="33">
        <v>0</v>
      </c>
      <c r="AF8" s="31">
        <v>16.75</v>
      </c>
      <c r="AG8" s="33">
        <v>202247.84203308643</v>
      </c>
      <c r="AH8" s="31">
        <v>0</v>
      </c>
      <c r="AI8" s="31">
        <v>0</v>
      </c>
      <c r="AJ8" s="36">
        <v>202247.84203308643</v>
      </c>
      <c r="AK8" s="33">
        <f>IF(ISNA(VLOOKUP(A8,[2]AVANTAGE!$A$5:$T$118,19,0))=TRUE,0,VLOOKUP(A8,[2]AVANTAGE!$A$5:$T$118,19,0))</f>
        <v>0</v>
      </c>
      <c r="AL8" s="33">
        <f>IF(ISNA(VLOOKUP(A8,[2]AVANTAGE!$A$5:$T$118,20,0))=TRUE,0,VLOOKUP(A8,[2]AVANTAGE!$A$5:$T$118,20,0))</f>
        <v>0</v>
      </c>
      <c r="AM8" s="37">
        <f>+AJ8+AL8</f>
        <v>202247.84203308643</v>
      </c>
      <c r="AN8" s="38">
        <f>IF(D8=0,0,(IF((AM8)*1%&gt;10641.07,10641.07,(AM8)*1%)))</f>
        <v>2022.4784203308643</v>
      </c>
      <c r="AO8" s="33">
        <f>IF(D8=0,0,(IF((AM8)*1%&gt;10641.07,10641.07,(AM8)*1%)))</f>
        <v>2022.4784203308643</v>
      </c>
      <c r="AP8" s="38"/>
      <c r="AQ8" s="38">
        <f>+INT((AJ8+AL8-AO8-AN8-AP8)/100)*100</f>
        <v>198200</v>
      </c>
      <c r="AR8" s="39">
        <f>IF(AQ8=0,0,IF(AQ8&lt;=250000,0,(AQ8-250000)*20%))</f>
        <v>0</v>
      </c>
      <c r="AS8" s="40">
        <f>VLOOKUP(A8,'[2]Liste personnel'!$B$3:$R$187,16,0)</f>
        <v>3</v>
      </c>
      <c r="AT8" s="38">
        <f>+AS8*2000</f>
        <v>6000</v>
      </c>
      <c r="AU8" s="38">
        <f>+IF(AR8=0,0,IF(AR8-AT8&lt;200,200,AR8-AT8))</f>
        <v>0</v>
      </c>
      <c r="AV8" s="38">
        <f>IF(ISNA(VLOOKUP(A8,[2]AVANCE!$A$6:$E$122,4,0))=TRUE,0,VLOOKUP(A8,[2]AVANCE!$A$6:$E$122,4,0))</f>
        <v>0</v>
      </c>
      <c r="AW8" s="38">
        <f>IF(ISNA(VLOOKUP(A8,[2]AVANCE!$A$6:$E$122,5,0))=TRUE,0,VLOOKUP(A8,[2]AVANCE!$A$6:$E$122,5,0))</f>
        <v>0</v>
      </c>
      <c r="AX8" s="38">
        <f>+AV8+AW8</f>
        <v>0</v>
      </c>
      <c r="AY8" s="57"/>
      <c r="AZ8" s="58">
        <f>+AO8+AN8+AU8+AX8+AY8</f>
        <v>4044.9568406617286</v>
      </c>
      <c r="BA8" s="38">
        <f>+AJ8-AZ8</f>
        <v>198202.8851924247</v>
      </c>
      <c r="BB8" s="117"/>
      <c r="BC8" s="118"/>
      <c r="BD8" s="59">
        <f>+BA8+BB8+BC8</f>
        <v>198202.8851924247</v>
      </c>
      <c r="BE8" s="60">
        <f>IF(BD8-INT(BD8/100)*100&gt;0,INT(BD8/100)*100+100,INT(BD8/100)*100)</f>
        <v>198300</v>
      </c>
      <c r="BF8" s="61"/>
      <c r="BG8" s="61"/>
      <c r="BH8" s="62">
        <f>IF(BF8=0,0,I8/2)</f>
        <v>0</v>
      </c>
      <c r="BI8" s="62">
        <f>IF(BF8=0,0,+IF(BF8-J8&lt;30,J8-BF8,30))</f>
        <v>0</v>
      </c>
      <c r="BJ8" s="62">
        <f>+BI8*BH8/30</f>
        <v>0</v>
      </c>
      <c r="BK8" s="63">
        <f>+BD8+AX8+AY8</f>
        <v>198202.8851924247</v>
      </c>
      <c r="BL8" s="48">
        <f>+L8-N8</f>
        <v>0</v>
      </c>
      <c r="BN8" s="49"/>
      <c r="BO8" s="49"/>
    </row>
    <row r="9" spans="1:67" s="18" customFormat="1" ht="27.75" customHeight="1">
      <c r="A9" s="50" t="s">
        <v>69</v>
      </c>
      <c r="B9" s="51" t="s">
        <v>190</v>
      </c>
      <c r="C9" s="52"/>
      <c r="D9" s="53" t="s">
        <v>191</v>
      </c>
      <c r="E9" s="54">
        <v>40140</v>
      </c>
      <c r="F9" s="25">
        <v>42369</v>
      </c>
      <c r="G9" s="54" t="s">
        <v>192</v>
      </c>
      <c r="H9" s="55" t="s">
        <v>169</v>
      </c>
      <c r="I9" s="29">
        <v>300000</v>
      </c>
      <c r="J9" s="28">
        <v>42368</v>
      </c>
      <c r="K9" s="29">
        <v>0</v>
      </c>
      <c r="L9" s="29">
        <v>0</v>
      </c>
      <c r="M9" s="56">
        <v>0</v>
      </c>
      <c r="N9" s="33">
        <v>0</v>
      </c>
      <c r="O9" s="31">
        <v>1730.8025154329889</v>
      </c>
      <c r="P9" s="32">
        <v>0</v>
      </c>
      <c r="Q9" s="33">
        <v>0</v>
      </c>
      <c r="R9" s="32">
        <v>0</v>
      </c>
      <c r="S9" s="33">
        <v>0</v>
      </c>
      <c r="T9" s="32">
        <v>0</v>
      </c>
      <c r="U9" s="33">
        <v>0</v>
      </c>
      <c r="V9" s="32">
        <v>0</v>
      </c>
      <c r="W9" s="33">
        <v>0</v>
      </c>
      <c r="X9" s="32">
        <v>0</v>
      </c>
      <c r="Y9" s="33">
        <v>0</v>
      </c>
      <c r="Z9" s="33">
        <v>0</v>
      </c>
      <c r="AA9" s="31">
        <v>0</v>
      </c>
      <c r="AB9" s="31">
        <v>0</v>
      </c>
      <c r="AC9" s="33">
        <v>0</v>
      </c>
      <c r="AD9" s="35"/>
      <c r="AE9" s="33">
        <v>0</v>
      </c>
      <c r="AF9" s="31">
        <v>56.75</v>
      </c>
      <c r="AG9" s="33">
        <v>1008737.2392103258</v>
      </c>
      <c r="AH9" s="31">
        <v>0</v>
      </c>
      <c r="AI9" s="31">
        <v>0</v>
      </c>
      <c r="AJ9" s="36">
        <v>1008737.2392103258</v>
      </c>
      <c r="AK9" s="33">
        <f>IF(ISNA(VLOOKUP(A9,[2]AVANTAGE!$A$5:$T$118,19,0))=TRUE,0,VLOOKUP(A9,[2]AVANTAGE!$A$5:$T$118,19,0))</f>
        <v>0</v>
      </c>
      <c r="AL9" s="33">
        <f>IF(ISNA(VLOOKUP(A9,[2]AVANTAGE!$A$5:$T$118,20,0))=TRUE,0,VLOOKUP(A9,[2]AVANTAGE!$A$5:$T$118,20,0))</f>
        <v>0</v>
      </c>
      <c r="AM9" s="37">
        <f>+AJ9+AL9</f>
        <v>1008737.2392103258</v>
      </c>
      <c r="AN9" s="38">
        <f>IF(D9=0,0,(IF((AM9)*1%&gt;10641.07,10641.07,(AM9)*1%)))</f>
        <v>10087.372392103258</v>
      </c>
      <c r="AO9" s="33">
        <f>IF(D9=0,0,(IF((AM9)*1%&gt;10641.07,10641.07,(AM9)*1%)))</f>
        <v>10087.372392103258</v>
      </c>
      <c r="AP9" s="38"/>
      <c r="AQ9" s="38">
        <f>+INT((AJ9+AL9-AO9-AN9-AP9)/100)*100</f>
        <v>988500</v>
      </c>
      <c r="AR9" s="39">
        <f>IF(AQ9=0,0,IF(AQ9&lt;=250000,0,(AQ9-250000)*20%))</f>
        <v>147700</v>
      </c>
      <c r="AS9" s="40">
        <f>VLOOKUP(A9,'[2]Liste personnel'!$B$3:$R$187,16,0)</f>
        <v>2</v>
      </c>
      <c r="AT9" s="38">
        <f>+AS9*2000</f>
        <v>4000</v>
      </c>
      <c r="AU9" s="38">
        <f>+IF(AR9=0,0,IF(AR9-AT9&lt;200,200,AR9-AT9))</f>
        <v>143700</v>
      </c>
      <c r="AV9" s="38">
        <f>IF(ISNA(VLOOKUP(A9,[2]AVANCE!$A$6:$E$122,4,0))=TRUE,0,VLOOKUP(A9,[2]AVANCE!$A$6:$E$122,4,0))</f>
        <v>0</v>
      </c>
      <c r="AW9" s="38">
        <f>IF(ISNA(VLOOKUP(A9,[2]AVANCE!$A$6:$E$122,5,0))=TRUE,0,VLOOKUP(A9,[2]AVANCE!$A$6:$E$122,5,0))</f>
        <v>0</v>
      </c>
      <c r="AX9" s="38">
        <f>+AV9+AW9</f>
        <v>0</v>
      </c>
      <c r="AY9" s="57"/>
      <c r="AZ9" s="58">
        <f>+AO9+AN9+AU9+AX9+AY9</f>
        <v>163874.7447842065</v>
      </c>
      <c r="BA9" s="38">
        <f>+AJ9-AZ9</f>
        <v>844862.49442611926</v>
      </c>
      <c r="BB9" s="117"/>
      <c r="BC9" s="118"/>
      <c r="BD9" s="59">
        <f>+BA9+BB9+BC9</f>
        <v>844862.49442611926</v>
      </c>
      <c r="BE9" s="60">
        <f>IF(BD9-INT(BD9/100)*100&gt;0,INT(BD9/100)*100+100,INT(BD9/100)*100)</f>
        <v>844900</v>
      </c>
      <c r="BF9" s="61"/>
      <c r="BG9" s="61"/>
      <c r="BH9" s="62">
        <f>IF(BF9=0,0,I9/2)</f>
        <v>0</v>
      </c>
      <c r="BI9" s="62">
        <f>IF(BF9=0,0,+IF(BF9-J9&lt;30,J9-BF9,30))</f>
        <v>0</v>
      </c>
      <c r="BJ9" s="62">
        <f>+BI9*BH9/30</f>
        <v>0</v>
      </c>
      <c r="BK9" s="63">
        <f>+BD9+AX9+AY9</f>
        <v>844862.49442611926</v>
      </c>
      <c r="BL9" s="48">
        <f>+L9-N9</f>
        <v>0</v>
      </c>
      <c r="BN9" s="49"/>
      <c r="BO9" s="49"/>
    </row>
    <row r="10" spans="1:67" s="18" customFormat="1" ht="27.75" customHeight="1">
      <c r="A10" s="50" t="s">
        <v>70</v>
      </c>
      <c r="B10" s="51" t="s">
        <v>193</v>
      </c>
      <c r="C10" s="52"/>
      <c r="D10" s="53" t="s">
        <v>194</v>
      </c>
      <c r="E10" s="54">
        <v>40262</v>
      </c>
      <c r="F10" s="25">
        <v>42369</v>
      </c>
      <c r="G10" s="54" t="s">
        <v>186</v>
      </c>
      <c r="H10" s="55" t="s">
        <v>187</v>
      </c>
      <c r="I10" s="29">
        <v>170000</v>
      </c>
      <c r="J10" s="28">
        <v>42368</v>
      </c>
      <c r="K10" s="29">
        <v>0</v>
      </c>
      <c r="L10" s="29">
        <v>0</v>
      </c>
      <c r="M10" s="56">
        <v>0</v>
      </c>
      <c r="N10" s="33">
        <v>0</v>
      </c>
      <c r="O10" s="31">
        <v>980.78809207869369</v>
      </c>
      <c r="P10" s="32">
        <v>0</v>
      </c>
      <c r="Q10" s="33">
        <v>0</v>
      </c>
      <c r="R10" s="32">
        <v>0</v>
      </c>
      <c r="S10" s="33">
        <v>0</v>
      </c>
      <c r="T10" s="32">
        <v>0</v>
      </c>
      <c r="U10" s="33">
        <v>0</v>
      </c>
      <c r="V10" s="32">
        <v>0</v>
      </c>
      <c r="W10" s="33">
        <v>0</v>
      </c>
      <c r="X10" s="32">
        <v>0</v>
      </c>
      <c r="Y10" s="33">
        <v>0</v>
      </c>
      <c r="Z10" s="33">
        <v>0</v>
      </c>
      <c r="AA10" s="31">
        <v>0</v>
      </c>
      <c r="AB10" s="31">
        <v>0</v>
      </c>
      <c r="AC10" s="33">
        <v>0</v>
      </c>
      <c r="AD10" s="35"/>
      <c r="AE10" s="33">
        <v>0</v>
      </c>
      <c r="AF10" s="31">
        <v>33.583333333333343</v>
      </c>
      <c r="AG10" s="33">
        <v>205495.37886297173</v>
      </c>
      <c r="AH10" s="31">
        <v>0</v>
      </c>
      <c r="AI10" s="31">
        <v>0</v>
      </c>
      <c r="AJ10" s="36">
        <v>205495.37886297173</v>
      </c>
      <c r="AK10" s="33">
        <f>IF(ISNA(VLOOKUP(A10,[2]AVANTAGE!$A$5:$T$118,19,0))=TRUE,0,VLOOKUP(A10,[2]AVANTAGE!$A$5:$T$118,19,0))</f>
        <v>0</v>
      </c>
      <c r="AL10" s="33">
        <f>IF(ISNA(VLOOKUP(A10,[2]AVANTAGE!$A$5:$T$118,20,0))=TRUE,0,VLOOKUP(A10,[2]AVANTAGE!$A$5:$T$118,20,0))</f>
        <v>0</v>
      </c>
      <c r="AM10" s="37">
        <f>+AJ10+AL10</f>
        <v>205495.37886297173</v>
      </c>
      <c r="AN10" s="38">
        <f>IF(D10=0,0,(IF((AM10)*1%&gt;10641.07,10641.07,(AM10)*1%)))</f>
        <v>2054.9537886297176</v>
      </c>
      <c r="AO10" s="33">
        <f>IF(D10=0,0,(IF((AM10)*1%&gt;10641.07,10641.07,(AM10)*1%)))</f>
        <v>2054.9537886297176</v>
      </c>
      <c r="AP10" s="38"/>
      <c r="AQ10" s="38">
        <f>+INT((AJ10+AL10-AO10-AN10-AP10)/100)*100</f>
        <v>201300</v>
      </c>
      <c r="AR10" s="39">
        <f>IF(AQ10=0,0,IF(AQ10&lt;=250000,0,(AQ10-250000)*20%))</f>
        <v>0</v>
      </c>
      <c r="AS10" s="40">
        <f>VLOOKUP(A10,'[2]Liste personnel'!$B$3:$R$187,16,0)</f>
        <v>0</v>
      </c>
      <c r="AT10" s="38">
        <f>+AS10*2000</f>
        <v>0</v>
      </c>
      <c r="AU10" s="38">
        <f>+IF(AR10=0,0,IF(AR10-AT10&lt;200,200,AR10-AT10))</f>
        <v>0</v>
      </c>
      <c r="AV10" s="38">
        <f>IF(ISNA(VLOOKUP(A10,[2]AVANCE!$A$6:$E$122,4,0))=TRUE,0,VLOOKUP(A10,[2]AVANCE!$A$6:$E$122,4,0))</f>
        <v>0</v>
      </c>
      <c r="AW10" s="38">
        <f>IF(ISNA(VLOOKUP(A10,[2]AVANCE!$A$6:$E$122,5,0))=TRUE,0,VLOOKUP(A10,[2]AVANCE!$A$6:$E$122,5,0))</f>
        <v>0</v>
      </c>
      <c r="AX10" s="38">
        <f>+AV10+AW10</f>
        <v>0</v>
      </c>
      <c r="AY10" s="57"/>
      <c r="AZ10" s="58">
        <f>+AO10+AN10+AU10+AX10+AY10</f>
        <v>4109.9075772594351</v>
      </c>
      <c r="BA10" s="38">
        <f>+AJ10-AZ10</f>
        <v>201385.47128571229</v>
      </c>
      <c r="BB10" s="117"/>
      <c r="BC10" s="118"/>
      <c r="BD10" s="59">
        <f>+BA10+BB10+BC10</f>
        <v>201385.47128571229</v>
      </c>
      <c r="BE10" s="60">
        <f>IF(BD10-INT(BD10/100)*100&gt;0,INT(BD10/100)*100+100,INT(BD10/100)*100)</f>
        <v>201400</v>
      </c>
      <c r="BF10" s="61"/>
      <c r="BG10" s="61"/>
      <c r="BH10" s="62">
        <f>IF(BF10=0,0,I10/2)</f>
        <v>0</v>
      </c>
      <c r="BI10" s="62">
        <f>IF(BF10=0,0,+IF(BF10-J10&lt;30,J10-BF10,30))</f>
        <v>0</v>
      </c>
      <c r="BJ10" s="62">
        <f>+BI10*BH10/30</f>
        <v>0</v>
      </c>
      <c r="BK10" s="63">
        <f>+BD10+AX10+AY10</f>
        <v>201385.47128571229</v>
      </c>
      <c r="BL10" s="48">
        <f>+L10-N10</f>
        <v>0</v>
      </c>
      <c r="BN10" s="49"/>
      <c r="BO10" s="49"/>
    </row>
    <row r="11" spans="1:67" s="18" customFormat="1" ht="27.75" customHeight="1">
      <c r="A11" s="50" t="s">
        <v>71</v>
      </c>
      <c r="B11" s="51" t="s">
        <v>195</v>
      </c>
      <c r="C11" s="52"/>
      <c r="D11" s="53" t="s">
        <v>196</v>
      </c>
      <c r="E11" s="54">
        <v>40263</v>
      </c>
      <c r="F11" s="25">
        <v>42369</v>
      </c>
      <c r="G11" s="54" t="s">
        <v>186</v>
      </c>
      <c r="H11" s="55" t="s">
        <v>187</v>
      </c>
      <c r="I11" s="29">
        <v>170000</v>
      </c>
      <c r="J11" s="28">
        <v>42368</v>
      </c>
      <c r="K11" s="29">
        <v>0</v>
      </c>
      <c r="L11" s="29">
        <v>0</v>
      </c>
      <c r="M11" s="56">
        <v>0</v>
      </c>
      <c r="N11" s="33">
        <v>0</v>
      </c>
      <c r="O11" s="31">
        <v>980.78809207869369</v>
      </c>
      <c r="P11" s="32">
        <v>0</v>
      </c>
      <c r="Q11" s="33">
        <v>0</v>
      </c>
      <c r="R11" s="32">
        <v>0</v>
      </c>
      <c r="S11" s="33">
        <v>0</v>
      </c>
      <c r="T11" s="32">
        <v>0</v>
      </c>
      <c r="U11" s="33">
        <v>0</v>
      </c>
      <c r="V11" s="32">
        <v>0</v>
      </c>
      <c r="W11" s="33">
        <v>0</v>
      </c>
      <c r="X11" s="32">
        <v>0</v>
      </c>
      <c r="Y11" s="33">
        <v>0</v>
      </c>
      <c r="Z11" s="33">
        <v>0</v>
      </c>
      <c r="AA11" s="31">
        <v>0</v>
      </c>
      <c r="AB11" s="31">
        <v>0</v>
      </c>
      <c r="AC11" s="33">
        <v>0</v>
      </c>
      <c r="AD11" s="35"/>
      <c r="AE11" s="33">
        <v>0</v>
      </c>
      <c r="AF11" s="31">
        <v>22</v>
      </c>
      <c r="AG11" s="33">
        <v>155587.88925861852</v>
      </c>
      <c r="AH11" s="31">
        <v>0</v>
      </c>
      <c r="AI11" s="31">
        <v>0</v>
      </c>
      <c r="AJ11" s="36">
        <v>155587.88925861852</v>
      </c>
      <c r="AK11" s="33">
        <f>IF(ISNA(VLOOKUP(A11,[2]AVANTAGE!$A$5:$T$118,19,0))=TRUE,0,VLOOKUP(A11,[2]AVANTAGE!$A$5:$T$118,19,0))</f>
        <v>0</v>
      </c>
      <c r="AL11" s="33">
        <f>IF(ISNA(VLOOKUP(A11,[2]AVANTAGE!$A$5:$T$118,20,0))=TRUE,0,VLOOKUP(A11,[2]AVANTAGE!$A$5:$T$118,20,0))</f>
        <v>0</v>
      </c>
      <c r="AM11" s="37">
        <f>+AJ11+AL11</f>
        <v>155587.88925861852</v>
      </c>
      <c r="AN11" s="38">
        <f>IF(D11=0,0,(IF((AM11)*1%&gt;10641.07,10641.07,(AM11)*1%)))</f>
        <v>1555.8788925861852</v>
      </c>
      <c r="AO11" s="33">
        <f>IF(D11=0,0,(IF((AM11)*1%&gt;10641.07,10641.07,(AM11)*1%)))</f>
        <v>1555.8788925861852</v>
      </c>
      <c r="AP11" s="38"/>
      <c r="AQ11" s="38">
        <f>+INT((AJ11+AL11-AO11-AN11-AP11)/100)*100</f>
        <v>152400</v>
      </c>
      <c r="AR11" s="39">
        <f>IF(AQ11=0,0,IF(AQ11&lt;=250000,0,(AQ11-250000)*20%))</f>
        <v>0</v>
      </c>
      <c r="AS11" s="40">
        <f>VLOOKUP(A11,'[2]Liste personnel'!$B$3:$R$187,16,0)</f>
        <v>0</v>
      </c>
      <c r="AT11" s="38">
        <f>+AS11*2000</f>
        <v>0</v>
      </c>
      <c r="AU11" s="38">
        <f>+IF(AR11=0,0,IF(AR11-AT11&lt;200,200,AR11-AT11))</f>
        <v>0</v>
      </c>
      <c r="AV11" s="38">
        <f>IF(ISNA(VLOOKUP(A11,[2]AVANCE!$A$6:$E$122,4,0))=TRUE,0,VLOOKUP(A11,[2]AVANCE!$A$6:$E$122,4,0))</f>
        <v>0</v>
      </c>
      <c r="AW11" s="38">
        <f>IF(ISNA(VLOOKUP(A11,[2]AVANCE!$A$6:$E$122,5,0))=TRUE,0,VLOOKUP(A11,[2]AVANCE!$A$6:$E$122,5,0))</f>
        <v>0</v>
      </c>
      <c r="AX11" s="38">
        <f>+AV11+AW11</f>
        <v>0</v>
      </c>
      <c r="AY11" s="57"/>
      <c r="AZ11" s="58">
        <f>+AO11+AN11+AU11+AX11+AY11</f>
        <v>3111.7577851723704</v>
      </c>
      <c r="BA11" s="38">
        <f>+AJ11-AZ11</f>
        <v>152476.13147344615</v>
      </c>
      <c r="BB11" s="117"/>
      <c r="BC11" s="118"/>
      <c r="BD11" s="59">
        <f>+BA11+BB11+BC11</f>
        <v>152476.13147344615</v>
      </c>
      <c r="BE11" s="60">
        <f>IF(BD11-INT(BD11/100)*100&gt;0,INT(BD11/100)*100+100,INT(BD11/100)*100)</f>
        <v>152500</v>
      </c>
      <c r="BF11" s="61"/>
      <c r="BG11" s="61"/>
      <c r="BH11" s="62">
        <f>IF(BF11=0,0,I11/2)</f>
        <v>0</v>
      </c>
      <c r="BI11" s="62">
        <f>IF(BF11=0,0,+IF(BF11-J11&lt;30,J11-BF11,30))</f>
        <v>0</v>
      </c>
      <c r="BJ11" s="62">
        <f>+BI11*BH11/30</f>
        <v>0</v>
      </c>
      <c r="BK11" s="63">
        <f>+BD11+AX11+AY11</f>
        <v>152476.13147344615</v>
      </c>
      <c r="BL11" s="48">
        <f>+L11-N11</f>
        <v>0</v>
      </c>
      <c r="BN11" s="49"/>
      <c r="BO11" s="49"/>
    </row>
    <row r="12" spans="1:67" s="18" customFormat="1" ht="27.75" customHeight="1">
      <c r="A12" s="50" t="s">
        <v>72</v>
      </c>
      <c r="B12" s="51" t="s">
        <v>197</v>
      </c>
      <c r="C12" s="52"/>
      <c r="D12" s="53" t="s">
        <v>198</v>
      </c>
      <c r="E12" s="54">
        <v>40289</v>
      </c>
      <c r="F12" s="25">
        <v>42369</v>
      </c>
      <c r="G12" s="54" t="s">
        <v>168</v>
      </c>
      <c r="H12" s="55" t="s">
        <v>183</v>
      </c>
      <c r="I12" s="29">
        <v>380000</v>
      </c>
      <c r="J12" s="28">
        <v>42368</v>
      </c>
      <c r="K12" s="29">
        <v>0</v>
      </c>
      <c r="L12" s="29">
        <v>0</v>
      </c>
      <c r="M12" s="56">
        <v>0</v>
      </c>
      <c r="N12" s="33">
        <v>0</v>
      </c>
      <c r="O12" s="31">
        <v>2192.3498528817859</v>
      </c>
      <c r="P12" s="32">
        <v>0</v>
      </c>
      <c r="Q12" s="33">
        <v>0</v>
      </c>
      <c r="R12" s="32">
        <v>0</v>
      </c>
      <c r="S12" s="33">
        <v>0</v>
      </c>
      <c r="T12" s="32">
        <v>0</v>
      </c>
      <c r="U12" s="33">
        <v>0</v>
      </c>
      <c r="V12" s="32">
        <v>0</v>
      </c>
      <c r="W12" s="33">
        <v>0</v>
      </c>
      <c r="X12" s="32">
        <v>0</v>
      </c>
      <c r="Y12" s="33">
        <v>0</v>
      </c>
      <c r="Z12" s="33">
        <v>0</v>
      </c>
      <c r="AA12" s="31">
        <v>0</v>
      </c>
      <c r="AB12" s="31">
        <v>0</v>
      </c>
      <c r="AC12" s="33">
        <v>0</v>
      </c>
      <c r="AD12" s="35"/>
      <c r="AE12" s="33">
        <v>0</v>
      </c>
      <c r="AF12" s="31">
        <v>15.583333333333314</v>
      </c>
      <c r="AG12" s="33">
        <v>228355.44300891081</v>
      </c>
      <c r="AH12" s="31">
        <v>0</v>
      </c>
      <c r="AI12" s="31">
        <v>0</v>
      </c>
      <c r="AJ12" s="36">
        <v>228355.44300891081</v>
      </c>
      <c r="AK12" s="33">
        <f>IF(ISNA(VLOOKUP(A12,[2]AVANTAGE!$A$5:$T$118,19,0))=TRUE,0,VLOOKUP(A12,[2]AVANTAGE!$A$5:$T$118,19,0))</f>
        <v>0</v>
      </c>
      <c r="AL12" s="33">
        <f>IF(ISNA(VLOOKUP(A12,[2]AVANTAGE!$A$5:$T$118,20,0))=TRUE,0,VLOOKUP(A12,[2]AVANTAGE!$A$5:$T$118,20,0))</f>
        <v>0</v>
      </c>
      <c r="AM12" s="37">
        <f>+AJ12+AL12</f>
        <v>228355.44300891081</v>
      </c>
      <c r="AN12" s="38">
        <f>IF(D12=0,0,(IF((AM12)*1%&gt;10641.07,10641.07,(AM12)*1%)))</f>
        <v>2283.5544300891083</v>
      </c>
      <c r="AO12" s="33">
        <f>IF(D12=0,0,(IF((AM12)*1%&gt;10641.07,10641.07,(AM12)*1%)))</f>
        <v>2283.5544300891083</v>
      </c>
      <c r="AP12" s="38"/>
      <c r="AQ12" s="38">
        <f>+INT((AJ12+AL12-AO12-AN12-AP12)/100)*100</f>
        <v>223700</v>
      </c>
      <c r="AR12" s="39">
        <f>IF(AQ12=0,0,IF(AQ12&lt;=250000,0,(AQ12-250000)*20%))</f>
        <v>0</v>
      </c>
      <c r="AS12" s="40">
        <f>VLOOKUP(A12,'[2]Liste personnel'!$B$3:$R$187,16,0)</f>
        <v>0</v>
      </c>
      <c r="AT12" s="38">
        <f>+AS12*2000</f>
        <v>0</v>
      </c>
      <c r="AU12" s="38">
        <f>+IF(AR12=0,0,IF(AR12-AT12&lt;200,200,AR12-AT12))</f>
        <v>0</v>
      </c>
      <c r="AV12" s="38">
        <f>IF(ISNA(VLOOKUP(A12,[2]AVANCE!$A$6:$E$122,4,0))=TRUE,0,VLOOKUP(A12,[2]AVANCE!$A$6:$E$122,4,0))</f>
        <v>0</v>
      </c>
      <c r="AW12" s="38">
        <f>IF(ISNA(VLOOKUP(A12,[2]AVANCE!$A$6:$E$122,5,0))=TRUE,0,VLOOKUP(A12,[2]AVANCE!$A$6:$E$122,5,0))</f>
        <v>0</v>
      </c>
      <c r="AX12" s="38">
        <f>+AV12+AW12</f>
        <v>0</v>
      </c>
      <c r="AY12" s="57"/>
      <c r="AZ12" s="58">
        <f>+AO12+AN12+AU12+AX12+AY12</f>
        <v>4567.1088601782167</v>
      </c>
      <c r="BA12" s="38">
        <f>+AJ12-AZ12</f>
        <v>223788.3341487326</v>
      </c>
      <c r="BB12" s="117"/>
      <c r="BC12" s="118"/>
      <c r="BD12" s="59">
        <f>+BA12+BB12+BC12</f>
        <v>223788.3341487326</v>
      </c>
      <c r="BE12" s="60">
        <f>IF(BD12-INT(BD12/100)*100&gt;0,INT(BD12/100)*100+100,INT(BD12/100)*100)</f>
        <v>223800</v>
      </c>
      <c r="BF12" s="61"/>
      <c r="BG12" s="61"/>
      <c r="BH12" s="62">
        <f>IF(BF12=0,0,I12/2)</f>
        <v>0</v>
      </c>
      <c r="BI12" s="62">
        <f>IF(BF12=0,0,+IF(BF12-J12&lt;30,J12-BF12,30))</f>
        <v>0</v>
      </c>
      <c r="BJ12" s="62">
        <f>+BI12*BH12/30</f>
        <v>0</v>
      </c>
      <c r="BK12" s="63">
        <f>+BD12+AX12+AY12</f>
        <v>223788.3341487326</v>
      </c>
      <c r="BL12" s="48">
        <f>+L12-N12</f>
        <v>0</v>
      </c>
      <c r="BN12" s="49"/>
      <c r="BO12" s="49"/>
    </row>
    <row r="13" spans="1:67" s="18" customFormat="1" ht="27.75" customHeight="1">
      <c r="A13" s="50" t="s">
        <v>73</v>
      </c>
      <c r="B13" s="51" t="s">
        <v>199</v>
      </c>
      <c r="C13" s="52"/>
      <c r="D13" s="53" t="s">
        <v>200</v>
      </c>
      <c r="E13" s="54">
        <v>40297</v>
      </c>
      <c r="F13" s="25">
        <v>42369</v>
      </c>
      <c r="G13" s="54" t="s">
        <v>201</v>
      </c>
      <c r="H13" s="55" t="s">
        <v>183</v>
      </c>
      <c r="I13" s="29">
        <v>220000</v>
      </c>
      <c r="J13" s="28">
        <v>42368</v>
      </c>
      <c r="K13" s="29">
        <v>0</v>
      </c>
      <c r="L13" s="29">
        <v>0</v>
      </c>
      <c r="M13" s="56">
        <v>0</v>
      </c>
      <c r="N13" s="33">
        <v>0</v>
      </c>
      <c r="O13" s="31">
        <v>1269.255177984192</v>
      </c>
      <c r="P13" s="32">
        <v>0</v>
      </c>
      <c r="Q13" s="33">
        <v>0</v>
      </c>
      <c r="R13" s="32">
        <v>0</v>
      </c>
      <c r="S13" s="33">
        <v>0</v>
      </c>
      <c r="T13" s="32">
        <v>0</v>
      </c>
      <c r="U13" s="33">
        <v>0</v>
      </c>
      <c r="V13" s="32">
        <v>0</v>
      </c>
      <c r="W13" s="33">
        <v>0</v>
      </c>
      <c r="X13" s="32">
        <v>0</v>
      </c>
      <c r="Y13" s="33">
        <v>0</v>
      </c>
      <c r="Z13" s="33">
        <v>0</v>
      </c>
      <c r="AA13" s="31">
        <v>0</v>
      </c>
      <c r="AB13" s="31">
        <v>0</v>
      </c>
      <c r="AC13" s="33">
        <v>0</v>
      </c>
      <c r="AD13" s="35"/>
      <c r="AE13" s="33">
        <v>0</v>
      </c>
      <c r="AF13" s="31">
        <v>15.086666666666673</v>
      </c>
      <c r="AG13" s="33">
        <v>148430.11104914581</v>
      </c>
      <c r="AH13" s="31">
        <v>0</v>
      </c>
      <c r="AI13" s="31">
        <v>0</v>
      </c>
      <c r="AJ13" s="36">
        <v>148430.11104914581</v>
      </c>
      <c r="AK13" s="33">
        <f>IF(ISNA(VLOOKUP(A13,[2]AVANTAGE!$A$5:$T$118,19,0))=TRUE,0,VLOOKUP(A13,[2]AVANTAGE!$A$5:$T$118,19,0))</f>
        <v>0</v>
      </c>
      <c r="AL13" s="33">
        <f>IF(ISNA(VLOOKUP(A13,[2]AVANTAGE!$A$5:$T$118,20,0))=TRUE,0,VLOOKUP(A13,[2]AVANTAGE!$A$5:$T$118,20,0))</f>
        <v>0</v>
      </c>
      <c r="AM13" s="37">
        <f>+AJ13+AL13</f>
        <v>148430.11104914581</v>
      </c>
      <c r="AN13" s="38">
        <f>IF(D13=0,0,(IF((AM13)*1%&gt;10641.07,10641.07,(AM13)*1%)))</f>
        <v>1484.3011104914581</v>
      </c>
      <c r="AO13" s="33">
        <f>IF(D13=0,0,(IF((AM13)*1%&gt;10641.07,10641.07,(AM13)*1%)))</f>
        <v>1484.3011104914581</v>
      </c>
      <c r="AP13" s="38"/>
      <c r="AQ13" s="38">
        <f>+INT((AJ13+AL13-AO13-AN13-AP13)/100)*100</f>
        <v>145400</v>
      </c>
      <c r="AR13" s="39">
        <f>IF(AQ13=0,0,IF(AQ13&lt;=250000,0,(AQ13-250000)*20%))</f>
        <v>0</v>
      </c>
      <c r="AS13" s="40">
        <f>VLOOKUP(A13,'[2]Liste personnel'!$B$3:$R$187,16,0)</f>
        <v>0</v>
      </c>
      <c r="AT13" s="38">
        <f>+AS13*2000</f>
        <v>0</v>
      </c>
      <c r="AU13" s="38">
        <f>+IF(AR13=0,0,IF(AR13-AT13&lt;200,200,AR13-AT13))</f>
        <v>0</v>
      </c>
      <c r="AV13" s="38">
        <f>IF(ISNA(VLOOKUP(A13,[2]AVANCE!$A$6:$E$122,4,0))=TRUE,0,VLOOKUP(A13,[2]AVANCE!$A$6:$E$122,4,0))</f>
        <v>0</v>
      </c>
      <c r="AW13" s="38">
        <f>IF(ISNA(VLOOKUP(A13,[2]AVANCE!$A$6:$E$122,5,0))=TRUE,0,VLOOKUP(A13,[2]AVANCE!$A$6:$E$122,5,0))</f>
        <v>0</v>
      </c>
      <c r="AX13" s="38">
        <f>+AV13+AW13</f>
        <v>0</v>
      </c>
      <c r="AY13" s="57"/>
      <c r="AZ13" s="58">
        <f>+AO13+AN13+AU13+AX13+AY13</f>
        <v>2968.6022209829162</v>
      </c>
      <c r="BA13" s="38">
        <f>+AJ13-AZ13</f>
        <v>145461.50882816289</v>
      </c>
      <c r="BB13" s="117"/>
      <c r="BC13" s="118"/>
      <c r="BD13" s="59">
        <f>+BA13+BB13+BC13</f>
        <v>145461.50882816289</v>
      </c>
      <c r="BE13" s="60">
        <f>IF(BD13-INT(BD13/100)*100&gt;0,INT(BD13/100)*100+100,INT(BD13/100)*100)</f>
        <v>145500</v>
      </c>
      <c r="BF13" s="61"/>
      <c r="BG13" s="61"/>
      <c r="BH13" s="62">
        <f>IF(BF13=0,0,I13/2)</f>
        <v>0</v>
      </c>
      <c r="BI13" s="62">
        <f>IF(BF13=0,0,+IF(BF13-J13&lt;30,J13-BF13,30))</f>
        <v>0</v>
      </c>
      <c r="BJ13" s="62">
        <f>+BI13*BH13/30</f>
        <v>0</v>
      </c>
      <c r="BK13" s="63">
        <f>+BD13+AX13+AY13</f>
        <v>145461.50882816289</v>
      </c>
      <c r="BL13" s="48">
        <f>+L13-N13</f>
        <v>0</v>
      </c>
      <c r="BN13" s="49"/>
      <c r="BO13" s="49"/>
    </row>
    <row r="14" spans="1:67" s="18" customFormat="1" ht="27.75" customHeight="1">
      <c r="A14" s="50" t="s">
        <v>74</v>
      </c>
      <c r="B14" s="51" t="s">
        <v>202</v>
      </c>
      <c r="C14" s="52"/>
      <c r="D14" s="53" t="s">
        <v>203</v>
      </c>
      <c r="E14" s="54">
        <v>40452</v>
      </c>
      <c r="F14" s="25">
        <v>42369</v>
      </c>
      <c r="G14" s="54" t="s">
        <v>201</v>
      </c>
      <c r="H14" s="55" t="s">
        <v>183</v>
      </c>
      <c r="I14" s="29">
        <v>220000</v>
      </c>
      <c r="J14" s="28">
        <v>42368</v>
      </c>
      <c r="K14" s="29">
        <v>0</v>
      </c>
      <c r="L14" s="29">
        <v>0</v>
      </c>
      <c r="M14" s="56">
        <v>0</v>
      </c>
      <c r="N14" s="33">
        <v>0</v>
      </c>
      <c r="O14" s="31">
        <v>1269.255177984192</v>
      </c>
      <c r="P14" s="32">
        <v>0</v>
      </c>
      <c r="Q14" s="33">
        <v>0</v>
      </c>
      <c r="R14" s="32">
        <v>0</v>
      </c>
      <c r="S14" s="33">
        <v>0</v>
      </c>
      <c r="T14" s="32">
        <v>0</v>
      </c>
      <c r="U14" s="33">
        <v>0</v>
      </c>
      <c r="V14" s="32">
        <v>0</v>
      </c>
      <c r="W14" s="33">
        <v>0</v>
      </c>
      <c r="X14" s="32">
        <v>0</v>
      </c>
      <c r="Y14" s="33">
        <v>0</v>
      </c>
      <c r="Z14" s="33">
        <v>0</v>
      </c>
      <c r="AA14" s="31">
        <v>0</v>
      </c>
      <c r="AB14" s="31">
        <v>0</v>
      </c>
      <c r="AC14" s="33">
        <v>0</v>
      </c>
      <c r="AD14" s="35"/>
      <c r="AE14" s="33">
        <v>0</v>
      </c>
      <c r="AF14" s="31">
        <v>27.75</v>
      </c>
      <c r="AG14" s="33">
        <v>280252.49769225932</v>
      </c>
      <c r="AH14" s="31">
        <v>0</v>
      </c>
      <c r="AI14" s="31">
        <v>0</v>
      </c>
      <c r="AJ14" s="36">
        <v>280252.49769225932</v>
      </c>
      <c r="AK14" s="33">
        <f>IF(ISNA(VLOOKUP(A14,[2]AVANTAGE!$A$5:$T$118,19,0))=TRUE,0,VLOOKUP(A14,[2]AVANTAGE!$A$5:$T$118,19,0))</f>
        <v>0</v>
      </c>
      <c r="AL14" s="33">
        <f>IF(ISNA(VLOOKUP(A14,[2]AVANTAGE!$A$5:$T$118,20,0))=TRUE,0,VLOOKUP(A14,[2]AVANTAGE!$A$5:$T$118,20,0))</f>
        <v>0</v>
      </c>
      <c r="AM14" s="37">
        <f>+AJ14+AL14</f>
        <v>280252.49769225932</v>
      </c>
      <c r="AN14" s="38">
        <f>IF(D14=0,0,(IF((AM14)*1%&gt;10641.07,10641.07,(AM14)*1%)))</f>
        <v>2802.5249769225934</v>
      </c>
      <c r="AO14" s="33">
        <f>IF(D14=0,0,(IF((AM14)*1%&gt;10641.07,10641.07,(AM14)*1%)))</f>
        <v>2802.5249769225934</v>
      </c>
      <c r="AP14" s="38"/>
      <c r="AQ14" s="38">
        <f>+INT((AJ14+AL14-AO14-AN14-AP14)/100)*100</f>
        <v>274600</v>
      </c>
      <c r="AR14" s="39">
        <f>IF(AQ14=0,0,IF(AQ14&lt;=250000,0,(AQ14-250000)*20%))</f>
        <v>4920</v>
      </c>
      <c r="AS14" s="40">
        <f>VLOOKUP(A14,'[2]Liste personnel'!$B$3:$R$187,16,0)</f>
        <v>0</v>
      </c>
      <c r="AT14" s="38">
        <f>+AS14*2000</f>
        <v>0</v>
      </c>
      <c r="AU14" s="38">
        <f>+IF(AR14=0,0,IF(AR14-AT14&lt;200,200,AR14-AT14))</f>
        <v>4920</v>
      </c>
      <c r="AV14" s="38">
        <f>IF(ISNA(VLOOKUP(A14,[2]AVANCE!$A$6:$E$122,4,0))=TRUE,0,VLOOKUP(A14,[2]AVANCE!$A$6:$E$122,4,0))</f>
        <v>0</v>
      </c>
      <c r="AW14" s="38">
        <f>IF(ISNA(VLOOKUP(A14,[2]AVANCE!$A$6:$E$122,5,0))=TRUE,0,VLOOKUP(A14,[2]AVANCE!$A$6:$E$122,5,0))</f>
        <v>0</v>
      </c>
      <c r="AX14" s="38">
        <f>+AV14+AW14</f>
        <v>0</v>
      </c>
      <c r="AY14" s="57"/>
      <c r="AZ14" s="58">
        <f>+AO14+AN14+AU14+AX14+AY14</f>
        <v>10525.049953845188</v>
      </c>
      <c r="BA14" s="38">
        <f>+AJ14-AZ14</f>
        <v>269727.44773841411</v>
      </c>
      <c r="BB14" s="117"/>
      <c r="BC14" s="118"/>
      <c r="BD14" s="59">
        <f>+BA14+BB14+BC14</f>
        <v>269727.44773841411</v>
      </c>
      <c r="BE14" s="60">
        <f>IF(BD14-INT(BD14/100)*100&gt;0,INT(BD14/100)*100+100,INT(BD14/100)*100)</f>
        <v>269800</v>
      </c>
      <c r="BF14" s="61"/>
      <c r="BG14" s="61"/>
      <c r="BH14" s="62">
        <f>IF(BF14=0,0,I14/2)</f>
        <v>0</v>
      </c>
      <c r="BI14" s="62">
        <f>IF(BF14=0,0,+IF(BF14-J14&lt;30,J14-BF14,30))</f>
        <v>0</v>
      </c>
      <c r="BJ14" s="62">
        <f>+BI14*BH14/30</f>
        <v>0</v>
      </c>
      <c r="BK14" s="63">
        <f>+BD14+AX14+AY14</f>
        <v>269727.44773841411</v>
      </c>
      <c r="BL14" s="48">
        <f>+L14-N14</f>
        <v>0</v>
      </c>
      <c r="BM14" s="64"/>
      <c r="BN14" s="49"/>
      <c r="BO14" s="49"/>
    </row>
    <row r="15" spans="1:67" s="18" customFormat="1" ht="27.75" customHeight="1">
      <c r="A15" s="50" t="s">
        <v>75</v>
      </c>
      <c r="B15" s="51" t="s">
        <v>204</v>
      </c>
      <c r="C15" s="52"/>
      <c r="D15" s="53" t="s">
        <v>205</v>
      </c>
      <c r="E15" s="54">
        <v>40452</v>
      </c>
      <c r="F15" s="25">
        <v>42369</v>
      </c>
      <c r="G15" s="54" t="s">
        <v>206</v>
      </c>
      <c r="H15" s="55" t="s">
        <v>207</v>
      </c>
      <c r="I15" s="29">
        <v>3200000</v>
      </c>
      <c r="J15" s="28">
        <v>42368</v>
      </c>
      <c r="K15" s="29">
        <v>0</v>
      </c>
      <c r="L15" s="29">
        <v>0</v>
      </c>
      <c r="M15" s="56">
        <v>0</v>
      </c>
      <c r="N15" s="33">
        <v>0</v>
      </c>
      <c r="O15" s="31">
        <v>0</v>
      </c>
      <c r="P15" s="32">
        <v>0</v>
      </c>
      <c r="Q15" s="33">
        <v>0</v>
      </c>
      <c r="R15" s="32">
        <v>0</v>
      </c>
      <c r="S15" s="33">
        <v>0</v>
      </c>
      <c r="T15" s="32">
        <v>0</v>
      </c>
      <c r="U15" s="33">
        <v>0</v>
      </c>
      <c r="V15" s="32">
        <v>0</v>
      </c>
      <c r="W15" s="33">
        <v>0</v>
      </c>
      <c r="X15" s="32">
        <v>0</v>
      </c>
      <c r="Y15" s="33">
        <v>0</v>
      </c>
      <c r="Z15" s="33">
        <v>0</v>
      </c>
      <c r="AA15" s="31">
        <v>0</v>
      </c>
      <c r="AB15" s="31">
        <v>0</v>
      </c>
      <c r="AC15" s="33">
        <v>0</v>
      </c>
      <c r="AD15" s="35"/>
      <c r="AE15" s="33">
        <v>0</v>
      </c>
      <c r="AF15" s="31">
        <v>0</v>
      </c>
      <c r="AG15" s="33">
        <v>0</v>
      </c>
      <c r="AH15" s="31">
        <v>0</v>
      </c>
      <c r="AI15" s="31">
        <v>0</v>
      </c>
      <c r="AJ15" s="36">
        <v>0</v>
      </c>
      <c r="AK15" s="33">
        <f>IF(ISNA(VLOOKUP(A15,[2]AVANTAGE!$A$5:$T$118,19,0))=TRUE,0,VLOOKUP(A15,[2]AVANTAGE!$A$5:$T$118,19,0))</f>
        <v>1584850</v>
      </c>
      <c r="AL15" s="33">
        <f>IF(ISNA(VLOOKUP(A15,[2]AVANTAGE!$A$5:$T$118,20,0))=TRUE,0,VLOOKUP(A15,[2]AVANTAGE!$A$5:$T$118,20,0))</f>
        <v>640000</v>
      </c>
      <c r="AM15" s="37">
        <f>+AJ15+AL15</f>
        <v>640000</v>
      </c>
      <c r="AN15" s="38">
        <f>IF(D15=0,0,(IF((AM15)*1%&gt;10641.07,10641.07,(AM15)*1%)))</f>
        <v>6400</v>
      </c>
      <c r="AO15" s="33"/>
      <c r="AP15" s="38"/>
      <c r="AQ15" s="38">
        <f>+INT((AJ15+AL15-AO15-AN15-AP15)/100)*100</f>
        <v>633600</v>
      </c>
      <c r="AR15" s="39">
        <f>IF(AQ15=0,0,IF(AQ15&lt;=250000,0,(AQ15-250000)*20%))</f>
        <v>76720</v>
      </c>
      <c r="AS15" s="40">
        <f>VLOOKUP(A15,'[2]Liste personnel'!$B$3:$R$187,16,0)</f>
        <v>0</v>
      </c>
      <c r="AT15" s="38">
        <f>+AS15*2000</f>
        <v>0</v>
      </c>
      <c r="AU15" s="38">
        <f>+IF(AR15=0,0,IF(AR15-AT15&lt;200,200,AR15-AT15))</f>
        <v>76720</v>
      </c>
      <c r="AV15" s="38">
        <f>IF(ISNA(VLOOKUP(A15,[2]AVANCE!$A$6:$E$122,4,0))=TRUE,0,VLOOKUP(A15,[2]AVANCE!$A$6:$E$122,4,0))</f>
        <v>0</v>
      </c>
      <c r="AW15" s="38">
        <f>IF(ISNA(VLOOKUP(A15,[2]AVANCE!$A$6:$E$122,5,0))=TRUE,0,VLOOKUP(A15,[2]AVANCE!$A$6:$E$122,5,0))</f>
        <v>0</v>
      </c>
      <c r="AX15" s="38">
        <f>+AV15+AW15</f>
        <v>0</v>
      </c>
      <c r="AY15" s="57"/>
      <c r="AZ15" s="58">
        <f>+AO15+AN15+AU15+AX15+AY15</f>
        <v>83120</v>
      </c>
      <c r="BA15" s="38">
        <f>+AJ15-AZ15</f>
        <v>-83120</v>
      </c>
      <c r="BB15" s="117"/>
      <c r="BC15" s="118"/>
      <c r="BD15" s="59">
        <f>+BA15+BB15+BC15</f>
        <v>-83120</v>
      </c>
      <c r="BE15" s="60">
        <f>IF(BD15-INT(BD15/100)*100&gt;0,INT(BD15/100)*100+100,INT(BD15/100)*100)</f>
        <v>-83100</v>
      </c>
      <c r="BF15" s="61"/>
      <c r="BG15" s="61"/>
      <c r="BH15" s="62">
        <f>IF(BF15=0,0,I15/2)</f>
        <v>0</v>
      </c>
      <c r="BI15" s="62">
        <f>IF(BF15=0,0,+IF(BF15-J15&lt;30,J15-BF15,30))</f>
        <v>0</v>
      </c>
      <c r="BJ15" s="62">
        <f>+BI15*BH15/30</f>
        <v>0</v>
      </c>
      <c r="BK15" s="63">
        <f>+BD15+AX15+AY15</f>
        <v>-83120</v>
      </c>
      <c r="BL15" s="48">
        <f>+L15-N15</f>
        <v>0</v>
      </c>
      <c r="BN15" s="49"/>
      <c r="BO15" s="49"/>
    </row>
    <row r="16" spans="1:67" s="18" customFormat="1" ht="27.75" customHeight="1">
      <c r="A16" s="50" t="s">
        <v>76</v>
      </c>
      <c r="B16" s="51" t="s">
        <v>208</v>
      </c>
      <c r="C16" s="52"/>
      <c r="D16" s="53" t="s">
        <v>209</v>
      </c>
      <c r="E16" s="54">
        <v>40548</v>
      </c>
      <c r="F16" s="25">
        <v>42369</v>
      </c>
      <c r="G16" s="54" t="s">
        <v>182</v>
      </c>
      <c r="H16" s="55" t="s">
        <v>183</v>
      </c>
      <c r="I16" s="29">
        <v>220000</v>
      </c>
      <c r="J16" s="28">
        <v>42368</v>
      </c>
      <c r="K16" s="29">
        <v>0</v>
      </c>
      <c r="L16" s="29">
        <v>0</v>
      </c>
      <c r="M16" s="56">
        <v>0</v>
      </c>
      <c r="N16" s="33">
        <v>0</v>
      </c>
      <c r="O16" s="31">
        <v>1269.255177984192</v>
      </c>
      <c r="P16" s="32">
        <v>0</v>
      </c>
      <c r="Q16" s="33">
        <v>0</v>
      </c>
      <c r="R16" s="32">
        <v>0</v>
      </c>
      <c r="S16" s="33">
        <v>0</v>
      </c>
      <c r="T16" s="32">
        <v>0</v>
      </c>
      <c r="U16" s="33">
        <v>0</v>
      </c>
      <c r="V16" s="32">
        <v>0</v>
      </c>
      <c r="W16" s="33">
        <v>0</v>
      </c>
      <c r="X16" s="32">
        <v>0</v>
      </c>
      <c r="Y16" s="33">
        <v>0</v>
      </c>
      <c r="Z16" s="33">
        <v>0</v>
      </c>
      <c r="AA16" s="31">
        <v>0</v>
      </c>
      <c r="AB16" s="31">
        <v>0</v>
      </c>
      <c r="AC16" s="33">
        <v>0</v>
      </c>
      <c r="AD16" s="35"/>
      <c r="AE16" s="33">
        <v>0</v>
      </c>
      <c r="AF16" s="31">
        <v>24.08</v>
      </c>
      <c r="AG16" s="33">
        <v>226850.48761883422</v>
      </c>
      <c r="AH16" s="31">
        <v>0</v>
      </c>
      <c r="AI16" s="31">
        <v>0</v>
      </c>
      <c r="AJ16" s="36">
        <v>226850.48761883422</v>
      </c>
      <c r="AK16" s="33">
        <f>IF(ISNA(VLOOKUP(A16,[2]AVANTAGE!$A$5:$T$118,19,0))=TRUE,0,VLOOKUP(A16,[2]AVANTAGE!$A$5:$T$118,19,0))</f>
        <v>0</v>
      </c>
      <c r="AL16" s="33">
        <f>IF(ISNA(VLOOKUP(A16,[2]AVANTAGE!$A$5:$T$118,20,0))=TRUE,0,VLOOKUP(A16,[2]AVANTAGE!$A$5:$T$118,20,0))</f>
        <v>0</v>
      </c>
      <c r="AM16" s="37">
        <f>+AJ16+AL16</f>
        <v>226850.48761883422</v>
      </c>
      <c r="AN16" s="38">
        <f>IF(D16=0,0,(IF((AM16)*1%&gt;10641.07,10641.07,(AM16)*1%)))</f>
        <v>2268.5048761883422</v>
      </c>
      <c r="AO16" s="33">
        <f>IF(D16=0,0,(IF((AM16)*1%&gt;10641.07,10641.07,(AM16)*1%)))</f>
        <v>2268.5048761883422</v>
      </c>
      <c r="AP16" s="38"/>
      <c r="AQ16" s="38">
        <f>+INT((AJ16+AL16-AO16-AN16-AP16)/100)*100</f>
        <v>222300</v>
      </c>
      <c r="AR16" s="39">
        <f>IF(AQ16=0,0,IF(AQ16&lt;=250000,0,(AQ16-250000)*20%))</f>
        <v>0</v>
      </c>
      <c r="AS16" s="40">
        <f>VLOOKUP(A16,'[2]Liste personnel'!$B$3:$R$187,16,0)</f>
        <v>1</v>
      </c>
      <c r="AT16" s="38">
        <f>+AS16*2000</f>
        <v>2000</v>
      </c>
      <c r="AU16" s="38">
        <f>+IF(AR16=0,0,IF(AR16-AT16&lt;200,200,AR16-AT16))</f>
        <v>0</v>
      </c>
      <c r="AV16" s="38">
        <f>IF(ISNA(VLOOKUP(A16,[2]AVANCE!$A$6:$E$122,4,0))=TRUE,0,VLOOKUP(A16,[2]AVANCE!$A$6:$E$122,4,0))</f>
        <v>0</v>
      </c>
      <c r="AW16" s="38">
        <f>IF(ISNA(VLOOKUP(A16,[2]AVANCE!$A$6:$E$122,5,0))=TRUE,0,VLOOKUP(A16,[2]AVANCE!$A$6:$E$122,5,0))</f>
        <v>0</v>
      </c>
      <c r="AX16" s="38">
        <f>+AV16+AW16</f>
        <v>0</v>
      </c>
      <c r="AY16" s="57"/>
      <c r="AZ16" s="58">
        <f>+AO16+AN16+AU16+AX16+AY16</f>
        <v>4537.0097523766844</v>
      </c>
      <c r="BA16" s="38">
        <f>+AJ16-AZ16</f>
        <v>222313.47786645754</v>
      </c>
      <c r="BB16" s="117"/>
      <c r="BC16" s="118"/>
      <c r="BD16" s="59">
        <f>+BA16+BB16+BC16</f>
        <v>222313.47786645754</v>
      </c>
      <c r="BE16" s="60">
        <f>IF(BD16-INT(BD16/100)*100&gt;0,INT(BD16/100)*100+100,INT(BD16/100)*100)</f>
        <v>222400</v>
      </c>
      <c r="BF16" s="61"/>
      <c r="BG16" s="61"/>
      <c r="BH16" s="62">
        <f>IF(BF16=0,0,I16/2)</f>
        <v>0</v>
      </c>
      <c r="BI16" s="62">
        <f>IF(BF16=0,0,+IF(BF16-J16&lt;30,J16-BF16,30))</f>
        <v>0</v>
      </c>
      <c r="BJ16" s="62">
        <f>+BI16*BH16/30</f>
        <v>0</v>
      </c>
      <c r="BK16" s="63">
        <f>+BD16+AX16+AY16</f>
        <v>222313.47786645754</v>
      </c>
      <c r="BL16" s="48">
        <f>+L16-N16</f>
        <v>0</v>
      </c>
      <c r="BN16" s="49"/>
      <c r="BO16" s="49"/>
    </row>
    <row r="17" spans="1:67" s="18" customFormat="1" ht="27.75" customHeight="1">
      <c r="A17" s="50" t="s">
        <v>77</v>
      </c>
      <c r="B17" s="51" t="s">
        <v>210</v>
      </c>
      <c r="C17" s="52"/>
      <c r="D17" s="53" t="s">
        <v>211</v>
      </c>
      <c r="E17" s="54">
        <v>40556</v>
      </c>
      <c r="F17" s="25">
        <v>42369</v>
      </c>
      <c r="G17" s="54" t="s">
        <v>212</v>
      </c>
      <c r="H17" s="55" t="s">
        <v>169</v>
      </c>
      <c r="I17" s="29">
        <v>380000</v>
      </c>
      <c r="J17" s="28">
        <v>42368</v>
      </c>
      <c r="K17" s="29">
        <v>0</v>
      </c>
      <c r="L17" s="29">
        <v>0</v>
      </c>
      <c r="M17" s="56">
        <v>0</v>
      </c>
      <c r="N17" s="33">
        <v>0</v>
      </c>
      <c r="O17" s="31">
        <v>2192.3498528817859</v>
      </c>
      <c r="P17" s="32">
        <v>0</v>
      </c>
      <c r="Q17" s="33">
        <v>0</v>
      </c>
      <c r="R17" s="32">
        <v>0</v>
      </c>
      <c r="S17" s="33">
        <v>0</v>
      </c>
      <c r="T17" s="32">
        <v>0</v>
      </c>
      <c r="U17" s="33">
        <v>0</v>
      </c>
      <c r="V17" s="32">
        <v>0</v>
      </c>
      <c r="W17" s="33">
        <v>0</v>
      </c>
      <c r="X17" s="32">
        <v>0</v>
      </c>
      <c r="Y17" s="33">
        <v>0</v>
      </c>
      <c r="Z17" s="33">
        <v>0</v>
      </c>
      <c r="AA17" s="31">
        <v>0</v>
      </c>
      <c r="AB17" s="31">
        <v>0</v>
      </c>
      <c r="AC17" s="33">
        <v>0</v>
      </c>
      <c r="AD17" s="35"/>
      <c r="AE17" s="33">
        <v>0</v>
      </c>
      <c r="AF17" s="31">
        <v>20.583333333333314</v>
      </c>
      <c r="AG17" s="33">
        <v>329628.79940640013</v>
      </c>
      <c r="AH17" s="31">
        <v>0</v>
      </c>
      <c r="AI17" s="31">
        <v>0</v>
      </c>
      <c r="AJ17" s="36">
        <v>329628.79940640013</v>
      </c>
      <c r="AK17" s="33">
        <f>IF(ISNA(VLOOKUP(A17,[2]AVANTAGE!$A$5:$T$118,19,0))=TRUE,0,VLOOKUP(A17,[2]AVANTAGE!$A$5:$T$118,19,0))</f>
        <v>0</v>
      </c>
      <c r="AL17" s="33">
        <f>IF(ISNA(VLOOKUP(A17,[2]AVANTAGE!$A$5:$T$118,20,0))=TRUE,0,VLOOKUP(A17,[2]AVANTAGE!$A$5:$T$118,20,0))</f>
        <v>0</v>
      </c>
      <c r="AM17" s="37">
        <f>+AJ17+AL17</f>
        <v>329628.79940640013</v>
      </c>
      <c r="AN17" s="38">
        <f>IF(D17=0,0,(IF((AM17)*1%&gt;10641.07,10641.07,(AM17)*1%)))</f>
        <v>3296.2879940640014</v>
      </c>
      <c r="AO17" s="33">
        <f>IF(D17=0,0,(IF((AM17)*1%&gt;10641.07,10641.07,(AM17)*1%)))</f>
        <v>3296.2879940640014</v>
      </c>
      <c r="AP17" s="38"/>
      <c r="AQ17" s="38">
        <f>+INT((AJ17+AL17-AO17-AN17-AP17)/100)*100</f>
        <v>323000</v>
      </c>
      <c r="AR17" s="39">
        <f>IF(AQ17=0,0,IF(AQ17&lt;=250000,0,(AQ17-250000)*20%))</f>
        <v>14600</v>
      </c>
      <c r="AS17" s="40">
        <f>VLOOKUP(A17,'[2]Liste personnel'!$B$3:$R$187,16,0)</f>
        <v>0</v>
      </c>
      <c r="AT17" s="38">
        <f>+AS17*2000</f>
        <v>0</v>
      </c>
      <c r="AU17" s="38">
        <f>+IF(AR17=0,0,IF(AR17-AT17&lt;200,200,AR17-AT17))</f>
        <v>14600</v>
      </c>
      <c r="AV17" s="38">
        <f>IF(ISNA(VLOOKUP(A17,[2]AVANCE!$A$6:$E$122,4,0))=TRUE,0,VLOOKUP(A17,[2]AVANCE!$A$6:$E$122,4,0))</f>
        <v>0</v>
      </c>
      <c r="AW17" s="38">
        <f>IF(ISNA(VLOOKUP(A17,[2]AVANCE!$A$6:$E$122,5,0))=TRUE,0,VLOOKUP(A17,[2]AVANCE!$A$6:$E$122,5,0))</f>
        <v>0</v>
      </c>
      <c r="AX17" s="38">
        <f>+AV17+AW17</f>
        <v>0</v>
      </c>
      <c r="AY17" s="57"/>
      <c r="AZ17" s="58">
        <f>+AO17+AN17+AU17+AX17+AY17</f>
        <v>21192.575988128003</v>
      </c>
      <c r="BA17" s="38">
        <f>+AJ17-AZ17</f>
        <v>308436.2234182721</v>
      </c>
      <c r="BB17" s="117"/>
      <c r="BC17" s="118"/>
      <c r="BD17" s="59">
        <f>+BA17+BB17+BC17</f>
        <v>308436.2234182721</v>
      </c>
      <c r="BE17" s="60">
        <f>IF(BD17-INT(BD17/100)*100&gt;0,INT(BD17/100)*100+100,INT(BD17/100)*100)</f>
        <v>308500</v>
      </c>
      <c r="BF17" s="61"/>
      <c r="BG17" s="61"/>
      <c r="BH17" s="62">
        <f>IF(BF17=0,0,I17/2)</f>
        <v>0</v>
      </c>
      <c r="BI17" s="62">
        <f>IF(BF17=0,0,+IF(BF17-J17&lt;30,J17-BF17,30))</f>
        <v>0</v>
      </c>
      <c r="BJ17" s="62">
        <f>+BI17*BH17/30</f>
        <v>0</v>
      </c>
      <c r="BK17" s="63">
        <f>+BD17+AX17+AY17</f>
        <v>308436.2234182721</v>
      </c>
      <c r="BL17" s="48">
        <f>+L17-N17</f>
        <v>0</v>
      </c>
      <c r="BN17" s="49"/>
      <c r="BO17" s="49"/>
    </row>
    <row r="18" spans="1:67" s="18" customFormat="1" ht="27.75" customHeight="1">
      <c r="A18" s="50" t="s">
        <v>78</v>
      </c>
      <c r="B18" s="51" t="s">
        <v>213</v>
      </c>
      <c r="C18" s="52"/>
      <c r="D18" s="53" t="s">
        <v>214</v>
      </c>
      <c r="E18" s="54">
        <v>40557</v>
      </c>
      <c r="F18" s="25">
        <v>42369</v>
      </c>
      <c r="G18" s="54" t="s">
        <v>215</v>
      </c>
      <c r="H18" s="55" t="s">
        <v>187</v>
      </c>
      <c r="I18" s="29">
        <v>150000</v>
      </c>
      <c r="J18" s="28">
        <v>42368</v>
      </c>
      <c r="K18" s="29">
        <v>0</v>
      </c>
      <c r="L18" s="29">
        <v>0</v>
      </c>
      <c r="M18" s="56">
        <v>0</v>
      </c>
      <c r="N18" s="33">
        <v>0</v>
      </c>
      <c r="O18" s="31">
        <v>865.40125771649446</v>
      </c>
      <c r="P18" s="32">
        <v>0</v>
      </c>
      <c r="Q18" s="33">
        <v>0</v>
      </c>
      <c r="R18" s="32">
        <v>0</v>
      </c>
      <c r="S18" s="33">
        <v>0</v>
      </c>
      <c r="T18" s="32">
        <v>0</v>
      </c>
      <c r="U18" s="33">
        <v>0</v>
      </c>
      <c r="V18" s="32">
        <v>0</v>
      </c>
      <c r="W18" s="33">
        <v>0</v>
      </c>
      <c r="X18" s="32">
        <v>0</v>
      </c>
      <c r="Y18" s="33">
        <v>0</v>
      </c>
      <c r="Z18" s="33">
        <v>0</v>
      </c>
      <c r="AA18" s="31">
        <v>0</v>
      </c>
      <c r="AB18" s="31">
        <v>0</v>
      </c>
      <c r="AC18" s="33">
        <v>0</v>
      </c>
      <c r="AD18" s="35"/>
      <c r="AE18" s="33">
        <v>0</v>
      </c>
      <c r="AF18" s="31">
        <v>36.58</v>
      </c>
      <c r="AG18" s="33">
        <v>259321.73020471085</v>
      </c>
      <c r="AH18" s="31">
        <v>0</v>
      </c>
      <c r="AI18" s="31">
        <v>0</v>
      </c>
      <c r="AJ18" s="36">
        <v>259321.73020471085</v>
      </c>
      <c r="AK18" s="33">
        <f>IF(ISNA(VLOOKUP(A18,[2]AVANTAGE!$A$5:$T$118,19,0))=TRUE,0,VLOOKUP(A18,[2]AVANTAGE!$A$5:$T$118,19,0))</f>
        <v>0</v>
      </c>
      <c r="AL18" s="33">
        <f>IF(ISNA(VLOOKUP(A18,[2]AVANTAGE!$A$5:$T$118,20,0))=TRUE,0,VLOOKUP(A18,[2]AVANTAGE!$A$5:$T$118,20,0))</f>
        <v>0</v>
      </c>
      <c r="AM18" s="37">
        <f>+AJ18+AL18</f>
        <v>259321.73020471085</v>
      </c>
      <c r="AN18" s="38">
        <f>IF(D18=0,0,(IF((AM18)*1%&gt;10641.07,10641.07,(AM18)*1%)))</f>
        <v>2593.2173020471087</v>
      </c>
      <c r="AO18" s="33">
        <f>IF(D18=0,0,(IF((AM18)*1%&gt;10641.07,10641.07,(AM18)*1%)))</f>
        <v>2593.2173020471087</v>
      </c>
      <c r="AP18" s="38"/>
      <c r="AQ18" s="38">
        <f>+INT((AJ18+AL18-AO18-AN18-AP18)/100)*100</f>
        <v>254100</v>
      </c>
      <c r="AR18" s="39">
        <f>IF(AQ18=0,0,IF(AQ18&lt;=250000,0,(AQ18-250000)*20%))</f>
        <v>820</v>
      </c>
      <c r="AS18" s="40">
        <f>VLOOKUP(A18,'[2]Liste personnel'!$B$3:$R$187,16,0)</f>
        <v>0</v>
      </c>
      <c r="AT18" s="38">
        <f>+AS18*2000</f>
        <v>0</v>
      </c>
      <c r="AU18" s="38">
        <f>+IF(AR18=0,0,IF(AR18-AT18&lt;200,200,AR18-AT18))</f>
        <v>820</v>
      </c>
      <c r="AV18" s="38">
        <f>IF(ISNA(VLOOKUP(A18,[2]AVANCE!$A$6:$E$122,4,0))=TRUE,0,VLOOKUP(A18,[2]AVANCE!$A$6:$E$122,4,0))</f>
        <v>0</v>
      </c>
      <c r="AW18" s="38">
        <f>IF(ISNA(VLOOKUP(A18,[2]AVANCE!$A$6:$E$122,5,0))=TRUE,0,VLOOKUP(A18,[2]AVANCE!$A$6:$E$122,5,0))</f>
        <v>0</v>
      </c>
      <c r="AX18" s="38">
        <f>+AV18+AW18</f>
        <v>0</v>
      </c>
      <c r="AY18" s="57"/>
      <c r="AZ18" s="58">
        <f>+AO18+AN18+AU18+AX18+AY18</f>
        <v>6006.4346040942173</v>
      </c>
      <c r="BA18" s="38">
        <f>+AJ18-AZ18</f>
        <v>253315.29560061664</v>
      </c>
      <c r="BB18" s="117"/>
      <c r="BC18" s="118"/>
      <c r="BD18" s="59">
        <f>+BA18+BB18+BC18</f>
        <v>253315.29560061664</v>
      </c>
      <c r="BE18" s="60">
        <f>IF(BD18-INT(BD18/100)*100&gt;0,INT(BD18/100)*100+100,INT(BD18/100)*100)</f>
        <v>253400</v>
      </c>
      <c r="BF18" s="61"/>
      <c r="BG18" s="61"/>
      <c r="BH18" s="62">
        <f>IF(BF18=0,0,I18/2)</f>
        <v>0</v>
      </c>
      <c r="BI18" s="62">
        <f>IF(BF18=0,0,+IF(BF18-J18&lt;30,J18-BF18,30))</f>
        <v>0</v>
      </c>
      <c r="BJ18" s="62">
        <f>+BI18*BH18/30</f>
        <v>0</v>
      </c>
      <c r="BK18" s="63">
        <f>+BD18+AX18+AY18</f>
        <v>253315.29560061664</v>
      </c>
      <c r="BL18" s="48">
        <f>+L18-N18</f>
        <v>0</v>
      </c>
      <c r="BN18" s="49"/>
      <c r="BO18" s="49"/>
    </row>
    <row r="19" spans="1:67" s="18" customFormat="1" ht="27.75" customHeight="1">
      <c r="A19" s="50" t="s">
        <v>79</v>
      </c>
      <c r="B19" s="51" t="s">
        <v>216</v>
      </c>
      <c r="C19" s="52"/>
      <c r="D19" s="53" t="s">
        <v>217</v>
      </c>
      <c r="E19" s="54">
        <v>40557</v>
      </c>
      <c r="F19" s="25">
        <v>42369</v>
      </c>
      <c r="G19" s="54" t="s">
        <v>182</v>
      </c>
      <c r="H19" s="55" t="s">
        <v>183</v>
      </c>
      <c r="I19" s="29">
        <v>220000</v>
      </c>
      <c r="J19" s="28">
        <v>42368</v>
      </c>
      <c r="K19" s="29">
        <v>0</v>
      </c>
      <c r="L19" s="29">
        <v>0</v>
      </c>
      <c r="M19" s="56">
        <v>0</v>
      </c>
      <c r="N19" s="33">
        <v>0</v>
      </c>
      <c r="O19" s="31">
        <v>1269.255177984192</v>
      </c>
      <c r="P19" s="32">
        <v>0</v>
      </c>
      <c r="Q19" s="33">
        <v>0</v>
      </c>
      <c r="R19" s="32">
        <v>0</v>
      </c>
      <c r="S19" s="33">
        <v>0</v>
      </c>
      <c r="T19" s="32">
        <v>0</v>
      </c>
      <c r="U19" s="33">
        <v>0</v>
      </c>
      <c r="V19" s="32">
        <v>0</v>
      </c>
      <c r="W19" s="33">
        <v>0</v>
      </c>
      <c r="X19" s="32">
        <v>0</v>
      </c>
      <c r="Y19" s="33">
        <v>0</v>
      </c>
      <c r="Z19" s="33">
        <v>0</v>
      </c>
      <c r="AA19" s="31">
        <v>0</v>
      </c>
      <c r="AB19" s="31">
        <v>0</v>
      </c>
      <c r="AC19" s="33">
        <v>0</v>
      </c>
      <c r="AD19" s="35"/>
      <c r="AE19" s="33">
        <v>0</v>
      </c>
      <c r="AF19" s="31">
        <v>29.58</v>
      </c>
      <c r="AG19" s="33">
        <v>277175.74755136232</v>
      </c>
      <c r="AH19" s="31">
        <v>0</v>
      </c>
      <c r="AI19" s="31">
        <v>0</v>
      </c>
      <c r="AJ19" s="36">
        <v>277175.74755136232</v>
      </c>
      <c r="AK19" s="33">
        <f>IF(ISNA(VLOOKUP(A19,[2]AVANTAGE!$A$5:$T$118,19,0))=TRUE,0,VLOOKUP(A19,[2]AVANTAGE!$A$5:$T$118,19,0))</f>
        <v>0</v>
      </c>
      <c r="AL19" s="33">
        <f>IF(ISNA(VLOOKUP(A19,[2]AVANTAGE!$A$5:$T$118,20,0))=TRUE,0,VLOOKUP(A19,[2]AVANTAGE!$A$5:$T$118,20,0))</f>
        <v>0</v>
      </c>
      <c r="AM19" s="37">
        <f>+AJ19+AL19</f>
        <v>277175.74755136232</v>
      </c>
      <c r="AN19" s="38">
        <f>IF(D19=0,0,(IF((AM19)*1%&gt;10641.07,10641.07,(AM19)*1%)))</f>
        <v>2771.7574755136234</v>
      </c>
      <c r="AO19" s="33">
        <f>IF(D19=0,0,(IF((AM19)*1%&gt;10641.07,10641.07,(AM19)*1%)))</f>
        <v>2771.7574755136234</v>
      </c>
      <c r="AP19" s="38"/>
      <c r="AQ19" s="38">
        <f>+INT((AJ19+AL19-AO19-AN19-AP19)/100)*100</f>
        <v>271600</v>
      </c>
      <c r="AR19" s="39">
        <f>IF(AQ19=0,0,IF(AQ19&lt;=250000,0,(AQ19-250000)*20%))</f>
        <v>4320</v>
      </c>
      <c r="AS19" s="40">
        <f>VLOOKUP(A19,'[2]Liste personnel'!$B$3:$R$187,16,0)</f>
        <v>0</v>
      </c>
      <c r="AT19" s="38">
        <f>+AS19*2000</f>
        <v>0</v>
      </c>
      <c r="AU19" s="38">
        <f>+IF(AR19=0,0,IF(AR19-AT19&lt;200,200,AR19-AT19))</f>
        <v>4320</v>
      </c>
      <c r="AV19" s="38">
        <f>IF(ISNA(VLOOKUP(A19,[2]AVANCE!$A$6:$E$122,4,0))=TRUE,0,VLOOKUP(A19,[2]AVANCE!$A$6:$E$122,4,0))</f>
        <v>0</v>
      </c>
      <c r="AW19" s="38">
        <f>IF(ISNA(VLOOKUP(A19,[2]AVANCE!$A$6:$E$122,5,0))=TRUE,0,VLOOKUP(A19,[2]AVANCE!$A$6:$E$122,5,0))</f>
        <v>0</v>
      </c>
      <c r="AX19" s="38">
        <f>+AV19+AW19</f>
        <v>0</v>
      </c>
      <c r="AY19" s="57"/>
      <c r="AZ19" s="58">
        <f>+AO19+AN19+AU19+AX19+AY19</f>
        <v>9863.5149510272458</v>
      </c>
      <c r="BA19" s="38">
        <f>+AJ19-AZ19</f>
        <v>267312.23260033509</v>
      </c>
      <c r="BB19" s="117"/>
      <c r="BC19" s="118"/>
      <c r="BD19" s="59">
        <f>+BA19+BB19+BC19</f>
        <v>267312.23260033509</v>
      </c>
      <c r="BE19" s="60">
        <f>IF(BD19-INT(BD19/100)*100&gt;0,INT(BD19/100)*100+100,INT(BD19/100)*100)</f>
        <v>267400</v>
      </c>
      <c r="BF19" s="61"/>
      <c r="BG19" s="61"/>
      <c r="BH19" s="62">
        <f>IF(BF19=0,0,I19/2)</f>
        <v>0</v>
      </c>
      <c r="BI19" s="62">
        <f>IF(BF19=0,0,+IF(BF19-J19&lt;30,J19-BF19,30))</f>
        <v>0</v>
      </c>
      <c r="BJ19" s="62">
        <f>+BI19*BH19/30</f>
        <v>0</v>
      </c>
      <c r="BK19" s="63">
        <f>+BD19+AX19+AY19</f>
        <v>267312.23260033509</v>
      </c>
      <c r="BL19" s="48">
        <f>+L19-N19</f>
        <v>0</v>
      </c>
      <c r="BN19" s="49"/>
      <c r="BO19" s="49"/>
    </row>
    <row r="20" spans="1:67" s="18" customFormat="1" ht="27.75" customHeight="1">
      <c r="A20" s="50" t="s">
        <v>80</v>
      </c>
      <c r="B20" s="51" t="s">
        <v>218</v>
      </c>
      <c r="C20" s="52"/>
      <c r="D20" s="53" t="s">
        <v>219</v>
      </c>
      <c r="E20" s="54">
        <v>40567</v>
      </c>
      <c r="F20" s="25">
        <v>42369</v>
      </c>
      <c r="G20" s="54" t="s">
        <v>220</v>
      </c>
      <c r="H20" s="55" t="s">
        <v>187</v>
      </c>
      <c r="I20" s="29">
        <v>150000</v>
      </c>
      <c r="J20" s="28">
        <v>42368</v>
      </c>
      <c r="K20" s="29">
        <v>0</v>
      </c>
      <c r="L20" s="29">
        <v>0</v>
      </c>
      <c r="M20" s="56">
        <v>0</v>
      </c>
      <c r="N20" s="33">
        <v>0</v>
      </c>
      <c r="O20" s="31">
        <v>865.40125771649446</v>
      </c>
      <c r="P20" s="32">
        <v>0</v>
      </c>
      <c r="Q20" s="33">
        <v>0</v>
      </c>
      <c r="R20" s="32">
        <v>0</v>
      </c>
      <c r="S20" s="33">
        <v>0</v>
      </c>
      <c r="T20" s="32">
        <v>0</v>
      </c>
      <c r="U20" s="33">
        <v>0</v>
      </c>
      <c r="V20" s="32">
        <v>0</v>
      </c>
      <c r="W20" s="33">
        <v>0</v>
      </c>
      <c r="X20" s="32">
        <v>0</v>
      </c>
      <c r="Y20" s="33">
        <v>0</v>
      </c>
      <c r="Z20" s="33">
        <v>0</v>
      </c>
      <c r="AA20" s="31">
        <v>0</v>
      </c>
      <c r="AB20" s="31">
        <v>0</v>
      </c>
      <c r="AC20" s="33">
        <v>0</v>
      </c>
      <c r="AD20" s="35"/>
      <c r="AE20" s="33">
        <v>0</v>
      </c>
      <c r="AF20" s="31">
        <v>16.586666666666702</v>
      </c>
      <c r="AG20" s="33">
        <v>99694.146648147391</v>
      </c>
      <c r="AH20" s="31">
        <v>0</v>
      </c>
      <c r="AI20" s="31">
        <v>0</v>
      </c>
      <c r="AJ20" s="36">
        <v>99694.146648147391</v>
      </c>
      <c r="AK20" s="33">
        <f>IF(ISNA(VLOOKUP(A20,[2]AVANTAGE!$A$5:$T$118,19,0))=TRUE,0,VLOOKUP(A20,[2]AVANTAGE!$A$5:$T$118,19,0))</f>
        <v>0</v>
      </c>
      <c r="AL20" s="33">
        <f>IF(ISNA(VLOOKUP(A20,[2]AVANTAGE!$A$5:$T$118,20,0))=TRUE,0,VLOOKUP(A20,[2]AVANTAGE!$A$5:$T$118,20,0))</f>
        <v>0</v>
      </c>
      <c r="AM20" s="37">
        <f>+AJ20+AL20</f>
        <v>99694.146648147391</v>
      </c>
      <c r="AN20" s="38">
        <f>IF(D20=0,0,(IF((AM20)*1%&gt;10641.07,10641.07,(AM20)*1%)))</f>
        <v>996.94146648147398</v>
      </c>
      <c r="AO20" s="33">
        <f>IF(D20=0,0,(IF((AM20)*1%&gt;10641.07,10641.07,(AM20)*1%)))</f>
        <v>996.94146648147398</v>
      </c>
      <c r="AP20" s="38"/>
      <c r="AQ20" s="38">
        <f>+INT((AJ20+AL20-AO20-AN20-AP20)/100)*100</f>
        <v>97700</v>
      </c>
      <c r="AR20" s="39">
        <f>IF(AQ20=0,0,IF(AQ20&lt;=250000,0,(AQ20-250000)*20%))</f>
        <v>0</v>
      </c>
      <c r="AS20" s="40">
        <f>VLOOKUP(A20,'[2]Liste personnel'!$B$3:$R$187,16,0)</f>
        <v>2</v>
      </c>
      <c r="AT20" s="38">
        <f>+AS20*2000</f>
        <v>4000</v>
      </c>
      <c r="AU20" s="38">
        <f>+IF(AR20=0,0,IF(AR20-AT20&lt;200,200,AR20-AT20))</f>
        <v>0</v>
      </c>
      <c r="AV20" s="38">
        <f>IF(ISNA(VLOOKUP(A20,[2]AVANCE!$A$6:$E$122,4,0))=TRUE,0,VLOOKUP(A20,[2]AVANCE!$A$6:$E$122,4,0))</f>
        <v>0</v>
      </c>
      <c r="AW20" s="38">
        <f>IF(ISNA(VLOOKUP(A20,[2]AVANCE!$A$6:$E$122,5,0))=TRUE,0,VLOOKUP(A20,[2]AVANCE!$A$6:$E$122,5,0))</f>
        <v>0</v>
      </c>
      <c r="AX20" s="38">
        <f>+AV20+AW20</f>
        <v>0</v>
      </c>
      <c r="AY20" s="57"/>
      <c r="AZ20" s="58">
        <f>+AO20+AN20+AU20+AX20+AY20</f>
        <v>1993.882932962948</v>
      </c>
      <c r="BA20" s="38">
        <f>+AJ20-AZ20</f>
        <v>97700.263715184439</v>
      </c>
      <c r="BB20" s="117"/>
      <c r="BC20" s="118"/>
      <c r="BD20" s="59">
        <f>+BA20+BB20+BC20</f>
        <v>97700.263715184439</v>
      </c>
      <c r="BE20" s="60">
        <f>IF(BD20-INT(BD20/100)*100&gt;0,INT(BD20/100)*100+100,INT(BD20/100)*100)</f>
        <v>97800</v>
      </c>
      <c r="BF20" s="61"/>
      <c r="BG20" s="61"/>
      <c r="BH20" s="62">
        <f>IF(BF20=0,0,I20/2)</f>
        <v>0</v>
      </c>
      <c r="BI20" s="62">
        <f>IF(BF20=0,0,+IF(BF20-J20&lt;30,J20-BF20,30))</f>
        <v>0</v>
      </c>
      <c r="BJ20" s="62">
        <f>+BI20*BH20/30</f>
        <v>0</v>
      </c>
      <c r="BK20" s="63">
        <f>+BD20+AX20+AY20</f>
        <v>97700.263715184439</v>
      </c>
      <c r="BL20" s="48">
        <f>+L20-N20</f>
        <v>0</v>
      </c>
      <c r="BN20" s="49"/>
      <c r="BO20" s="49"/>
    </row>
    <row r="21" spans="1:67" s="18" customFormat="1" ht="27.75" customHeight="1">
      <c r="A21" s="50" t="s">
        <v>81</v>
      </c>
      <c r="B21" s="51" t="s">
        <v>221</v>
      </c>
      <c r="C21" s="52"/>
      <c r="D21" s="53" t="s">
        <v>222</v>
      </c>
      <c r="E21" s="54">
        <v>40787</v>
      </c>
      <c r="F21" s="25">
        <v>42369</v>
      </c>
      <c r="G21" s="54" t="s">
        <v>182</v>
      </c>
      <c r="H21" s="55" t="s">
        <v>183</v>
      </c>
      <c r="I21" s="29">
        <v>220000</v>
      </c>
      <c r="J21" s="28">
        <v>42368</v>
      </c>
      <c r="K21" s="29">
        <v>0</v>
      </c>
      <c r="L21" s="29">
        <v>0</v>
      </c>
      <c r="M21" s="56">
        <v>0</v>
      </c>
      <c r="N21" s="33">
        <v>0</v>
      </c>
      <c r="O21" s="31">
        <v>1269.255177984192</v>
      </c>
      <c r="P21" s="32">
        <v>0</v>
      </c>
      <c r="Q21" s="33">
        <v>0</v>
      </c>
      <c r="R21" s="32">
        <v>0</v>
      </c>
      <c r="S21" s="33">
        <v>0</v>
      </c>
      <c r="T21" s="32">
        <v>0</v>
      </c>
      <c r="U21" s="33">
        <v>0</v>
      </c>
      <c r="V21" s="32">
        <v>0</v>
      </c>
      <c r="W21" s="33">
        <v>0</v>
      </c>
      <c r="X21" s="32">
        <v>0</v>
      </c>
      <c r="Y21" s="33">
        <v>0</v>
      </c>
      <c r="Z21" s="33">
        <v>0</v>
      </c>
      <c r="AA21" s="31">
        <v>0</v>
      </c>
      <c r="AB21" s="31">
        <v>0</v>
      </c>
      <c r="AC21" s="33">
        <v>0</v>
      </c>
      <c r="AD21" s="35"/>
      <c r="AE21" s="33">
        <v>0</v>
      </c>
      <c r="AF21" s="31">
        <v>8.8333333333333428</v>
      </c>
      <c r="AG21" s="33">
        <v>80101.7038816235</v>
      </c>
      <c r="AH21" s="31">
        <v>0</v>
      </c>
      <c r="AI21" s="31">
        <v>0</v>
      </c>
      <c r="AJ21" s="36">
        <v>80101.7038816235</v>
      </c>
      <c r="AK21" s="33">
        <f>IF(ISNA(VLOOKUP(A21,[2]AVANTAGE!$A$5:$T$118,19,0))=TRUE,0,VLOOKUP(A21,[2]AVANTAGE!$A$5:$T$118,19,0))</f>
        <v>0</v>
      </c>
      <c r="AL21" s="33">
        <f>IF(ISNA(VLOOKUP(A21,[2]AVANTAGE!$A$5:$T$118,20,0))=TRUE,0,VLOOKUP(A21,[2]AVANTAGE!$A$5:$T$118,20,0))</f>
        <v>0</v>
      </c>
      <c r="AM21" s="37">
        <f>+AJ21+AL21</f>
        <v>80101.7038816235</v>
      </c>
      <c r="AN21" s="38">
        <f>IF(D21=0,0,(IF((AM21)*1%&gt;10641.07,10641.07,(AM21)*1%)))</f>
        <v>801.01703881623507</v>
      </c>
      <c r="AO21" s="33">
        <f>IF(D21=0,0,(IF((AM21)*1%&gt;10641.07,10641.07,(AM21)*1%)))</f>
        <v>801.01703881623507</v>
      </c>
      <c r="AP21" s="38"/>
      <c r="AQ21" s="38">
        <f>+INT((AJ21+AL21-AO21-AN21-AP21)/100)*100</f>
        <v>78400</v>
      </c>
      <c r="AR21" s="39">
        <f>IF(AQ21=0,0,IF(AQ21&lt;=250000,0,(AQ21-250000)*20%))</f>
        <v>0</v>
      </c>
      <c r="AS21" s="40">
        <f>VLOOKUP(A21,'[2]Liste personnel'!$B$3:$R$187,16,0)</f>
        <v>0</v>
      </c>
      <c r="AT21" s="38">
        <f>+AS21*2000</f>
        <v>0</v>
      </c>
      <c r="AU21" s="38">
        <f>+IF(AR21=0,0,IF(AR21-AT21&lt;200,200,AR21-AT21))</f>
        <v>0</v>
      </c>
      <c r="AV21" s="38">
        <f>IF(ISNA(VLOOKUP(A21,[2]AVANCE!$A$6:$E$122,4,0))=TRUE,0,VLOOKUP(A21,[2]AVANCE!$A$6:$E$122,4,0))</f>
        <v>0</v>
      </c>
      <c r="AW21" s="38">
        <f>IF(ISNA(VLOOKUP(A21,[2]AVANCE!$A$6:$E$122,5,0))=TRUE,0,VLOOKUP(A21,[2]AVANCE!$A$6:$E$122,5,0))</f>
        <v>0</v>
      </c>
      <c r="AX21" s="38">
        <f>+AV21+AW21</f>
        <v>0</v>
      </c>
      <c r="AY21" s="57"/>
      <c r="AZ21" s="58">
        <f>+AO21+AN21+AU21+AX21+AY21</f>
        <v>1602.0340776324701</v>
      </c>
      <c r="BA21" s="38">
        <f>+AJ21-AZ21</f>
        <v>78499.669803991026</v>
      </c>
      <c r="BB21" s="117"/>
      <c r="BC21" s="118"/>
      <c r="BD21" s="59">
        <f>+BA21+BB21+BC21</f>
        <v>78499.669803991026</v>
      </c>
      <c r="BE21" s="60">
        <f>IF(BD21-INT(BD21/100)*100&gt;0,INT(BD21/100)*100+100,INT(BD21/100)*100)</f>
        <v>78500</v>
      </c>
      <c r="BF21" s="61"/>
      <c r="BG21" s="61"/>
      <c r="BH21" s="62">
        <f>IF(BF21=0,0,I21/2)</f>
        <v>0</v>
      </c>
      <c r="BI21" s="62">
        <f>IF(BF21=0,0,+IF(BF21-J21&lt;30,J21-BF21,30))</f>
        <v>0</v>
      </c>
      <c r="BJ21" s="62">
        <f>+BI21*BH21/30</f>
        <v>0</v>
      </c>
      <c r="BK21" s="63">
        <f>+BD21+AX21+AY21</f>
        <v>78499.669803991026</v>
      </c>
      <c r="BL21" s="48">
        <f>+L21-N21</f>
        <v>0</v>
      </c>
      <c r="BN21" s="49"/>
      <c r="BO21" s="49"/>
    </row>
    <row r="22" spans="1:67" s="18" customFormat="1" ht="27.75" customHeight="1">
      <c r="A22" s="50" t="s">
        <v>82</v>
      </c>
      <c r="B22" s="51" t="s">
        <v>223</v>
      </c>
      <c r="C22" s="52"/>
      <c r="D22" s="53" t="s">
        <v>224</v>
      </c>
      <c r="E22" s="54">
        <v>40934</v>
      </c>
      <c r="F22" s="25">
        <v>42369</v>
      </c>
      <c r="G22" s="54" t="s">
        <v>201</v>
      </c>
      <c r="H22" s="55" t="s">
        <v>183</v>
      </c>
      <c r="I22" s="29">
        <v>220000</v>
      </c>
      <c r="J22" s="28">
        <v>42368</v>
      </c>
      <c r="K22" s="29">
        <v>0</v>
      </c>
      <c r="L22" s="29">
        <v>0</v>
      </c>
      <c r="M22" s="56">
        <v>0</v>
      </c>
      <c r="N22" s="33">
        <v>0</v>
      </c>
      <c r="O22" s="31">
        <v>1269.255177984192</v>
      </c>
      <c r="P22" s="32">
        <v>0</v>
      </c>
      <c r="Q22" s="33">
        <v>0</v>
      </c>
      <c r="R22" s="32">
        <v>0</v>
      </c>
      <c r="S22" s="33">
        <v>0</v>
      </c>
      <c r="T22" s="32">
        <v>0</v>
      </c>
      <c r="U22" s="33">
        <v>0</v>
      </c>
      <c r="V22" s="32">
        <v>0</v>
      </c>
      <c r="W22" s="33">
        <v>0</v>
      </c>
      <c r="X22" s="32">
        <v>0</v>
      </c>
      <c r="Y22" s="33">
        <v>0</v>
      </c>
      <c r="Z22" s="33">
        <v>0</v>
      </c>
      <c r="AA22" s="31">
        <v>0</v>
      </c>
      <c r="AB22" s="31">
        <v>0</v>
      </c>
      <c r="AC22" s="33">
        <v>0</v>
      </c>
      <c r="AD22" s="35"/>
      <c r="AE22" s="33">
        <v>0</v>
      </c>
      <c r="AF22" s="31">
        <v>17.333333333333343</v>
      </c>
      <c r="AG22" s="33">
        <v>127584.91327468731</v>
      </c>
      <c r="AH22" s="31">
        <v>0</v>
      </c>
      <c r="AI22" s="31">
        <v>0</v>
      </c>
      <c r="AJ22" s="36">
        <v>127584.91327468731</v>
      </c>
      <c r="AK22" s="33">
        <f>IF(ISNA(VLOOKUP(A22,[2]AVANTAGE!$A$5:$T$118,19,0))=TRUE,0,VLOOKUP(A22,[2]AVANTAGE!$A$5:$T$118,19,0))</f>
        <v>0</v>
      </c>
      <c r="AL22" s="33">
        <f>IF(ISNA(VLOOKUP(A22,[2]AVANTAGE!$A$5:$T$118,20,0))=TRUE,0,VLOOKUP(A22,[2]AVANTAGE!$A$5:$T$118,20,0))</f>
        <v>0</v>
      </c>
      <c r="AM22" s="37">
        <f>+AJ22+AL22</f>
        <v>127584.91327468731</v>
      </c>
      <c r="AN22" s="38">
        <f>IF(D22=0,0,(IF((AM22)*1%&gt;10641.07,10641.07,(AM22)*1%)))</f>
        <v>1275.849132746873</v>
      </c>
      <c r="AO22" s="33">
        <f>IF(D22=0,0,(IF((AM22)*1%&gt;10641.07,10641.07,(AM22)*1%)))</f>
        <v>1275.849132746873</v>
      </c>
      <c r="AP22" s="38"/>
      <c r="AQ22" s="38">
        <f>+INT((AJ22+AL22-AO22-AN22-AP22)/100)*100</f>
        <v>125000</v>
      </c>
      <c r="AR22" s="39">
        <f>IF(AQ22=0,0,IF(AQ22&lt;=250000,0,(AQ22-250000)*20%))</f>
        <v>0</v>
      </c>
      <c r="AS22" s="40">
        <f>VLOOKUP(A22,'[2]Liste personnel'!$B$3:$R$187,16,0)</f>
        <v>0</v>
      </c>
      <c r="AT22" s="38">
        <f>+AS22*2000</f>
        <v>0</v>
      </c>
      <c r="AU22" s="38">
        <f>+IF(AR22=0,0,IF(AR22-AT22&lt;200,200,AR22-AT22))</f>
        <v>0</v>
      </c>
      <c r="AV22" s="38">
        <f>IF(ISNA(VLOOKUP(A22,[2]AVANCE!$A$6:$E$122,4,0))=TRUE,0,VLOOKUP(A22,[2]AVANCE!$A$6:$E$122,4,0))</f>
        <v>0</v>
      </c>
      <c r="AW22" s="38">
        <f>IF(ISNA(VLOOKUP(A22,[2]AVANCE!$A$6:$E$122,5,0))=TRUE,0,VLOOKUP(A22,[2]AVANCE!$A$6:$E$122,5,0))</f>
        <v>0</v>
      </c>
      <c r="AX22" s="38">
        <f>+AV22+AW22</f>
        <v>0</v>
      </c>
      <c r="AY22" s="57"/>
      <c r="AZ22" s="58">
        <f>+AO22+AN22+AU22+AX22+AY22</f>
        <v>2551.698265493746</v>
      </c>
      <c r="BA22" s="38">
        <f>+AJ22-AZ22</f>
        <v>125033.21500919356</v>
      </c>
      <c r="BB22" s="117"/>
      <c r="BC22" s="118"/>
      <c r="BD22" s="59">
        <f>+BA22+BB22+BC22</f>
        <v>125033.21500919356</v>
      </c>
      <c r="BE22" s="60">
        <f>IF(BD22-INT(BD22/100)*100&gt;0,INT(BD22/100)*100+100,INT(BD22/100)*100)</f>
        <v>125100</v>
      </c>
      <c r="BF22" s="61"/>
      <c r="BG22" s="61"/>
      <c r="BH22" s="62">
        <f>IF(BF22=0,0,I22/2)</f>
        <v>0</v>
      </c>
      <c r="BI22" s="62">
        <f>IF(BF22=0,0,+IF(BF22-J22&lt;30,J22-BF22,30))</f>
        <v>0</v>
      </c>
      <c r="BJ22" s="62">
        <f>+BI22*BH22/30</f>
        <v>0</v>
      </c>
      <c r="BK22" s="63">
        <f>+BD22+AX22+AY22</f>
        <v>125033.21500919356</v>
      </c>
      <c r="BL22" s="48">
        <f>+L22-N22</f>
        <v>0</v>
      </c>
      <c r="BN22" s="49"/>
      <c r="BO22" s="49"/>
    </row>
    <row r="23" spans="1:67" s="18" customFormat="1" ht="27.75" customHeight="1">
      <c r="A23" s="50" t="s">
        <v>83</v>
      </c>
      <c r="B23" s="51" t="s">
        <v>225</v>
      </c>
      <c r="C23" s="52"/>
      <c r="D23" s="53" t="s">
        <v>224</v>
      </c>
      <c r="E23" s="54">
        <v>40938</v>
      </c>
      <c r="F23" s="25">
        <v>42369</v>
      </c>
      <c r="G23" s="54" t="s">
        <v>215</v>
      </c>
      <c r="H23" s="55" t="s">
        <v>187</v>
      </c>
      <c r="I23" s="29">
        <v>165000</v>
      </c>
      <c r="J23" s="28">
        <v>42368</v>
      </c>
      <c r="K23" s="29">
        <v>0</v>
      </c>
      <c r="L23" s="29">
        <v>0</v>
      </c>
      <c r="M23" s="56">
        <v>0</v>
      </c>
      <c r="N23" s="33">
        <v>0</v>
      </c>
      <c r="O23" s="31">
        <v>951.94138348814397</v>
      </c>
      <c r="P23" s="32">
        <v>0</v>
      </c>
      <c r="Q23" s="33">
        <v>0</v>
      </c>
      <c r="R23" s="32">
        <v>0</v>
      </c>
      <c r="S23" s="33">
        <v>0</v>
      </c>
      <c r="T23" s="32">
        <v>0</v>
      </c>
      <c r="U23" s="33">
        <v>0</v>
      </c>
      <c r="V23" s="32">
        <v>0</v>
      </c>
      <c r="W23" s="33">
        <v>0</v>
      </c>
      <c r="X23" s="32">
        <v>0</v>
      </c>
      <c r="Y23" s="33">
        <v>0</v>
      </c>
      <c r="Z23" s="33">
        <v>0</v>
      </c>
      <c r="AA23" s="31">
        <v>0</v>
      </c>
      <c r="AB23" s="31">
        <v>0</v>
      </c>
      <c r="AC23" s="33">
        <v>0</v>
      </c>
      <c r="AD23" s="35"/>
      <c r="AE23" s="33">
        <v>0</v>
      </c>
      <c r="AF23" s="31">
        <v>22.75</v>
      </c>
      <c r="AG23" s="33">
        <v>161664.77979831616</v>
      </c>
      <c r="AH23" s="31">
        <v>0</v>
      </c>
      <c r="AI23" s="31">
        <v>0</v>
      </c>
      <c r="AJ23" s="36">
        <v>161664.77979831616</v>
      </c>
      <c r="AK23" s="33">
        <f>IF(ISNA(VLOOKUP(A23,[2]AVANTAGE!$A$5:$T$118,19,0))=TRUE,0,VLOOKUP(A23,[2]AVANTAGE!$A$5:$T$118,19,0))</f>
        <v>0</v>
      </c>
      <c r="AL23" s="33">
        <f>IF(ISNA(VLOOKUP(A23,[2]AVANTAGE!$A$5:$T$118,20,0))=TRUE,0,VLOOKUP(A23,[2]AVANTAGE!$A$5:$T$118,20,0))</f>
        <v>0</v>
      </c>
      <c r="AM23" s="37">
        <f>+AJ23+AL23</f>
        <v>161664.77979831616</v>
      </c>
      <c r="AN23" s="38">
        <f>IF(D23=0,0,(IF((AM23)*1%&gt;10641.07,10641.07,(AM23)*1%)))</f>
        <v>1616.6477979831616</v>
      </c>
      <c r="AO23" s="33">
        <f>IF(D23=0,0,(IF((AM23)*1%&gt;10641.07,10641.07,(AM23)*1%)))</f>
        <v>1616.6477979831616</v>
      </c>
      <c r="AP23" s="38"/>
      <c r="AQ23" s="38">
        <f>+INT((AJ23+AL23-AO23-AN23-AP23)/100)*100</f>
        <v>158400</v>
      </c>
      <c r="AR23" s="39">
        <f>IF(AQ23=0,0,IF(AQ23&lt;=250000,0,(AQ23-250000)*20%))</f>
        <v>0</v>
      </c>
      <c r="AS23" s="40">
        <f>VLOOKUP(A23,'[2]Liste personnel'!$B$3:$R$187,16,0)</f>
        <v>0</v>
      </c>
      <c r="AT23" s="38">
        <f>+AS23*2000</f>
        <v>0</v>
      </c>
      <c r="AU23" s="38">
        <f>+IF(AR23=0,0,IF(AR23-AT23&lt;200,200,AR23-AT23))</f>
        <v>0</v>
      </c>
      <c r="AV23" s="38">
        <f>IF(ISNA(VLOOKUP(A23,[2]AVANCE!$A$6:$E$122,4,0))=TRUE,0,VLOOKUP(A23,[2]AVANCE!$A$6:$E$122,4,0))</f>
        <v>0</v>
      </c>
      <c r="AW23" s="38">
        <f>IF(ISNA(VLOOKUP(A23,[2]AVANCE!$A$6:$E$122,5,0))=TRUE,0,VLOOKUP(A23,[2]AVANCE!$A$6:$E$122,5,0))</f>
        <v>0</v>
      </c>
      <c r="AX23" s="38">
        <f>+AV23+AW23</f>
        <v>0</v>
      </c>
      <c r="AY23" s="57"/>
      <c r="AZ23" s="58">
        <f>+AO23+AN23+AU23+AX23+AY23</f>
        <v>3233.2955959663232</v>
      </c>
      <c r="BA23" s="38">
        <f>+AJ23-AZ23</f>
        <v>158431.48420234985</v>
      </c>
      <c r="BB23" s="117"/>
      <c r="BC23" s="118"/>
      <c r="BD23" s="59">
        <f>+BA23+BB23+BC23</f>
        <v>158431.48420234985</v>
      </c>
      <c r="BE23" s="60">
        <f>IF(BD23-INT(BD23/100)*100&gt;0,INT(BD23/100)*100+100,INT(BD23/100)*100)</f>
        <v>158500</v>
      </c>
      <c r="BF23" s="61"/>
      <c r="BG23" s="61"/>
      <c r="BH23" s="62">
        <f>IF(BF23=0,0,I23/2)</f>
        <v>0</v>
      </c>
      <c r="BI23" s="62">
        <f>IF(BF23=0,0,+IF(BF23-J23&lt;30,J23-BF23,30))</f>
        <v>0</v>
      </c>
      <c r="BJ23" s="62">
        <f>+BI23*BH23/30</f>
        <v>0</v>
      </c>
      <c r="BK23" s="63">
        <f>+BD23+AX23+AY23</f>
        <v>158431.48420234985</v>
      </c>
      <c r="BL23" s="48">
        <f>+L23-N23</f>
        <v>0</v>
      </c>
      <c r="BN23" s="49"/>
      <c r="BO23" s="49"/>
    </row>
    <row r="24" spans="1:67" s="18" customFormat="1" ht="27.75" customHeight="1">
      <c r="A24" s="50" t="s">
        <v>84</v>
      </c>
      <c r="B24" s="51" t="s">
        <v>226</v>
      </c>
      <c r="C24" s="52"/>
      <c r="D24" s="53" t="s">
        <v>224</v>
      </c>
      <c r="E24" s="54">
        <v>41290</v>
      </c>
      <c r="F24" s="25">
        <v>42369</v>
      </c>
      <c r="G24" s="54" t="s">
        <v>215</v>
      </c>
      <c r="H24" s="55" t="s">
        <v>187</v>
      </c>
      <c r="I24" s="29">
        <v>150000</v>
      </c>
      <c r="J24" s="28">
        <v>42368</v>
      </c>
      <c r="K24" s="29">
        <v>0</v>
      </c>
      <c r="L24" s="29">
        <v>0</v>
      </c>
      <c r="M24" s="56">
        <v>0</v>
      </c>
      <c r="N24" s="33">
        <v>0</v>
      </c>
      <c r="O24" s="31">
        <v>865.40125771649446</v>
      </c>
      <c r="P24" s="32">
        <v>0</v>
      </c>
      <c r="Q24" s="33">
        <v>0</v>
      </c>
      <c r="R24" s="32">
        <v>0</v>
      </c>
      <c r="S24" s="33">
        <v>0</v>
      </c>
      <c r="T24" s="32">
        <v>0</v>
      </c>
      <c r="U24" s="33">
        <v>0</v>
      </c>
      <c r="V24" s="32">
        <v>0</v>
      </c>
      <c r="W24" s="33">
        <v>0</v>
      </c>
      <c r="X24" s="32">
        <v>0</v>
      </c>
      <c r="Y24" s="33">
        <v>0</v>
      </c>
      <c r="Z24" s="33">
        <v>0</v>
      </c>
      <c r="AA24" s="31">
        <v>0</v>
      </c>
      <c r="AB24" s="31">
        <v>0</v>
      </c>
      <c r="AC24" s="33">
        <v>0</v>
      </c>
      <c r="AD24" s="35"/>
      <c r="AE24" s="33">
        <v>0</v>
      </c>
      <c r="AF24" s="31">
        <v>27.416666666666671</v>
      </c>
      <c r="AG24" s="33">
        <v>177963.94567150209</v>
      </c>
      <c r="AH24" s="31">
        <v>0</v>
      </c>
      <c r="AI24" s="31">
        <v>0</v>
      </c>
      <c r="AJ24" s="36">
        <v>177963.94567150209</v>
      </c>
      <c r="AK24" s="33">
        <f>IF(ISNA(VLOOKUP(A24,[2]AVANTAGE!$A$5:$T$118,19,0))=TRUE,0,VLOOKUP(A24,[2]AVANTAGE!$A$5:$T$118,19,0))</f>
        <v>0</v>
      </c>
      <c r="AL24" s="33">
        <f>IF(ISNA(VLOOKUP(A24,[2]AVANTAGE!$A$5:$T$118,20,0))=TRUE,0,VLOOKUP(A24,[2]AVANTAGE!$A$5:$T$118,20,0))</f>
        <v>0</v>
      </c>
      <c r="AM24" s="37">
        <f>+AJ24+AL24</f>
        <v>177963.94567150209</v>
      </c>
      <c r="AN24" s="38">
        <f>IF(D24=0,0,(IF((AM24)*1%&gt;10641.07,10641.07,(AM24)*1%)))</f>
        <v>1779.639456715021</v>
      </c>
      <c r="AO24" s="33">
        <f>IF(D24=0,0,(IF((AM24)*1%&gt;10641.07,10641.07,(AM24)*1%)))</f>
        <v>1779.639456715021</v>
      </c>
      <c r="AP24" s="38"/>
      <c r="AQ24" s="38">
        <f>+INT((AJ24+AL24-AO24-AN24-AP24)/100)*100</f>
        <v>174400</v>
      </c>
      <c r="AR24" s="39">
        <f>IF(AQ24=0,0,IF(AQ24&lt;=250000,0,(AQ24-250000)*20%))</f>
        <v>0</v>
      </c>
      <c r="AS24" s="40">
        <f>VLOOKUP(A24,'[2]Liste personnel'!$B$3:$R$187,16,0)</f>
        <v>0</v>
      </c>
      <c r="AT24" s="38">
        <f>+AS24*2000</f>
        <v>0</v>
      </c>
      <c r="AU24" s="38">
        <f>+IF(AR24=0,0,IF(AR24-AT24&lt;200,200,AR24-AT24))</f>
        <v>0</v>
      </c>
      <c r="AV24" s="38">
        <f>IF(ISNA(VLOOKUP(A24,[2]AVANCE!$A$6:$E$122,4,0))=TRUE,0,VLOOKUP(A24,[2]AVANCE!$A$6:$E$122,4,0))</f>
        <v>0</v>
      </c>
      <c r="AW24" s="38">
        <f>IF(ISNA(VLOOKUP(A24,[2]AVANCE!$A$6:$E$122,5,0))=TRUE,0,VLOOKUP(A24,[2]AVANCE!$A$6:$E$122,5,0))</f>
        <v>0</v>
      </c>
      <c r="AX24" s="38">
        <f>+AV24+AW24</f>
        <v>0</v>
      </c>
      <c r="AY24" s="57"/>
      <c r="AZ24" s="58">
        <f>+AO24+AN24+AU24+AX24+AY24</f>
        <v>3559.2789134300419</v>
      </c>
      <c r="BA24" s="38">
        <f>+AJ24-AZ24</f>
        <v>174404.66675807204</v>
      </c>
      <c r="BB24" s="117"/>
      <c r="BC24" s="118"/>
      <c r="BD24" s="59">
        <f>+BA24+BB24+BC24</f>
        <v>174404.66675807204</v>
      </c>
      <c r="BE24" s="60">
        <f>IF(BD24-INT(BD24/100)*100&gt;0,INT(BD24/100)*100+100,INT(BD24/100)*100)</f>
        <v>174500</v>
      </c>
      <c r="BF24" s="61"/>
      <c r="BG24" s="61"/>
      <c r="BH24" s="62">
        <f>IF(BF24=0,0,I24/2)</f>
        <v>0</v>
      </c>
      <c r="BI24" s="62">
        <f>IF(BF24=0,0,+IF(BF24-J24&lt;30,J24-BF24,30))</f>
        <v>0</v>
      </c>
      <c r="BJ24" s="62">
        <f>+BI24*BH24/30</f>
        <v>0</v>
      </c>
      <c r="BK24" s="63">
        <f>+BD24+AX24+AY24</f>
        <v>174404.66675807204</v>
      </c>
      <c r="BL24" s="48">
        <f>+L24-N24</f>
        <v>0</v>
      </c>
      <c r="BN24" s="49"/>
      <c r="BO24" s="49"/>
    </row>
    <row r="25" spans="1:67" s="18" customFormat="1" ht="27.75" customHeight="1">
      <c r="A25" s="50" t="s">
        <v>85</v>
      </c>
      <c r="B25" s="51" t="s">
        <v>227</v>
      </c>
      <c r="C25" s="52"/>
      <c r="D25" s="53" t="s">
        <v>228</v>
      </c>
      <c r="E25" s="54">
        <v>40949</v>
      </c>
      <c r="F25" s="25">
        <v>42369</v>
      </c>
      <c r="G25" s="54" t="s">
        <v>168</v>
      </c>
      <c r="H25" s="55" t="s">
        <v>169</v>
      </c>
      <c r="I25" s="29">
        <v>380000</v>
      </c>
      <c r="J25" s="28">
        <v>42368</v>
      </c>
      <c r="K25" s="29">
        <v>0</v>
      </c>
      <c r="L25" s="29">
        <v>0</v>
      </c>
      <c r="M25" s="56">
        <v>0</v>
      </c>
      <c r="N25" s="33">
        <v>0</v>
      </c>
      <c r="O25" s="31">
        <v>2192.3498528817859</v>
      </c>
      <c r="P25" s="32">
        <v>0</v>
      </c>
      <c r="Q25" s="33">
        <v>0</v>
      </c>
      <c r="R25" s="32">
        <v>0</v>
      </c>
      <c r="S25" s="33">
        <v>0</v>
      </c>
      <c r="T25" s="32">
        <v>0</v>
      </c>
      <c r="U25" s="33">
        <v>0</v>
      </c>
      <c r="V25" s="32">
        <v>0</v>
      </c>
      <c r="W25" s="33">
        <v>0</v>
      </c>
      <c r="X25" s="32">
        <v>0</v>
      </c>
      <c r="Y25" s="33">
        <v>0</v>
      </c>
      <c r="Z25" s="33">
        <v>0</v>
      </c>
      <c r="AA25" s="31">
        <v>0</v>
      </c>
      <c r="AB25" s="31">
        <v>0</v>
      </c>
      <c r="AC25" s="33">
        <v>0</v>
      </c>
      <c r="AD25" s="35"/>
      <c r="AE25" s="33">
        <v>0</v>
      </c>
      <c r="AF25" s="31">
        <v>37.333333333333343</v>
      </c>
      <c r="AG25" s="33">
        <v>562697.90794705844</v>
      </c>
      <c r="AH25" s="31">
        <v>0</v>
      </c>
      <c r="AI25" s="31">
        <v>0</v>
      </c>
      <c r="AJ25" s="36">
        <v>562697.90794705844</v>
      </c>
      <c r="AK25" s="33">
        <f>IF(ISNA(VLOOKUP(A25,[2]AVANTAGE!$A$5:$T$118,19,0))=TRUE,0,VLOOKUP(A25,[2]AVANTAGE!$A$5:$T$118,19,0))</f>
        <v>0</v>
      </c>
      <c r="AL25" s="33">
        <f>IF(ISNA(VLOOKUP(A25,[2]AVANTAGE!$A$5:$T$118,20,0))=TRUE,0,VLOOKUP(A25,[2]AVANTAGE!$A$5:$T$118,20,0))</f>
        <v>0</v>
      </c>
      <c r="AM25" s="37">
        <f>+AJ25+AL25</f>
        <v>562697.90794705844</v>
      </c>
      <c r="AN25" s="38">
        <f>IF(D25=0,0,(IF((AM25)*1%&gt;10641.07,10641.07,(AM25)*1%)))</f>
        <v>5626.9790794705841</v>
      </c>
      <c r="AO25" s="33">
        <f>IF(D25=0,0,(IF((AM25)*1%&gt;10641.07,10641.07,(AM25)*1%)))</f>
        <v>5626.9790794705841</v>
      </c>
      <c r="AP25" s="38"/>
      <c r="AQ25" s="38">
        <f>+INT((AJ25+AL25-AO25-AN25-AP25)/100)*100</f>
        <v>551400</v>
      </c>
      <c r="AR25" s="39">
        <f>IF(AQ25=0,0,IF(AQ25&lt;=250000,0,(AQ25-250000)*20%))</f>
        <v>60280</v>
      </c>
      <c r="AS25" s="40">
        <f>VLOOKUP(A25,'[2]Liste personnel'!$B$3:$R$187,16,0)</f>
        <v>0</v>
      </c>
      <c r="AT25" s="38">
        <f>+AS25*2000</f>
        <v>0</v>
      </c>
      <c r="AU25" s="38">
        <f>+IF(AR25=0,0,IF(AR25-AT25&lt;200,200,AR25-AT25))</f>
        <v>60280</v>
      </c>
      <c r="AV25" s="38">
        <f>IF(ISNA(VLOOKUP(A25,[2]AVANCE!$A$6:$E$122,4,0))=TRUE,0,VLOOKUP(A25,[2]AVANCE!$A$6:$E$122,4,0))</f>
        <v>0</v>
      </c>
      <c r="AW25" s="38">
        <f>IF(ISNA(VLOOKUP(A25,[2]AVANCE!$A$6:$E$122,5,0))=TRUE,0,VLOOKUP(A25,[2]AVANCE!$A$6:$E$122,5,0))</f>
        <v>0</v>
      </c>
      <c r="AX25" s="38">
        <f>+AV25+AW25</f>
        <v>0</v>
      </c>
      <c r="AY25" s="57"/>
      <c r="AZ25" s="58">
        <f>+AO25+AN25+AU25+AX25+AY25</f>
        <v>71533.958158941168</v>
      </c>
      <c r="BA25" s="38">
        <f>+AJ25-AZ25</f>
        <v>491163.94978811726</v>
      </c>
      <c r="BB25" s="117"/>
      <c r="BC25" s="118"/>
      <c r="BD25" s="59">
        <f>+BA25+BB25+BC25</f>
        <v>491163.94978811726</v>
      </c>
      <c r="BE25" s="60">
        <f>IF(BD25-INT(BD25/100)*100&gt;0,INT(BD25/100)*100+100,INT(BD25/100)*100)</f>
        <v>491200</v>
      </c>
      <c r="BF25" s="61"/>
      <c r="BG25" s="61"/>
      <c r="BH25" s="62">
        <f>IF(BF25=0,0,I25/2)</f>
        <v>0</v>
      </c>
      <c r="BI25" s="62">
        <f>IF(BF25=0,0,+IF(BF25-J25&lt;30,J25-BF25,30))</f>
        <v>0</v>
      </c>
      <c r="BJ25" s="62">
        <f>+BI25*BH25/30</f>
        <v>0</v>
      </c>
      <c r="BK25" s="63">
        <f>+BD25+AX25+AY25</f>
        <v>491163.94978811726</v>
      </c>
      <c r="BL25" s="48">
        <f>+L25-N25</f>
        <v>0</v>
      </c>
      <c r="BN25" s="49"/>
      <c r="BO25" s="49"/>
    </row>
    <row r="26" spans="1:67" s="18" customFormat="1" ht="27.75" customHeight="1">
      <c r="A26" s="50" t="s">
        <v>86</v>
      </c>
      <c r="B26" s="51" t="s">
        <v>229</v>
      </c>
      <c r="C26" s="52"/>
      <c r="D26" s="53" t="s">
        <v>224</v>
      </c>
      <c r="E26" s="54">
        <v>40974</v>
      </c>
      <c r="F26" s="25">
        <v>42369</v>
      </c>
      <c r="G26" s="54" t="s">
        <v>230</v>
      </c>
      <c r="H26" s="55" t="s">
        <v>207</v>
      </c>
      <c r="I26" s="29">
        <v>1208762</v>
      </c>
      <c r="J26" s="28">
        <v>42368</v>
      </c>
      <c r="K26" s="29">
        <v>0</v>
      </c>
      <c r="L26" s="29">
        <v>0</v>
      </c>
      <c r="M26" s="56">
        <v>0</v>
      </c>
      <c r="N26" s="33">
        <v>0</v>
      </c>
      <c r="O26" s="31">
        <v>0</v>
      </c>
      <c r="P26" s="32">
        <v>0</v>
      </c>
      <c r="Q26" s="33">
        <v>0</v>
      </c>
      <c r="R26" s="32">
        <v>0</v>
      </c>
      <c r="S26" s="33">
        <v>0</v>
      </c>
      <c r="T26" s="32">
        <v>0</v>
      </c>
      <c r="U26" s="33">
        <v>0</v>
      </c>
      <c r="V26" s="32">
        <v>0</v>
      </c>
      <c r="W26" s="33">
        <v>0</v>
      </c>
      <c r="X26" s="32">
        <v>0</v>
      </c>
      <c r="Y26" s="33">
        <v>0</v>
      </c>
      <c r="Z26" s="33">
        <v>0</v>
      </c>
      <c r="AA26" s="31">
        <v>0</v>
      </c>
      <c r="AB26" s="31">
        <v>0</v>
      </c>
      <c r="AC26" s="33">
        <v>0</v>
      </c>
      <c r="AD26" s="35"/>
      <c r="AE26" s="33">
        <v>0</v>
      </c>
      <c r="AF26" s="31">
        <v>25.25</v>
      </c>
      <c r="AG26" s="33">
        <v>1041139.7843724093</v>
      </c>
      <c r="AH26" s="31">
        <v>0</v>
      </c>
      <c r="AI26" s="31">
        <v>0</v>
      </c>
      <c r="AJ26" s="36">
        <v>1041139.7843724093</v>
      </c>
      <c r="AK26" s="33">
        <f>IF(ISNA(VLOOKUP(A26,[2]AVANTAGE!$A$5:$T$118,19,0))=TRUE,0,VLOOKUP(A26,[2]AVANTAGE!$A$5:$T$118,19,0))</f>
        <v>0</v>
      </c>
      <c r="AL26" s="33">
        <f>IF(ISNA(VLOOKUP(A26,[2]AVANTAGE!$A$5:$T$118,20,0))=TRUE,0,VLOOKUP(A26,[2]AVANTAGE!$A$5:$T$118,20,0))</f>
        <v>0</v>
      </c>
      <c r="AM26" s="37">
        <f>+AJ26+AL26</f>
        <v>1041139.7843724093</v>
      </c>
      <c r="AN26" s="38">
        <f>IF(D26=0,0,(IF((AM26)*1%&gt;10641.07,10641.07,(AM26)*1%)))</f>
        <v>10411.397843724093</v>
      </c>
      <c r="AO26" s="33">
        <f>IF(D26=0,0,(IF((AM26)*1%&gt;10641.07,10641.07,(AM26)*1%)))</f>
        <v>10411.397843724093</v>
      </c>
      <c r="AP26" s="38"/>
      <c r="AQ26" s="38">
        <f>+INT((AJ26+AL26-AO26-AN26-AP26)/100)*100</f>
        <v>1020300</v>
      </c>
      <c r="AR26" s="39">
        <f>IF(AQ26=0,0,IF(AQ26&lt;=250000,0,(AQ26-250000)*20%))</f>
        <v>154060</v>
      </c>
      <c r="AS26" s="40">
        <f>VLOOKUP(A26,'[2]Liste personnel'!$B$3:$R$187,16,0)</f>
        <v>0</v>
      </c>
      <c r="AT26" s="38">
        <f>+AS26*2000</f>
        <v>0</v>
      </c>
      <c r="AU26" s="38">
        <f>+IF(AR26=0,0,IF(AR26-AT26&lt;200,200,AR26-AT26))</f>
        <v>154060</v>
      </c>
      <c r="AV26" s="38">
        <f>IF(ISNA(VLOOKUP(A26,[2]AVANCE!$A$6:$E$122,4,0))=TRUE,0,VLOOKUP(A26,[2]AVANCE!$A$6:$E$122,4,0))</f>
        <v>0</v>
      </c>
      <c r="AW26" s="38">
        <f>IF(ISNA(VLOOKUP(A26,[2]AVANCE!$A$6:$E$122,5,0))=TRUE,0,VLOOKUP(A26,[2]AVANCE!$A$6:$E$122,5,0))</f>
        <v>0</v>
      </c>
      <c r="AX26" s="38">
        <f>+AV26+AW26</f>
        <v>0</v>
      </c>
      <c r="AY26" s="57"/>
      <c r="AZ26" s="58">
        <f>+AO26+AN26+AU26+AX26+AY26</f>
        <v>174882.79568744818</v>
      </c>
      <c r="BA26" s="38">
        <f>+AJ26-AZ26</f>
        <v>866256.98868496111</v>
      </c>
      <c r="BB26" s="117"/>
      <c r="BC26" s="118"/>
      <c r="BD26" s="59">
        <f>+BA26+BB26+BC26</f>
        <v>866256.98868496111</v>
      </c>
      <c r="BE26" s="60">
        <f>IF(BD26-INT(BD26/100)*100&gt;0,INT(BD26/100)*100+100,INT(BD26/100)*100)</f>
        <v>866300</v>
      </c>
      <c r="BF26" s="61"/>
      <c r="BG26" s="61"/>
      <c r="BH26" s="62">
        <f>IF(BF26=0,0,I26/2)</f>
        <v>0</v>
      </c>
      <c r="BI26" s="62">
        <f>IF(BF26=0,0,+IF(BF26-J26&lt;30,J26-BF26,30))</f>
        <v>0</v>
      </c>
      <c r="BJ26" s="62">
        <f>+BI26*BH26/30</f>
        <v>0</v>
      </c>
      <c r="BK26" s="63">
        <f>+BD26+AX26+AY26</f>
        <v>866256.98868496111</v>
      </c>
      <c r="BL26" s="48">
        <f>+L26-N26</f>
        <v>0</v>
      </c>
      <c r="BN26" s="49"/>
      <c r="BO26" s="49"/>
    </row>
    <row r="27" spans="1:67" s="18" customFormat="1" ht="27.75" customHeight="1">
      <c r="A27" s="50" t="s">
        <v>87</v>
      </c>
      <c r="B27" s="51" t="s">
        <v>231</v>
      </c>
      <c r="C27" s="52"/>
      <c r="D27" s="53" t="s">
        <v>224</v>
      </c>
      <c r="E27" s="54">
        <v>40975</v>
      </c>
      <c r="F27" s="25">
        <v>42369</v>
      </c>
      <c r="G27" s="54" t="s">
        <v>215</v>
      </c>
      <c r="H27" s="55" t="s">
        <v>187</v>
      </c>
      <c r="I27" s="29">
        <v>170000</v>
      </c>
      <c r="J27" s="28">
        <v>42368</v>
      </c>
      <c r="K27" s="29">
        <v>0</v>
      </c>
      <c r="L27" s="29">
        <v>0</v>
      </c>
      <c r="M27" s="56">
        <v>0</v>
      </c>
      <c r="N27" s="33">
        <v>0</v>
      </c>
      <c r="O27" s="31">
        <v>980.78809207869369</v>
      </c>
      <c r="P27" s="32">
        <v>0</v>
      </c>
      <c r="Q27" s="33">
        <v>0</v>
      </c>
      <c r="R27" s="32">
        <v>0</v>
      </c>
      <c r="S27" s="33">
        <v>0</v>
      </c>
      <c r="T27" s="32">
        <v>0</v>
      </c>
      <c r="U27" s="33">
        <v>0</v>
      </c>
      <c r="V27" s="32">
        <v>0</v>
      </c>
      <c r="W27" s="33">
        <v>0</v>
      </c>
      <c r="X27" s="32">
        <v>0</v>
      </c>
      <c r="Y27" s="33">
        <v>0</v>
      </c>
      <c r="Z27" s="33">
        <v>0</v>
      </c>
      <c r="AA27" s="31">
        <v>0</v>
      </c>
      <c r="AB27" s="31">
        <v>0</v>
      </c>
      <c r="AC27" s="33">
        <v>0</v>
      </c>
      <c r="AD27" s="35"/>
      <c r="AE27" s="33">
        <v>0</v>
      </c>
      <c r="AF27" s="31">
        <v>24.416666666666671</v>
      </c>
      <c r="AG27" s="33">
        <v>171792.52266232355</v>
      </c>
      <c r="AH27" s="31">
        <v>0</v>
      </c>
      <c r="AI27" s="31">
        <v>0</v>
      </c>
      <c r="AJ27" s="36">
        <v>171792.52266232355</v>
      </c>
      <c r="AK27" s="33">
        <f>IF(ISNA(VLOOKUP(A27,[2]AVANTAGE!$A$5:$T$118,19,0))=TRUE,0,VLOOKUP(A27,[2]AVANTAGE!$A$5:$T$118,19,0))</f>
        <v>0</v>
      </c>
      <c r="AL27" s="33">
        <f>IF(ISNA(VLOOKUP(A27,[2]AVANTAGE!$A$5:$T$118,20,0))=TRUE,0,VLOOKUP(A27,[2]AVANTAGE!$A$5:$T$118,20,0))</f>
        <v>0</v>
      </c>
      <c r="AM27" s="37">
        <f>+AJ27+AL27</f>
        <v>171792.52266232355</v>
      </c>
      <c r="AN27" s="38">
        <f>IF(D27=0,0,(IF((AM27)*1%&gt;10641.07,10641.07,(AM27)*1%)))</f>
        <v>1717.9252266232356</v>
      </c>
      <c r="AO27" s="33">
        <f>IF(D27=0,0,(IF((AM27)*1%&gt;10641.07,10641.07,(AM27)*1%)))</f>
        <v>1717.9252266232356</v>
      </c>
      <c r="AP27" s="38"/>
      <c r="AQ27" s="38">
        <f>+INT((AJ27+AL27-AO27-AN27-AP27)/100)*100</f>
        <v>168300</v>
      </c>
      <c r="AR27" s="39">
        <f>IF(AQ27=0,0,IF(AQ27&lt;=250000,0,(AQ27-250000)*20%))</f>
        <v>0</v>
      </c>
      <c r="AS27" s="40">
        <f>VLOOKUP(A27,'[2]Liste personnel'!$B$3:$R$187,16,0)</f>
        <v>0</v>
      </c>
      <c r="AT27" s="38">
        <f>+AS27*2000</f>
        <v>0</v>
      </c>
      <c r="AU27" s="38">
        <f>+IF(AR27=0,0,IF(AR27-AT27&lt;200,200,AR27-AT27))</f>
        <v>0</v>
      </c>
      <c r="AV27" s="38">
        <f>IF(ISNA(VLOOKUP(A27,[2]AVANCE!$A$6:$E$122,4,0))=TRUE,0,VLOOKUP(A27,[2]AVANCE!$A$6:$E$122,4,0))</f>
        <v>0</v>
      </c>
      <c r="AW27" s="38">
        <f>IF(ISNA(VLOOKUP(A27,[2]AVANCE!$A$6:$E$122,5,0))=TRUE,0,VLOOKUP(A27,[2]AVANCE!$A$6:$E$122,5,0))</f>
        <v>0</v>
      </c>
      <c r="AX27" s="38">
        <f>+AV27+AW27</f>
        <v>0</v>
      </c>
      <c r="AY27" s="57"/>
      <c r="AZ27" s="58">
        <f>+AO27+AN27+AU27+AX27+AY27</f>
        <v>3435.8504532464713</v>
      </c>
      <c r="BA27" s="38">
        <f>+AJ27-AZ27</f>
        <v>168356.67220907708</v>
      </c>
      <c r="BB27" s="117"/>
      <c r="BC27" s="118"/>
      <c r="BD27" s="59">
        <f>+BA27+BB27+BC27</f>
        <v>168356.67220907708</v>
      </c>
      <c r="BE27" s="60">
        <f>IF(BD27-INT(BD27/100)*100&gt;0,INT(BD27/100)*100+100,INT(BD27/100)*100)</f>
        <v>168400</v>
      </c>
      <c r="BF27" s="61"/>
      <c r="BG27" s="61"/>
      <c r="BH27" s="62">
        <f>IF(BF27=0,0,I27/2)</f>
        <v>0</v>
      </c>
      <c r="BI27" s="62">
        <f>IF(BF27=0,0,+IF(BF27-J27&lt;30,J27-BF27,30))</f>
        <v>0</v>
      </c>
      <c r="BJ27" s="62">
        <f>+BI27*BH27/30</f>
        <v>0</v>
      </c>
      <c r="BK27" s="63">
        <f>+BD27+AX27+AY27</f>
        <v>168356.67220907708</v>
      </c>
      <c r="BL27" s="48">
        <f>+L27-N27</f>
        <v>0</v>
      </c>
      <c r="BM27" s="64"/>
      <c r="BN27" s="49"/>
      <c r="BO27" s="49"/>
    </row>
    <row r="28" spans="1:67" s="18" customFormat="1" ht="27.75" customHeight="1">
      <c r="A28" s="50" t="s">
        <v>88</v>
      </c>
      <c r="B28" s="51" t="s">
        <v>232</v>
      </c>
      <c r="C28" s="52"/>
      <c r="D28" s="53" t="s">
        <v>233</v>
      </c>
      <c r="E28" s="54">
        <v>39370</v>
      </c>
      <c r="F28" s="25">
        <v>42369</v>
      </c>
      <c r="G28" s="54" t="s">
        <v>234</v>
      </c>
      <c r="H28" s="55" t="s">
        <v>207</v>
      </c>
      <c r="I28" s="29">
        <v>1208762</v>
      </c>
      <c r="J28" s="28">
        <v>42368</v>
      </c>
      <c r="K28" s="29">
        <v>0</v>
      </c>
      <c r="L28" s="29">
        <v>0</v>
      </c>
      <c r="M28" s="56">
        <v>0</v>
      </c>
      <c r="N28" s="33">
        <v>0</v>
      </c>
      <c r="O28" s="31">
        <v>0</v>
      </c>
      <c r="P28" s="32">
        <v>0</v>
      </c>
      <c r="Q28" s="33">
        <v>0</v>
      </c>
      <c r="R28" s="32">
        <v>0</v>
      </c>
      <c r="S28" s="33">
        <v>0</v>
      </c>
      <c r="T28" s="32">
        <v>0</v>
      </c>
      <c r="U28" s="33">
        <v>0</v>
      </c>
      <c r="V28" s="32">
        <v>0</v>
      </c>
      <c r="W28" s="33">
        <v>0</v>
      </c>
      <c r="X28" s="32">
        <v>0</v>
      </c>
      <c r="Y28" s="33">
        <v>0</v>
      </c>
      <c r="Z28" s="33">
        <v>0</v>
      </c>
      <c r="AA28" s="31">
        <v>0</v>
      </c>
      <c r="AB28" s="31">
        <v>0</v>
      </c>
      <c r="AC28" s="33">
        <v>0</v>
      </c>
      <c r="AD28" s="35"/>
      <c r="AE28" s="33">
        <v>0</v>
      </c>
      <c r="AF28" s="31">
        <v>81.55</v>
      </c>
      <c r="AG28" s="33">
        <v>3285818.0366666666</v>
      </c>
      <c r="AH28" s="31">
        <v>0</v>
      </c>
      <c r="AI28" s="31">
        <v>0</v>
      </c>
      <c r="AJ28" s="36">
        <v>3285818.0366666666</v>
      </c>
      <c r="AK28" s="33">
        <f>IF(ISNA(VLOOKUP(A28,[2]AVANTAGE!$A$5:$T$118,19,0))=TRUE,0,VLOOKUP(A28,[2]AVANTAGE!$A$5:$T$118,19,0))</f>
        <v>0</v>
      </c>
      <c r="AL28" s="33">
        <f>IF(ISNA(VLOOKUP(A28,[2]AVANTAGE!$A$5:$T$118,20,0))=TRUE,0,VLOOKUP(A28,[2]AVANTAGE!$A$5:$T$118,20,0))</f>
        <v>0</v>
      </c>
      <c r="AM28" s="37">
        <f>+AJ28+AL28</f>
        <v>3285818.0366666666</v>
      </c>
      <c r="AN28" s="38">
        <f>IF(D28=0,0,(IF((AM28)*1%&gt;10641.07,10641.07,(AM28)*1%)))</f>
        <v>10641.07</v>
      </c>
      <c r="AO28" s="33">
        <f>IF(D28=0,0,(IF((AM28)*1%&gt;10641.07,10641.07,(AM28)*1%)))</f>
        <v>10641.07</v>
      </c>
      <c r="AP28" s="38"/>
      <c r="AQ28" s="38">
        <f>+INT((AJ28+AL28-AO28-AN28-AP28)/100)*100</f>
        <v>3264500</v>
      </c>
      <c r="AR28" s="39">
        <f>IF(AQ28=0,0,IF(AQ28&lt;=250000,0,(AQ28-250000)*20%))</f>
        <v>602900</v>
      </c>
      <c r="AS28" s="40">
        <f>VLOOKUP(A28,'[2]Liste personnel'!$B$3:$R$187,16,0)</f>
        <v>0</v>
      </c>
      <c r="AT28" s="38">
        <f>+AS28*2000</f>
        <v>0</v>
      </c>
      <c r="AU28" s="38">
        <f>+IF(AR28=0,0,IF(AR28-AT28&lt;200,200,AR28-AT28))</f>
        <v>602900</v>
      </c>
      <c r="AV28" s="38">
        <f>IF(ISNA(VLOOKUP(A28,[2]AVANCE!$A$6:$E$122,4,0))=TRUE,0,VLOOKUP(A28,[2]AVANCE!$A$6:$E$122,4,0))</f>
        <v>0</v>
      </c>
      <c r="AW28" s="38">
        <f>IF(ISNA(VLOOKUP(A28,[2]AVANCE!$A$6:$E$122,5,0))=TRUE,0,VLOOKUP(A28,[2]AVANCE!$A$6:$E$122,5,0))</f>
        <v>0</v>
      </c>
      <c r="AX28" s="38">
        <f>+AV28+AW28</f>
        <v>0</v>
      </c>
      <c r="AY28" s="57"/>
      <c r="AZ28" s="58">
        <f>+AO28+AN28+AU28+AX28+AY28</f>
        <v>624182.14</v>
      </c>
      <c r="BA28" s="38">
        <f>+AJ28-AZ28</f>
        <v>2661635.8966666665</v>
      </c>
      <c r="BB28" s="117"/>
      <c r="BC28" s="118"/>
      <c r="BD28" s="59">
        <f>+BA28+BB28+BC28</f>
        <v>2661635.8966666665</v>
      </c>
      <c r="BE28" s="60">
        <f>IF(BD28-INT(BD28/100)*100&gt;0,INT(BD28/100)*100+100,INT(BD28/100)*100)</f>
        <v>2661700</v>
      </c>
      <c r="BF28" s="61"/>
      <c r="BG28" s="61"/>
      <c r="BH28" s="62">
        <f>IF(BF28=0,0,I28/2)</f>
        <v>0</v>
      </c>
      <c r="BI28" s="62">
        <f>IF(BF28=0,0,+IF(BF28-J28&lt;30,J28-BF28,30))</f>
        <v>0</v>
      </c>
      <c r="BJ28" s="62">
        <f>+BI28*BH28/30</f>
        <v>0</v>
      </c>
      <c r="BK28" s="63">
        <f>+BD28+AX28+AY28</f>
        <v>2661635.8966666665</v>
      </c>
      <c r="BL28" s="48">
        <f>+L28-N28</f>
        <v>0</v>
      </c>
      <c r="BN28" s="49"/>
      <c r="BO28" s="49"/>
    </row>
    <row r="29" spans="1:67" s="18" customFormat="1" ht="27.75" customHeight="1">
      <c r="A29" s="50" t="s">
        <v>89</v>
      </c>
      <c r="B29" s="51" t="s">
        <v>235</v>
      </c>
      <c r="C29" s="52"/>
      <c r="D29" s="53" t="s">
        <v>236</v>
      </c>
      <c r="E29" s="54">
        <v>39489</v>
      </c>
      <c r="F29" s="25">
        <v>42369</v>
      </c>
      <c r="G29" s="54" t="s">
        <v>237</v>
      </c>
      <c r="H29" s="55" t="s">
        <v>207</v>
      </c>
      <c r="I29" s="29">
        <v>1208762</v>
      </c>
      <c r="J29" s="28">
        <v>42368</v>
      </c>
      <c r="K29" s="29">
        <v>0</v>
      </c>
      <c r="L29" s="29">
        <v>0</v>
      </c>
      <c r="M29" s="56">
        <v>0</v>
      </c>
      <c r="N29" s="33">
        <v>0</v>
      </c>
      <c r="O29" s="31">
        <v>0</v>
      </c>
      <c r="P29" s="32">
        <v>0</v>
      </c>
      <c r="Q29" s="33">
        <v>0</v>
      </c>
      <c r="R29" s="32">
        <v>0</v>
      </c>
      <c r="S29" s="33">
        <v>0</v>
      </c>
      <c r="T29" s="32">
        <v>0</v>
      </c>
      <c r="U29" s="33">
        <v>0</v>
      </c>
      <c r="V29" s="32">
        <v>0</v>
      </c>
      <c r="W29" s="33">
        <v>0</v>
      </c>
      <c r="X29" s="32">
        <v>0</v>
      </c>
      <c r="Y29" s="33">
        <v>0</v>
      </c>
      <c r="Z29" s="33">
        <v>0</v>
      </c>
      <c r="AA29" s="31">
        <v>0</v>
      </c>
      <c r="AB29" s="31">
        <v>0</v>
      </c>
      <c r="AC29" s="33">
        <v>0</v>
      </c>
      <c r="AD29" s="35"/>
      <c r="AE29" s="33">
        <v>0</v>
      </c>
      <c r="AF29" s="31">
        <v>74.25</v>
      </c>
      <c r="AG29" s="33">
        <v>2991685.9499999997</v>
      </c>
      <c r="AH29" s="31">
        <v>0</v>
      </c>
      <c r="AI29" s="31">
        <v>0</v>
      </c>
      <c r="AJ29" s="36">
        <v>2991685.9499999997</v>
      </c>
      <c r="AK29" s="33">
        <f>IF(ISNA(VLOOKUP(A29,[2]AVANTAGE!$A$5:$T$118,19,0))=TRUE,0,VLOOKUP(A29,[2]AVANTAGE!$A$5:$T$118,19,0))</f>
        <v>0</v>
      </c>
      <c r="AL29" s="33">
        <f>IF(ISNA(VLOOKUP(A29,[2]AVANTAGE!$A$5:$T$118,20,0))=TRUE,0,VLOOKUP(A29,[2]AVANTAGE!$A$5:$T$118,20,0))</f>
        <v>0</v>
      </c>
      <c r="AM29" s="37">
        <f>+AJ29+AL29</f>
        <v>2991685.9499999997</v>
      </c>
      <c r="AN29" s="38">
        <f>IF(D29=0,0,(IF((AM29)*1%&gt;10641.07,10641.07,(AM29)*1%)))</f>
        <v>10641.07</v>
      </c>
      <c r="AO29" s="33">
        <f>IF(D29=0,0,(IF((AM29)*1%&gt;10641.07,10641.07,(AM29)*1%)))</f>
        <v>10641.07</v>
      </c>
      <c r="AP29" s="38"/>
      <c r="AQ29" s="38">
        <f>+INT((AJ29+AL29-AO29-AN29-AP29)/100)*100</f>
        <v>2970400</v>
      </c>
      <c r="AR29" s="39">
        <f>IF(AQ29=0,0,IF(AQ29&lt;=250000,0,(AQ29-250000)*20%))</f>
        <v>544080</v>
      </c>
      <c r="AS29" s="40">
        <f>VLOOKUP(A29,'[2]Liste personnel'!$B$3:$R$187,16,0)</f>
        <v>0</v>
      </c>
      <c r="AT29" s="38">
        <f>+AS29*2000</f>
        <v>0</v>
      </c>
      <c r="AU29" s="38">
        <f>+IF(AR29=0,0,IF(AR29-AT29&lt;200,200,AR29-AT29))</f>
        <v>544080</v>
      </c>
      <c r="AV29" s="38">
        <f>IF(ISNA(VLOOKUP(A29,[2]AVANCE!$A$6:$E$122,4,0))=TRUE,0,VLOOKUP(A29,[2]AVANCE!$A$6:$E$122,4,0))</f>
        <v>0</v>
      </c>
      <c r="AW29" s="38">
        <f>IF(ISNA(VLOOKUP(A29,[2]AVANCE!$A$6:$E$122,5,0))=TRUE,0,VLOOKUP(A29,[2]AVANCE!$A$6:$E$122,5,0))</f>
        <v>0</v>
      </c>
      <c r="AX29" s="38">
        <f>+AV29+AW29</f>
        <v>0</v>
      </c>
      <c r="AY29" s="57"/>
      <c r="AZ29" s="58">
        <f>+AO29+AN29+AU29+AX29+AY29</f>
        <v>565362.14</v>
      </c>
      <c r="BA29" s="38">
        <f>+AJ29-AZ29</f>
        <v>2426323.8099999996</v>
      </c>
      <c r="BB29" s="117"/>
      <c r="BC29" s="118"/>
      <c r="BD29" s="59">
        <f>+BA29+BB29+BC29</f>
        <v>2426323.8099999996</v>
      </c>
      <c r="BE29" s="60">
        <f>IF(BD29-INT(BD29/100)*100&gt;0,INT(BD29/100)*100+100,INT(BD29/100)*100)</f>
        <v>2426400</v>
      </c>
      <c r="BF29" s="61"/>
      <c r="BG29" s="61"/>
      <c r="BH29" s="62">
        <f>IF(BF29=0,0,I29/2)</f>
        <v>0</v>
      </c>
      <c r="BI29" s="62">
        <f>IF(BF29=0,0,+IF(BF29-J29&lt;30,J29-BF29,30))</f>
        <v>0</v>
      </c>
      <c r="BJ29" s="62">
        <f>+BI29*BH29/30</f>
        <v>0</v>
      </c>
      <c r="BK29" s="63">
        <f>+BD29+AX29+AY29</f>
        <v>2426323.8099999996</v>
      </c>
      <c r="BL29" s="48">
        <f>+L29-N29</f>
        <v>0</v>
      </c>
      <c r="BN29" s="49"/>
      <c r="BO29" s="49"/>
    </row>
    <row r="30" spans="1:67" s="18" customFormat="1" ht="27.75" customHeight="1">
      <c r="A30" s="50" t="s">
        <v>90</v>
      </c>
      <c r="B30" s="51" t="s">
        <v>238</v>
      </c>
      <c r="C30" s="52"/>
      <c r="D30" s="53" t="s">
        <v>239</v>
      </c>
      <c r="E30" s="54">
        <v>39793</v>
      </c>
      <c r="F30" s="25">
        <v>42369</v>
      </c>
      <c r="G30" s="54" t="s">
        <v>240</v>
      </c>
      <c r="H30" s="55" t="s">
        <v>207</v>
      </c>
      <c r="I30" s="29">
        <v>1458762</v>
      </c>
      <c r="J30" s="28">
        <v>42368</v>
      </c>
      <c r="K30" s="29">
        <v>0</v>
      </c>
      <c r="L30" s="29">
        <v>0</v>
      </c>
      <c r="M30" s="56">
        <v>0</v>
      </c>
      <c r="N30" s="33">
        <v>0</v>
      </c>
      <c r="O30" s="31">
        <v>0</v>
      </c>
      <c r="P30" s="32">
        <v>0</v>
      </c>
      <c r="Q30" s="33">
        <v>0</v>
      </c>
      <c r="R30" s="32">
        <v>0</v>
      </c>
      <c r="S30" s="33">
        <v>0</v>
      </c>
      <c r="T30" s="32">
        <v>0</v>
      </c>
      <c r="U30" s="33">
        <v>0</v>
      </c>
      <c r="V30" s="32">
        <v>0</v>
      </c>
      <c r="W30" s="33">
        <v>0</v>
      </c>
      <c r="X30" s="32">
        <v>0</v>
      </c>
      <c r="Y30" s="33">
        <v>0</v>
      </c>
      <c r="Z30" s="33">
        <v>0</v>
      </c>
      <c r="AA30" s="31">
        <v>0</v>
      </c>
      <c r="AB30" s="31">
        <v>0</v>
      </c>
      <c r="AC30" s="33">
        <v>0</v>
      </c>
      <c r="AD30" s="35"/>
      <c r="AE30" s="33">
        <v>0</v>
      </c>
      <c r="AF30" s="31">
        <v>31.829999999999984</v>
      </c>
      <c r="AG30" s="33">
        <v>1547746.4819999994</v>
      </c>
      <c r="AH30" s="31">
        <v>0</v>
      </c>
      <c r="AI30" s="31">
        <v>0</v>
      </c>
      <c r="AJ30" s="36">
        <v>1547746.4819999994</v>
      </c>
      <c r="AK30" s="33">
        <f>IF(ISNA(VLOOKUP(A30,[2]AVANTAGE!$A$5:$T$118,19,0))=TRUE,0,VLOOKUP(A30,[2]AVANTAGE!$A$5:$T$118,19,0))</f>
        <v>0</v>
      </c>
      <c r="AL30" s="33">
        <f>IF(ISNA(VLOOKUP(A30,[2]AVANTAGE!$A$5:$T$118,20,0))=TRUE,0,VLOOKUP(A30,[2]AVANTAGE!$A$5:$T$118,20,0))</f>
        <v>0</v>
      </c>
      <c r="AM30" s="37">
        <f>+AJ30+AL30</f>
        <v>1547746.4819999994</v>
      </c>
      <c r="AN30" s="38">
        <f>IF(D30=0,0,(IF((AM30)*1%&gt;10641.07,10641.07,(AM30)*1%)))</f>
        <v>10641.07</v>
      </c>
      <c r="AO30" s="33">
        <f>IF(D30=0,0,(IF((AM30)*1%&gt;10641.07,10641.07,(AM30)*1%)))</f>
        <v>10641.07</v>
      </c>
      <c r="AP30" s="38"/>
      <c r="AQ30" s="38">
        <f>+INT((AJ30+AL30-AO30-AN30-AP30)/100)*100</f>
        <v>1526400</v>
      </c>
      <c r="AR30" s="39">
        <f>IF(AQ30=0,0,IF(AQ30&lt;=250000,0,(AQ30-250000)*20%))</f>
        <v>255280</v>
      </c>
      <c r="AS30" s="40">
        <f>VLOOKUP(A30,'[2]Liste personnel'!$B$3:$R$187,16,0)</f>
        <v>0</v>
      </c>
      <c r="AT30" s="38">
        <f>+AS30*2000</f>
        <v>0</v>
      </c>
      <c r="AU30" s="38">
        <f>+IF(AR30=0,0,IF(AR30-AT30&lt;200,200,AR30-AT30))</f>
        <v>255280</v>
      </c>
      <c r="AV30" s="38">
        <f>IF(ISNA(VLOOKUP(A30,[2]AVANCE!$A$6:$E$122,4,0))=TRUE,0,VLOOKUP(A30,[2]AVANCE!$A$6:$E$122,4,0))</f>
        <v>0</v>
      </c>
      <c r="AW30" s="38">
        <f>IF(ISNA(VLOOKUP(A30,[2]AVANCE!$A$6:$E$122,5,0))=TRUE,0,VLOOKUP(A30,[2]AVANCE!$A$6:$E$122,5,0))</f>
        <v>0</v>
      </c>
      <c r="AX30" s="38">
        <f>+AV30+AW30</f>
        <v>0</v>
      </c>
      <c r="AY30" s="57"/>
      <c r="AZ30" s="58">
        <f>+AO30+AN30+AU30+AX30+AY30</f>
        <v>276562.14</v>
      </c>
      <c r="BA30" s="38">
        <f>+AJ30-AZ30</f>
        <v>1271184.3419999992</v>
      </c>
      <c r="BB30" s="117"/>
      <c r="BC30" s="118"/>
      <c r="BD30" s="59">
        <f>+BA30+BB30+BC30</f>
        <v>1271184.3419999992</v>
      </c>
      <c r="BE30" s="60">
        <f>IF(BD30-INT(BD30/100)*100&gt;0,INT(BD30/100)*100+100,INT(BD30/100)*100)</f>
        <v>1271200</v>
      </c>
      <c r="BF30" s="61"/>
      <c r="BG30" s="61"/>
      <c r="BH30" s="62">
        <f>IF(BF30=0,0,I30/2)</f>
        <v>0</v>
      </c>
      <c r="BI30" s="62">
        <f>IF(BF30=0,0,+IF(BF30-J30&lt;30,J30-BF30,30))</f>
        <v>0</v>
      </c>
      <c r="BJ30" s="62">
        <f>+BI30*BH30/30</f>
        <v>0</v>
      </c>
      <c r="BK30" s="63">
        <f>+BD30+AX30+AY30</f>
        <v>1271184.3419999992</v>
      </c>
      <c r="BL30" s="48">
        <f>+L30-N30</f>
        <v>0</v>
      </c>
      <c r="BN30" s="49"/>
      <c r="BO30" s="49"/>
    </row>
    <row r="31" spans="1:67" s="18" customFormat="1" ht="27.75" customHeight="1">
      <c r="A31" s="50" t="s">
        <v>91</v>
      </c>
      <c r="B31" s="51" t="s">
        <v>241</v>
      </c>
      <c r="C31" s="52"/>
      <c r="D31" s="53" t="s">
        <v>242</v>
      </c>
      <c r="E31" s="54">
        <v>41299</v>
      </c>
      <c r="F31" s="25">
        <v>42369</v>
      </c>
      <c r="G31" s="54" t="s">
        <v>243</v>
      </c>
      <c r="H31" s="55" t="s">
        <v>187</v>
      </c>
      <c r="I31" s="29">
        <v>150000</v>
      </c>
      <c r="J31" s="28">
        <v>42368</v>
      </c>
      <c r="K31" s="29">
        <v>0</v>
      </c>
      <c r="L31" s="29">
        <v>0</v>
      </c>
      <c r="M31" s="56">
        <v>0</v>
      </c>
      <c r="N31" s="33">
        <v>0</v>
      </c>
      <c r="O31" s="31">
        <v>617.28395061728395</v>
      </c>
      <c r="P31" s="32">
        <v>0</v>
      </c>
      <c r="Q31" s="33">
        <v>0</v>
      </c>
      <c r="R31" s="32">
        <v>0</v>
      </c>
      <c r="S31" s="33">
        <v>0</v>
      </c>
      <c r="T31" s="32">
        <v>0</v>
      </c>
      <c r="U31" s="33">
        <v>0</v>
      </c>
      <c r="V31" s="32">
        <v>0</v>
      </c>
      <c r="W31" s="33">
        <v>0</v>
      </c>
      <c r="X31" s="32">
        <v>0</v>
      </c>
      <c r="Y31" s="33">
        <v>0</v>
      </c>
      <c r="Z31" s="33">
        <v>0</v>
      </c>
      <c r="AA31" s="31">
        <v>0</v>
      </c>
      <c r="AB31" s="31">
        <v>0</v>
      </c>
      <c r="AC31" s="33">
        <v>0</v>
      </c>
      <c r="AD31" s="35"/>
      <c r="AE31" s="33">
        <v>0</v>
      </c>
      <c r="AF31" s="31">
        <v>51.166666666666657</v>
      </c>
      <c r="AG31" s="33">
        <v>626801.42533399106</v>
      </c>
      <c r="AH31" s="31">
        <v>0</v>
      </c>
      <c r="AI31" s="31">
        <v>0</v>
      </c>
      <c r="AJ31" s="36">
        <v>626801.42533399106</v>
      </c>
      <c r="AK31" s="33">
        <f>IF(ISNA(VLOOKUP(A31,[2]AVANTAGE!$A$5:$T$118,19,0))=TRUE,0,VLOOKUP(A31,[2]AVANTAGE!$A$5:$T$118,19,0))</f>
        <v>0</v>
      </c>
      <c r="AL31" s="33">
        <f>IF(ISNA(VLOOKUP(A31,[2]AVANTAGE!$A$5:$T$118,20,0))=TRUE,0,VLOOKUP(A31,[2]AVANTAGE!$A$5:$T$118,20,0))</f>
        <v>0</v>
      </c>
      <c r="AM31" s="37">
        <f>+AJ31+AL31</f>
        <v>626801.42533399106</v>
      </c>
      <c r="AN31" s="38">
        <f>IF(D31=0,0,(IF((AM31)*1%&gt;10641.07,10641.07,(AM31)*1%)))</f>
        <v>6268.0142533399112</v>
      </c>
      <c r="AO31" s="33">
        <f>IF(D31=0,0,(IF((AM31)*1%&gt;10641.07,10641.07,(AM31)*1%)))</f>
        <v>6268.0142533399112</v>
      </c>
      <c r="AP31" s="38"/>
      <c r="AQ31" s="38">
        <f>+INT((AJ31+AL31-AO31-AN31-AP31)/100)*100</f>
        <v>614200</v>
      </c>
      <c r="AR31" s="39">
        <f>IF(AQ31=0,0,IF(AQ31&lt;=250000,0,(AQ31-250000)*20%))</f>
        <v>72840</v>
      </c>
      <c r="AS31" s="40">
        <f>VLOOKUP(A31,'[2]Liste personnel'!$B$3:$R$187,16,0)</f>
        <v>0</v>
      </c>
      <c r="AT31" s="38">
        <f>+AS31*2000</f>
        <v>0</v>
      </c>
      <c r="AU31" s="38">
        <f>+IF(AR31=0,0,IF(AR31-AT31&lt;200,200,AR31-AT31))</f>
        <v>72840</v>
      </c>
      <c r="AV31" s="38">
        <f>IF(ISNA(VLOOKUP(A31,[2]AVANCE!$A$6:$E$122,4,0))=TRUE,0,VLOOKUP(A31,[2]AVANCE!$A$6:$E$122,4,0))</f>
        <v>0</v>
      </c>
      <c r="AW31" s="38">
        <f>IF(ISNA(VLOOKUP(A31,[2]AVANCE!$A$6:$E$122,5,0))=TRUE,0,VLOOKUP(A31,[2]AVANCE!$A$6:$E$122,5,0))</f>
        <v>0</v>
      </c>
      <c r="AX31" s="38">
        <f>+AV31+AW31</f>
        <v>0</v>
      </c>
      <c r="AY31" s="57"/>
      <c r="AZ31" s="58">
        <f>+AO31+AN31+AU31+AX31+AY31</f>
        <v>85376.028506679824</v>
      </c>
      <c r="BA31" s="38">
        <f>+AJ31-AZ31</f>
        <v>541425.39682731126</v>
      </c>
      <c r="BB31" s="117"/>
      <c r="BC31" s="118"/>
      <c r="BD31" s="59">
        <f>+BA31+BB31+BC31</f>
        <v>541425.39682731126</v>
      </c>
      <c r="BE31" s="60">
        <f>IF(BD31-INT(BD31/100)*100&gt;0,INT(BD31/100)*100+100,INT(BD31/100)*100)</f>
        <v>541500</v>
      </c>
      <c r="BF31" s="61"/>
      <c r="BG31" s="61"/>
      <c r="BH31" s="62">
        <f>IF(BF31=0,0,I31/2)</f>
        <v>0</v>
      </c>
      <c r="BI31" s="62">
        <f>IF(BF31=0,0,+IF(BF31-J31&lt;30,J31-BF31,30))</f>
        <v>0</v>
      </c>
      <c r="BJ31" s="62">
        <f>+BI31*BH31/30</f>
        <v>0</v>
      </c>
      <c r="BK31" s="63">
        <f>+BD31+AX31+AY31</f>
        <v>541425.39682731126</v>
      </c>
      <c r="BL31" s="48">
        <f>+L31-N31</f>
        <v>0</v>
      </c>
      <c r="BN31" s="49"/>
      <c r="BO31" s="49"/>
    </row>
    <row r="32" spans="1:67" s="18" customFormat="1" ht="27.75" customHeight="1">
      <c r="A32" s="50" t="s">
        <v>92</v>
      </c>
      <c r="B32" s="51" t="s">
        <v>244</v>
      </c>
      <c r="C32" s="52"/>
      <c r="D32" s="53" t="s">
        <v>245</v>
      </c>
      <c r="E32" s="54">
        <v>39966</v>
      </c>
      <c r="F32" s="25">
        <v>42369</v>
      </c>
      <c r="G32" s="54" t="s">
        <v>246</v>
      </c>
      <c r="H32" s="55" t="s">
        <v>207</v>
      </c>
      <c r="I32" s="29">
        <v>956612</v>
      </c>
      <c r="J32" s="28">
        <v>42368</v>
      </c>
      <c r="K32" s="29">
        <v>0</v>
      </c>
      <c r="L32" s="29">
        <v>0</v>
      </c>
      <c r="M32" s="56">
        <v>0</v>
      </c>
      <c r="N32" s="33">
        <v>0</v>
      </c>
      <c r="O32" s="31">
        <v>0</v>
      </c>
      <c r="P32" s="32">
        <v>0</v>
      </c>
      <c r="Q32" s="33">
        <v>0</v>
      </c>
      <c r="R32" s="32">
        <v>0</v>
      </c>
      <c r="S32" s="33">
        <v>0</v>
      </c>
      <c r="T32" s="32">
        <v>0</v>
      </c>
      <c r="U32" s="33">
        <v>0</v>
      </c>
      <c r="V32" s="32">
        <v>0</v>
      </c>
      <c r="W32" s="33">
        <v>0</v>
      </c>
      <c r="X32" s="32">
        <v>0</v>
      </c>
      <c r="Y32" s="33">
        <v>0</v>
      </c>
      <c r="Z32" s="33">
        <v>0</v>
      </c>
      <c r="AA32" s="31">
        <v>0</v>
      </c>
      <c r="AB32" s="31">
        <v>0</v>
      </c>
      <c r="AC32" s="33">
        <v>0</v>
      </c>
      <c r="AD32" s="35"/>
      <c r="AE32" s="33">
        <v>0</v>
      </c>
      <c r="AF32" s="31">
        <v>40.25</v>
      </c>
      <c r="AG32" s="33">
        <v>1324896.0611062474</v>
      </c>
      <c r="AH32" s="31">
        <v>0</v>
      </c>
      <c r="AI32" s="31">
        <v>0</v>
      </c>
      <c r="AJ32" s="36">
        <v>1324896.0611062474</v>
      </c>
      <c r="AK32" s="33">
        <f>IF(ISNA(VLOOKUP(A32,[2]AVANTAGE!$A$5:$T$118,19,0))=TRUE,0,VLOOKUP(A32,[2]AVANTAGE!$A$5:$T$118,19,0))</f>
        <v>0</v>
      </c>
      <c r="AL32" s="33">
        <f>IF(ISNA(VLOOKUP(A32,[2]AVANTAGE!$A$5:$T$118,20,0))=TRUE,0,VLOOKUP(A32,[2]AVANTAGE!$A$5:$T$118,20,0))</f>
        <v>0</v>
      </c>
      <c r="AM32" s="37">
        <f>+AJ32+AL32</f>
        <v>1324896.0611062474</v>
      </c>
      <c r="AN32" s="38">
        <f>IF(D32=0,0,(IF((AM32)*1%&gt;10641.07,10641.07,(AM32)*1%)))</f>
        <v>10641.07</v>
      </c>
      <c r="AO32" s="33">
        <f>IF(D32=0,0,(IF((AM32)*1%&gt;10641.07,10641.07,(AM32)*1%)))</f>
        <v>10641.07</v>
      </c>
      <c r="AP32" s="38"/>
      <c r="AQ32" s="38">
        <f>+INT((AJ32+AL32-AO32-AN32-AP32)/100)*100</f>
        <v>1303600</v>
      </c>
      <c r="AR32" s="39">
        <f>IF(AQ32=0,0,IF(AQ32&lt;=250000,0,(AQ32-250000)*20%))</f>
        <v>210720</v>
      </c>
      <c r="AS32" s="40">
        <f>VLOOKUP(A32,'[2]Liste personnel'!$B$3:$R$187,16,0)</f>
        <v>0</v>
      </c>
      <c r="AT32" s="38">
        <f>+AS32*2000</f>
        <v>0</v>
      </c>
      <c r="AU32" s="38">
        <f>+IF(AR32=0,0,IF(AR32-AT32&lt;200,200,AR32-AT32))</f>
        <v>210720</v>
      </c>
      <c r="AV32" s="38">
        <f>IF(ISNA(VLOOKUP(A32,[2]AVANCE!$A$6:$E$122,4,0))=TRUE,0,VLOOKUP(A32,[2]AVANCE!$A$6:$E$122,4,0))</f>
        <v>0</v>
      </c>
      <c r="AW32" s="38">
        <f>IF(ISNA(VLOOKUP(A32,[2]AVANCE!$A$6:$E$122,5,0))=TRUE,0,VLOOKUP(A32,[2]AVANCE!$A$6:$E$122,5,0))</f>
        <v>0</v>
      </c>
      <c r="AX32" s="38">
        <f>+AV32+AW32</f>
        <v>0</v>
      </c>
      <c r="AY32" s="57"/>
      <c r="AZ32" s="58">
        <f>+AO32+AN32+AU32+AX32+AY32</f>
        <v>232002.14</v>
      </c>
      <c r="BA32" s="38">
        <f>+AJ32-AZ32</f>
        <v>1092893.9211062472</v>
      </c>
      <c r="BB32" s="117"/>
      <c r="BC32" s="118"/>
      <c r="BD32" s="59">
        <f>+BA32+BB32+BC32</f>
        <v>1092893.9211062472</v>
      </c>
      <c r="BE32" s="60">
        <f>IF(BD32-INT(BD32/100)*100&gt;0,INT(BD32/100)*100+100,INT(BD32/100)*100)</f>
        <v>1092900</v>
      </c>
      <c r="BF32" s="61"/>
      <c r="BG32" s="61"/>
      <c r="BH32" s="62">
        <f>IF(BF32=0,0,I32/2)</f>
        <v>0</v>
      </c>
      <c r="BI32" s="62">
        <f>IF(BF32=0,0,+IF(BF32-J32&lt;30,J32-BF32,30))</f>
        <v>0</v>
      </c>
      <c r="BJ32" s="62">
        <f>+BI32*BH32/30</f>
        <v>0</v>
      </c>
      <c r="BK32" s="63">
        <f>+BD32+AX32+AY32</f>
        <v>1092893.9211062472</v>
      </c>
      <c r="BL32" s="48">
        <f>+L32-N32</f>
        <v>0</v>
      </c>
      <c r="BN32" s="49"/>
      <c r="BO32" s="49"/>
    </row>
    <row r="33" spans="1:67" s="18" customFormat="1" ht="27.75" customHeight="1">
      <c r="A33" s="50" t="s">
        <v>93</v>
      </c>
      <c r="B33" s="51" t="s">
        <v>247</v>
      </c>
      <c r="C33" s="52"/>
      <c r="D33" s="53" t="s">
        <v>248</v>
      </c>
      <c r="E33" s="54">
        <v>39713</v>
      </c>
      <c r="F33" s="25">
        <v>42369</v>
      </c>
      <c r="G33" s="54" t="s">
        <v>212</v>
      </c>
      <c r="H33" s="55" t="s">
        <v>169</v>
      </c>
      <c r="I33" s="29">
        <v>380000</v>
      </c>
      <c r="J33" s="28">
        <v>42368</v>
      </c>
      <c r="K33" s="29">
        <v>0</v>
      </c>
      <c r="L33" s="29">
        <v>0</v>
      </c>
      <c r="M33" s="56">
        <v>0</v>
      </c>
      <c r="N33" s="33">
        <v>0</v>
      </c>
      <c r="O33" s="31">
        <v>2192.3498528817859</v>
      </c>
      <c r="P33" s="32">
        <v>0</v>
      </c>
      <c r="Q33" s="33">
        <v>0</v>
      </c>
      <c r="R33" s="32">
        <v>0</v>
      </c>
      <c r="S33" s="33">
        <v>0</v>
      </c>
      <c r="T33" s="32">
        <v>0</v>
      </c>
      <c r="U33" s="33">
        <v>0</v>
      </c>
      <c r="V33" s="32">
        <v>0</v>
      </c>
      <c r="W33" s="33">
        <v>0</v>
      </c>
      <c r="X33" s="32">
        <v>0</v>
      </c>
      <c r="Y33" s="33">
        <v>0</v>
      </c>
      <c r="Z33" s="33">
        <v>0</v>
      </c>
      <c r="AA33" s="31">
        <v>0</v>
      </c>
      <c r="AB33" s="31">
        <v>0</v>
      </c>
      <c r="AC33" s="33">
        <v>0</v>
      </c>
      <c r="AD33" s="35"/>
      <c r="AE33" s="33">
        <v>0</v>
      </c>
      <c r="AF33" s="31">
        <v>48.75</v>
      </c>
      <c r="AG33" s="33">
        <v>752646.23332133028</v>
      </c>
      <c r="AH33" s="31">
        <v>0</v>
      </c>
      <c r="AI33" s="31">
        <v>0</v>
      </c>
      <c r="AJ33" s="36">
        <v>752646.23332133028</v>
      </c>
      <c r="AK33" s="33">
        <f>IF(ISNA(VLOOKUP(A33,[2]AVANTAGE!$A$5:$T$118,19,0))=TRUE,0,VLOOKUP(A33,[2]AVANTAGE!$A$5:$T$118,19,0))</f>
        <v>0</v>
      </c>
      <c r="AL33" s="33">
        <f>IF(ISNA(VLOOKUP(A33,[2]AVANTAGE!$A$5:$T$118,20,0))=TRUE,0,VLOOKUP(A33,[2]AVANTAGE!$A$5:$T$118,20,0))</f>
        <v>0</v>
      </c>
      <c r="AM33" s="37">
        <f>+AJ33+AL33</f>
        <v>752646.23332133028</v>
      </c>
      <c r="AN33" s="38">
        <f>IF(D33=0,0,(IF((AM33)*1%&gt;10641.07,10641.07,(AM33)*1%)))</f>
        <v>7526.4623332133033</v>
      </c>
      <c r="AO33" s="33">
        <f>IF(D33=0,0,(IF((AM33)*1%&gt;10641.07,10641.07,(AM33)*1%)))</f>
        <v>7526.4623332133033</v>
      </c>
      <c r="AP33" s="38"/>
      <c r="AQ33" s="38">
        <f>+INT((AJ33+AL33-AO33-AN33-AP33)/100)*100</f>
        <v>737500</v>
      </c>
      <c r="AR33" s="39">
        <f>IF(AQ33=0,0,IF(AQ33&lt;=250000,0,(AQ33-250000)*20%))</f>
        <v>97500</v>
      </c>
      <c r="AS33" s="40">
        <f>VLOOKUP(A33,'[2]Liste personnel'!$B$3:$R$187,16,0)</f>
        <v>2</v>
      </c>
      <c r="AT33" s="38">
        <f>+AS33*2000</f>
        <v>4000</v>
      </c>
      <c r="AU33" s="38">
        <f>+IF(AR33=0,0,IF(AR33-AT33&lt;200,200,AR33-AT33))</f>
        <v>93500</v>
      </c>
      <c r="AV33" s="38">
        <f>IF(ISNA(VLOOKUP(A33,[2]AVANCE!$A$6:$E$122,4,0))=TRUE,0,VLOOKUP(A33,[2]AVANCE!$A$6:$E$122,4,0))</f>
        <v>0</v>
      </c>
      <c r="AW33" s="38">
        <f>IF(ISNA(VLOOKUP(A33,[2]AVANCE!$A$6:$E$122,5,0))=TRUE,0,VLOOKUP(A33,[2]AVANCE!$A$6:$E$122,5,0))</f>
        <v>0</v>
      </c>
      <c r="AX33" s="38">
        <f>+AV33+AW33</f>
        <v>0</v>
      </c>
      <c r="AY33" s="57"/>
      <c r="AZ33" s="58">
        <f>+AO33+AN33+AU33+AX33+AY33</f>
        <v>108552.92466642661</v>
      </c>
      <c r="BA33" s="38">
        <f>+AJ33-AZ33</f>
        <v>644093.30865490367</v>
      </c>
      <c r="BB33" s="117"/>
      <c r="BC33" s="118"/>
      <c r="BD33" s="59">
        <f>+BA33+BB33+BC33</f>
        <v>644093.30865490367</v>
      </c>
      <c r="BE33" s="60">
        <f>IF(BD33-INT(BD33/100)*100&gt;0,INT(BD33/100)*100+100,INT(BD33/100)*100)</f>
        <v>644100</v>
      </c>
      <c r="BF33" s="61"/>
      <c r="BG33" s="61"/>
      <c r="BH33" s="62">
        <f>IF(BF33=0,0,I33/2)</f>
        <v>0</v>
      </c>
      <c r="BI33" s="62">
        <f>IF(BF33=0,0,+IF(BF33-J33&lt;30,J33-BF33,30))</f>
        <v>0</v>
      </c>
      <c r="BJ33" s="62">
        <f>+BI33*BH33/30</f>
        <v>0</v>
      </c>
      <c r="BK33" s="63">
        <f>+BD33+AX33+AY33</f>
        <v>644093.30865490367</v>
      </c>
      <c r="BL33" s="48">
        <f>+L33-N33</f>
        <v>0</v>
      </c>
      <c r="BN33" s="49"/>
      <c r="BO33" s="49"/>
    </row>
    <row r="34" spans="1:67" s="18" customFormat="1" ht="27.75" customHeight="1">
      <c r="A34" s="50" t="s">
        <v>94</v>
      </c>
      <c r="B34" s="51" t="s">
        <v>249</v>
      </c>
      <c r="C34" s="52"/>
      <c r="D34" s="53" t="s">
        <v>250</v>
      </c>
      <c r="E34" s="54">
        <v>39951</v>
      </c>
      <c r="F34" s="25">
        <v>42369</v>
      </c>
      <c r="G34" s="54" t="s">
        <v>212</v>
      </c>
      <c r="H34" s="55" t="s">
        <v>169</v>
      </c>
      <c r="I34" s="29">
        <v>380000</v>
      </c>
      <c r="J34" s="28">
        <v>42368</v>
      </c>
      <c r="K34" s="29">
        <v>0</v>
      </c>
      <c r="L34" s="29">
        <v>0</v>
      </c>
      <c r="M34" s="56">
        <v>0</v>
      </c>
      <c r="N34" s="33">
        <v>0</v>
      </c>
      <c r="O34" s="31">
        <v>2192.3498528817859</v>
      </c>
      <c r="P34" s="32">
        <v>0</v>
      </c>
      <c r="Q34" s="33">
        <v>0</v>
      </c>
      <c r="R34" s="32">
        <v>0</v>
      </c>
      <c r="S34" s="33">
        <v>0</v>
      </c>
      <c r="T34" s="32">
        <v>0</v>
      </c>
      <c r="U34" s="33">
        <v>0</v>
      </c>
      <c r="V34" s="32">
        <v>0</v>
      </c>
      <c r="W34" s="33">
        <v>0</v>
      </c>
      <c r="X34" s="32">
        <v>0</v>
      </c>
      <c r="Y34" s="33">
        <v>0</v>
      </c>
      <c r="Z34" s="33">
        <v>0</v>
      </c>
      <c r="AA34" s="31">
        <v>0</v>
      </c>
      <c r="AB34" s="31">
        <v>0</v>
      </c>
      <c r="AC34" s="33">
        <v>0</v>
      </c>
      <c r="AD34" s="35"/>
      <c r="AE34" s="33">
        <v>0</v>
      </c>
      <c r="AF34" s="31">
        <v>31.75</v>
      </c>
      <c r="AG34" s="33">
        <v>492873.53936575813</v>
      </c>
      <c r="AH34" s="31">
        <v>0</v>
      </c>
      <c r="AI34" s="31">
        <v>0</v>
      </c>
      <c r="AJ34" s="36">
        <v>492873.53936575813</v>
      </c>
      <c r="AK34" s="33">
        <f>IF(ISNA(VLOOKUP(A34,[2]AVANTAGE!$A$5:$T$118,19,0))=TRUE,0,VLOOKUP(A34,[2]AVANTAGE!$A$5:$T$118,19,0))</f>
        <v>0</v>
      </c>
      <c r="AL34" s="33">
        <f>IF(ISNA(VLOOKUP(A34,[2]AVANTAGE!$A$5:$T$118,20,0))=TRUE,0,VLOOKUP(A34,[2]AVANTAGE!$A$5:$T$118,20,0))</f>
        <v>0</v>
      </c>
      <c r="AM34" s="37">
        <f>+AJ34+AL34</f>
        <v>492873.53936575813</v>
      </c>
      <c r="AN34" s="38">
        <f>IF(D34=0,0,(IF((AM34)*1%&gt;10641.07,10641.07,(AM34)*1%)))</f>
        <v>4928.735393657581</v>
      </c>
      <c r="AO34" s="33">
        <f>IF(D34=0,0,(IF((AM34)*1%&gt;10641.07,10641.07,(AM34)*1%)))</f>
        <v>4928.735393657581</v>
      </c>
      <c r="AP34" s="38"/>
      <c r="AQ34" s="38">
        <f>+INT((AJ34+AL34-AO34-AN34-AP34)/100)*100</f>
        <v>483000</v>
      </c>
      <c r="AR34" s="39">
        <f>IF(AQ34=0,0,IF(AQ34&lt;=250000,0,(AQ34-250000)*20%))</f>
        <v>46600</v>
      </c>
      <c r="AS34" s="40">
        <f>VLOOKUP(A34,'[2]Liste personnel'!$B$3:$R$187,16,0)</f>
        <v>0</v>
      </c>
      <c r="AT34" s="38">
        <f>+AS34*2000</f>
        <v>0</v>
      </c>
      <c r="AU34" s="38">
        <f>+IF(AR34=0,0,IF(AR34-AT34&lt;200,200,AR34-AT34))</f>
        <v>46600</v>
      </c>
      <c r="AV34" s="38">
        <f>IF(ISNA(VLOOKUP(A34,[2]AVANCE!$A$6:$E$122,4,0))=TRUE,0,VLOOKUP(A34,[2]AVANCE!$A$6:$E$122,4,0))</f>
        <v>0</v>
      </c>
      <c r="AW34" s="38">
        <f>IF(ISNA(VLOOKUP(A34,[2]AVANCE!$A$6:$E$122,5,0))=TRUE,0,VLOOKUP(A34,[2]AVANCE!$A$6:$E$122,5,0))</f>
        <v>0</v>
      </c>
      <c r="AX34" s="38">
        <f>+AV34+AW34</f>
        <v>0</v>
      </c>
      <c r="AY34" s="57"/>
      <c r="AZ34" s="58">
        <f>+AO34+AN34+AU34+AX34+AY34</f>
        <v>56457.470787315164</v>
      </c>
      <c r="BA34" s="38">
        <f>+AJ34-AZ34</f>
        <v>436416.06857844297</v>
      </c>
      <c r="BB34" s="117"/>
      <c r="BC34" s="118"/>
      <c r="BD34" s="59">
        <f>+BA34+BB34+BC34</f>
        <v>436416.06857844297</v>
      </c>
      <c r="BE34" s="60">
        <f>IF(BD34-INT(BD34/100)*100&gt;0,INT(BD34/100)*100+100,INT(BD34/100)*100)</f>
        <v>436500</v>
      </c>
      <c r="BF34" s="61"/>
      <c r="BG34" s="61"/>
      <c r="BH34" s="62">
        <f>IF(BF34=0,0,I34/2)</f>
        <v>0</v>
      </c>
      <c r="BI34" s="62">
        <f>IF(BF34=0,0,+IF(BF34-J34&lt;30,J34-BF34,30))</f>
        <v>0</v>
      </c>
      <c r="BJ34" s="62">
        <f>+BI34*BH34/30</f>
        <v>0</v>
      </c>
      <c r="BK34" s="63">
        <f>+BD34+AX34+AY34</f>
        <v>436416.06857844297</v>
      </c>
      <c r="BL34" s="48">
        <f>+L34-N34</f>
        <v>0</v>
      </c>
      <c r="BN34" s="49"/>
      <c r="BO34" s="49"/>
    </row>
    <row r="35" spans="1:67" s="18" customFormat="1" ht="27.75" customHeight="1">
      <c r="A35" s="50" t="s">
        <v>95</v>
      </c>
      <c r="B35" s="51" t="s">
        <v>251</v>
      </c>
      <c r="C35" s="52"/>
      <c r="D35" s="53" t="s">
        <v>252</v>
      </c>
      <c r="E35" s="54">
        <v>39850</v>
      </c>
      <c r="F35" s="25">
        <v>42369</v>
      </c>
      <c r="G35" s="54" t="s">
        <v>201</v>
      </c>
      <c r="H35" s="55" t="s">
        <v>183</v>
      </c>
      <c r="I35" s="29">
        <v>220000</v>
      </c>
      <c r="J35" s="28">
        <v>42368</v>
      </c>
      <c r="K35" s="29">
        <v>0</v>
      </c>
      <c r="L35" s="29">
        <v>0</v>
      </c>
      <c r="M35" s="56">
        <v>0</v>
      </c>
      <c r="N35" s="33">
        <v>0</v>
      </c>
      <c r="O35" s="31">
        <v>1269.255177984192</v>
      </c>
      <c r="P35" s="32">
        <v>0</v>
      </c>
      <c r="Q35" s="33">
        <v>0</v>
      </c>
      <c r="R35" s="32">
        <v>0</v>
      </c>
      <c r="S35" s="33">
        <v>0</v>
      </c>
      <c r="T35" s="32">
        <v>0</v>
      </c>
      <c r="U35" s="33">
        <v>0</v>
      </c>
      <c r="V35" s="32">
        <v>0</v>
      </c>
      <c r="W35" s="33">
        <v>0</v>
      </c>
      <c r="X35" s="32">
        <v>0</v>
      </c>
      <c r="Y35" s="33">
        <v>0</v>
      </c>
      <c r="Z35" s="33">
        <v>0</v>
      </c>
      <c r="AA35" s="31">
        <v>0</v>
      </c>
      <c r="AB35" s="31">
        <v>0</v>
      </c>
      <c r="AC35" s="33">
        <v>0</v>
      </c>
      <c r="AD35" s="35"/>
      <c r="AE35" s="33">
        <v>0</v>
      </c>
      <c r="AF35" s="31">
        <v>42.25</v>
      </c>
      <c r="AG35" s="33">
        <v>420382.85328892374</v>
      </c>
      <c r="AH35" s="31">
        <v>0</v>
      </c>
      <c r="AI35" s="31">
        <v>0</v>
      </c>
      <c r="AJ35" s="36">
        <v>420382.85328892374</v>
      </c>
      <c r="AK35" s="33">
        <f>IF(ISNA(VLOOKUP(A35,[2]AVANTAGE!$A$5:$T$118,19,0))=TRUE,0,VLOOKUP(A35,[2]AVANTAGE!$A$5:$T$118,19,0))</f>
        <v>0</v>
      </c>
      <c r="AL35" s="33">
        <f>IF(ISNA(VLOOKUP(A35,[2]AVANTAGE!$A$5:$T$118,20,0))=TRUE,0,VLOOKUP(A35,[2]AVANTAGE!$A$5:$T$118,20,0))</f>
        <v>0</v>
      </c>
      <c r="AM35" s="37">
        <f>+AJ35+AL35</f>
        <v>420382.85328892374</v>
      </c>
      <c r="AN35" s="38">
        <f>IF(D35=0,0,(IF((AM35)*1%&gt;10641.07,10641.07,(AM35)*1%)))</f>
        <v>4203.8285328892371</v>
      </c>
      <c r="AO35" s="33">
        <f>IF(D35=0,0,(IF((AM35)*1%&gt;10641.07,10641.07,(AM35)*1%)))</f>
        <v>4203.8285328892371</v>
      </c>
      <c r="AP35" s="38"/>
      <c r="AQ35" s="38">
        <f>+INT((AJ35+AL35-AO35-AN35-AP35)/100)*100</f>
        <v>411900</v>
      </c>
      <c r="AR35" s="39">
        <f>IF(AQ35=0,0,IF(AQ35&lt;=250000,0,(AQ35-250000)*20%))</f>
        <v>32380</v>
      </c>
      <c r="AS35" s="40">
        <f>VLOOKUP(A35,'[2]Liste personnel'!$B$3:$R$187,16,0)</f>
        <v>0</v>
      </c>
      <c r="AT35" s="38">
        <f>+AS35*2000</f>
        <v>0</v>
      </c>
      <c r="AU35" s="38">
        <f>+IF(AR35=0,0,IF(AR35-AT35&lt;200,200,AR35-AT35))</f>
        <v>32380</v>
      </c>
      <c r="AV35" s="38">
        <f>IF(ISNA(VLOOKUP(A35,[2]AVANCE!$A$6:$E$122,4,0))=TRUE,0,VLOOKUP(A35,[2]AVANCE!$A$6:$E$122,4,0))</f>
        <v>0</v>
      </c>
      <c r="AW35" s="38">
        <f>IF(ISNA(VLOOKUP(A35,[2]AVANCE!$A$6:$E$122,5,0))=TRUE,0,VLOOKUP(A35,[2]AVANCE!$A$6:$E$122,5,0))</f>
        <v>0</v>
      </c>
      <c r="AX35" s="38">
        <f>+AV35+AW35</f>
        <v>0</v>
      </c>
      <c r="AY35" s="57"/>
      <c r="AZ35" s="58">
        <f>+AO35+AN35+AU35+AX35+AY35</f>
        <v>40787.657065778476</v>
      </c>
      <c r="BA35" s="38">
        <f>+AJ35-AZ35</f>
        <v>379595.19622314523</v>
      </c>
      <c r="BB35" s="117"/>
      <c r="BC35" s="118"/>
      <c r="BD35" s="59">
        <f>+BA35+BB35+BC35</f>
        <v>379595.19622314523</v>
      </c>
      <c r="BE35" s="60">
        <f>IF(BD35-INT(BD35/100)*100&gt;0,INT(BD35/100)*100+100,INT(BD35/100)*100)</f>
        <v>379600</v>
      </c>
      <c r="BF35" s="61"/>
      <c r="BG35" s="61"/>
      <c r="BH35" s="62">
        <f>IF(BF35=0,0,I35/2)</f>
        <v>0</v>
      </c>
      <c r="BI35" s="62">
        <f>IF(BF35=0,0,+IF(BF35-J35&lt;30,J35-BF35,30))</f>
        <v>0</v>
      </c>
      <c r="BJ35" s="62">
        <f>+BI35*BH35/30</f>
        <v>0</v>
      </c>
      <c r="BK35" s="63">
        <f>+BD35+AX35+AY35</f>
        <v>379595.19622314523</v>
      </c>
      <c r="BL35" s="48">
        <f>+L35-N35</f>
        <v>0</v>
      </c>
      <c r="BN35" s="49"/>
      <c r="BO35" s="49"/>
    </row>
    <row r="36" spans="1:67" s="18" customFormat="1" ht="27.75" customHeight="1">
      <c r="A36" s="50" t="s">
        <v>96</v>
      </c>
      <c r="B36" s="51" t="s">
        <v>253</v>
      </c>
      <c r="C36" s="52"/>
      <c r="D36" s="53" t="s">
        <v>254</v>
      </c>
      <c r="E36" s="54">
        <v>39695</v>
      </c>
      <c r="F36" s="25">
        <v>42369</v>
      </c>
      <c r="G36" s="54" t="s">
        <v>192</v>
      </c>
      <c r="H36" s="55" t="s">
        <v>169</v>
      </c>
      <c r="I36" s="29">
        <v>555081</v>
      </c>
      <c r="J36" s="28">
        <v>42368</v>
      </c>
      <c r="K36" s="29">
        <v>0</v>
      </c>
      <c r="L36" s="29">
        <v>0</v>
      </c>
      <c r="M36" s="56">
        <v>0</v>
      </c>
      <c r="N36" s="33">
        <v>0</v>
      </c>
      <c r="O36" s="31">
        <v>3202.4519702301964</v>
      </c>
      <c r="P36" s="32">
        <v>0</v>
      </c>
      <c r="Q36" s="33">
        <v>0</v>
      </c>
      <c r="R36" s="32">
        <v>0</v>
      </c>
      <c r="S36" s="33">
        <v>0</v>
      </c>
      <c r="T36" s="32">
        <v>0</v>
      </c>
      <c r="U36" s="33">
        <v>0</v>
      </c>
      <c r="V36" s="32">
        <v>0</v>
      </c>
      <c r="W36" s="33">
        <v>0</v>
      </c>
      <c r="X36" s="32">
        <v>0</v>
      </c>
      <c r="Y36" s="33">
        <v>0</v>
      </c>
      <c r="Z36" s="33">
        <v>0</v>
      </c>
      <c r="AA36" s="31">
        <v>0</v>
      </c>
      <c r="AB36" s="31">
        <v>0</v>
      </c>
      <c r="AC36" s="33">
        <v>0</v>
      </c>
      <c r="AD36" s="35"/>
      <c r="AE36" s="33">
        <v>0</v>
      </c>
      <c r="AF36" s="31">
        <v>52.75</v>
      </c>
      <c r="AG36" s="33">
        <v>1232526.8667781225</v>
      </c>
      <c r="AH36" s="31">
        <v>0</v>
      </c>
      <c r="AI36" s="31">
        <v>0</v>
      </c>
      <c r="AJ36" s="36">
        <v>1232526.8667781225</v>
      </c>
      <c r="AK36" s="33">
        <f>IF(ISNA(VLOOKUP(A36,[2]AVANTAGE!$A$5:$T$118,19,0))=TRUE,0,VLOOKUP(A36,[2]AVANTAGE!$A$5:$T$118,19,0))</f>
        <v>0</v>
      </c>
      <c r="AL36" s="33">
        <f>IF(ISNA(VLOOKUP(A36,[2]AVANTAGE!$A$5:$T$118,20,0))=TRUE,0,VLOOKUP(A36,[2]AVANTAGE!$A$5:$T$118,20,0))</f>
        <v>0</v>
      </c>
      <c r="AM36" s="37">
        <f>+AJ36+AL36</f>
        <v>1232526.8667781225</v>
      </c>
      <c r="AN36" s="38">
        <f>IF(D36=0,0,(IF((AM36)*1%&gt;10641.07,10641.07,(AM36)*1%)))</f>
        <v>10641.07</v>
      </c>
      <c r="AO36" s="33">
        <f>IF(D36=0,0,(IF((AM36)*1%&gt;10641.07,10641.07,(AM36)*1%)))</f>
        <v>10641.07</v>
      </c>
      <c r="AP36" s="38"/>
      <c r="AQ36" s="38">
        <f>+INT((AJ36+AL36-AO36-AN36-AP36)/100)*100</f>
        <v>1211200</v>
      </c>
      <c r="AR36" s="39">
        <f>IF(AQ36=0,0,IF(AQ36&lt;=250000,0,(AQ36-250000)*20%))</f>
        <v>192240</v>
      </c>
      <c r="AS36" s="40">
        <f>VLOOKUP(A36,'[2]Liste personnel'!$B$3:$R$187,16,0)</f>
        <v>0</v>
      </c>
      <c r="AT36" s="38">
        <f>+AS36*2000</f>
        <v>0</v>
      </c>
      <c r="AU36" s="38">
        <f>+IF(AR36=0,0,IF(AR36-AT36&lt;200,200,AR36-AT36))</f>
        <v>192240</v>
      </c>
      <c r="AV36" s="38">
        <f>IF(ISNA(VLOOKUP(A36,[2]AVANCE!$A$6:$E$122,4,0))=TRUE,0,VLOOKUP(A36,[2]AVANCE!$A$6:$E$122,4,0))</f>
        <v>0</v>
      </c>
      <c r="AW36" s="38">
        <f>IF(ISNA(VLOOKUP(A36,[2]AVANCE!$A$6:$E$122,5,0))=TRUE,0,VLOOKUP(A36,[2]AVANCE!$A$6:$E$122,5,0))</f>
        <v>0</v>
      </c>
      <c r="AX36" s="38">
        <f>+AV36+AW36</f>
        <v>0</v>
      </c>
      <c r="AY36" s="57"/>
      <c r="AZ36" s="58">
        <f>+AO36+AN36+AU36+AX36+AY36</f>
        <v>213522.14</v>
      </c>
      <c r="BA36" s="38">
        <f>+AJ36-AZ36</f>
        <v>1019004.7267781225</v>
      </c>
      <c r="BB36" s="117"/>
      <c r="BC36" s="118"/>
      <c r="BD36" s="59">
        <f>+BA36+BB36+BC36</f>
        <v>1019004.7267781225</v>
      </c>
      <c r="BE36" s="60">
        <f>IF(BD36-INT(BD36/100)*100&gt;0,INT(BD36/100)*100+100,INT(BD36/100)*100)</f>
        <v>1019100</v>
      </c>
      <c r="BF36" s="61"/>
      <c r="BG36" s="61"/>
      <c r="BH36" s="62">
        <f>IF(BF36=0,0,I36/2)</f>
        <v>0</v>
      </c>
      <c r="BI36" s="62">
        <f>IF(BF36=0,0,+IF(BF36-J36&lt;30,J36-BF36,30))</f>
        <v>0</v>
      </c>
      <c r="BJ36" s="62">
        <f>+BI36*BH36/30</f>
        <v>0</v>
      </c>
      <c r="BK36" s="63">
        <f>+BD36+AX36+AY36</f>
        <v>1019004.7267781225</v>
      </c>
      <c r="BL36" s="48">
        <f>+L36-N36</f>
        <v>0</v>
      </c>
      <c r="BN36" s="49"/>
      <c r="BO36" s="49"/>
    </row>
    <row r="37" spans="1:67" s="18" customFormat="1" ht="27.75" customHeight="1">
      <c r="A37" s="50" t="s">
        <v>97</v>
      </c>
      <c r="B37" s="51" t="s">
        <v>255</v>
      </c>
      <c r="C37" s="52"/>
      <c r="D37" s="53" t="s">
        <v>256</v>
      </c>
      <c r="E37" s="54">
        <v>39712</v>
      </c>
      <c r="F37" s="25">
        <v>42369</v>
      </c>
      <c r="G37" s="54" t="s">
        <v>257</v>
      </c>
      <c r="H37" s="55" t="s">
        <v>169</v>
      </c>
      <c r="I37" s="29">
        <v>275000</v>
      </c>
      <c r="J37" s="28">
        <v>42368</v>
      </c>
      <c r="K37" s="29">
        <v>0</v>
      </c>
      <c r="L37" s="29">
        <v>0</v>
      </c>
      <c r="M37" s="56">
        <v>0</v>
      </c>
      <c r="N37" s="33">
        <v>0</v>
      </c>
      <c r="O37" s="31">
        <v>1586.5689724802398</v>
      </c>
      <c r="P37" s="32">
        <v>0</v>
      </c>
      <c r="Q37" s="33">
        <v>0</v>
      </c>
      <c r="R37" s="32">
        <v>0</v>
      </c>
      <c r="S37" s="33">
        <v>0</v>
      </c>
      <c r="T37" s="32">
        <v>0</v>
      </c>
      <c r="U37" s="33">
        <v>0</v>
      </c>
      <c r="V37" s="32">
        <v>0</v>
      </c>
      <c r="W37" s="33">
        <v>0</v>
      </c>
      <c r="X37" s="32">
        <v>0</v>
      </c>
      <c r="Y37" s="33">
        <v>0</v>
      </c>
      <c r="Z37" s="33">
        <v>0</v>
      </c>
      <c r="AA37" s="31">
        <v>0</v>
      </c>
      <c r="AB37" s="31">
        <v>0</v>
      </c>
      <c r="AC37" s="33">
        <v>0</v>
      </c>
      <c r="AD37" s="35"/>
      <c r="AE37" s="33">
        <v>0</v>
      </c>
      <c r="AF37" s="31">
        <v>36.75</v>
      </c>
      <c r="AG37" s="33">
        <v>489653.07568181958</v>
      </c>
      <c r="AH37" s="31">
        <v>0</v>
      </c>
      <c r="AI37" s="31">
        <v>0</v>
      </c>
      <c r="AJ37" s="36">
        <v>489653.07568181958</v>
      </c>
      <c r="AK37" s="33">
        <f>IF(ISNA(VLOOKUP(A37,[2]AVANTAGE!$A$5:$T$118,19,0))=TRUE,0,VLOOKUP(A37,[2]AVANTAGE!$A$5:$T$118,19,0))</f>
        <v>0</v>
      </c>
      <c r="AL37" s="33">
        <f>IF(ISNA(VLOOKUP(A37,[2]AVANTAGE!$A$5:$T$118,20,0))=TRUE,0,VLOOKUP(A37,[2]AVANTAGE!$A$5:$T$118,20,0))</f>
        <v>0</v>
      </c>
      <c r="AM37" s="37">
        <f>+AJ37+AL37</f>
        <v>489653.07568181958</v>
      </c>
      <c r="AN37" s="38">
        <f>IF(D37=0,0,(IF((AM37)*1%&gt;10641.07,10641.07,(AM37)*1%)))</f>
        <v>4896.5307568181961</v>
      </c>
      <c r="AO37" s="33">
        <f>IF(D37=0,0,(IF((AM37)*1%&gt;10641.07,10641.07,(AM37)*1%)))</f>
        <v>4896.5307568181961</v>
      </c>
      <c r="AP37" s="38"/>
      <c r="AQ37" s="38">
        <f>+INT((AJ37+AL37-AO37-AN37-AP37)/100)*100</f>
        <v>479800</v>
      </c>
      <c r="AR37" s="39">
        <f>IF(AQ37=0,0,IF(AQ37&lt;=250000,0,(AQ37-250000)*20%))</f>
        <v>45960</v>
      </c>
      <c r="AS37" s="40">
        <f>VLOOKUP(A37,'[2]Liste personnel'!$B$3:$R$187,16,0)</f>
        <v>3</v>
      </c>
      <c r="AT37" s="38">
        <f>+AS37*2000</f>
        <v>6000</v>
      </c>
      <c r="AU37" s="38">
        <f>+IF(AR37=0,0,IF(AR37-AT37&lt;200,200,AR37-AT37))</f>
        <v>39960</v>
      </c>
      <c r="AV37" s="38">
        <f>IF(ISNA(VLOOKUP(A37,[2]AVANCE!$A$6:$E$122,4,0))=TRUE,0,VLOOKUP(A37,[2]AVANCE!$A$6:$E$122,4,0))</f>
        <v>0</v>
      </c>
      <c r="AW37" s="38">
        <f>IF(ISNA(VLOOKUP(A37,[2]AVANCE!$A$6:$E$122,5,0))=TRUE,0,VLOOKUP(A37,[2]AVANCE!$A$6:$E$122,5,0))</f>
        <v>0</v>
      </c>
      <c r="AX37" s="38">
        <f>+AV37+AW37</f>
        <v>0</v>
      </c>
      <c r="AY37" s="57"/>
      <c r="AZ37" s="58">
        <f>+AO37+AN37+AU37+AX37+AY37</f>
        <v>49753.061513636392</v>
      </c>
      <c r="BA37" s="38">
        <f>+AJ37-AZ37</f>
        <v>439900.0141681832</v>
      </c>
      <c r="BB37" s="117"/>
      <c r="BC37" s="118"/>
      <c r="BD37" s="59">
        <f>+BA37+BB37+BC37</f>
        <v>439900.0141681832</v>
      </c>
      <c r="BE37" s="60">
        <f>IF(BD37-INT(BD37/100)*100&gt;0,INT(BD37/100)*100+100,INT(BD37/100)*100)</f>
        <v>440000</v>
      </c>
      <c r="BF37" s="61"/>
      <c r="BG37" s="61"/>
      <c r="BH37" s="62">
        <f>IF(BF37=0,0,I37/2)</f>
        <v>0</v>
      </c>
      <c r="BI37" s="62">
        <f>IF(BF37=0,0,+IF(BF37-J37&lt;30,J37-BF37,30))</f>
        <v>0</v>
      </c>
      <c r="BJ37" s="62">
        <f>+BI37*BH37/30</f>
        <v>0</v>
      </c>
      <c r="BK37" s="63">
        <f>+BD37+AX37+AY37</f>
        <v>439900.0141681832</v>
      </c>
      <c r="BL37" s="48">
        <f>+L37-N37</f>
        <v>0</v>
      </c>
      <c r="BN37" s="49"/>
      <c r="BO37" s="49"/>
    </row>
    <row r="38" spans="1:67" s="18" customFormat="1" ht="27.75" customHeight="1">
      <c r="A38" s="50" t="s">
        <v>98</v>
      </c>
      <c r="B38" s="51" t="s">
        <v>258</v>
      </c>
      <c r="C38" s="52"/>
      <c r="D38" s="53" t="s">
        <v>259</v>
      </c>
      <c r="E38" s="54">
        <v>39712</v>
      </c>
      <c r="F38" s="25">
        <v>42369</v>
      </c>
      <c r="G38" s="54" t="s">
        <v>260</v>
      </c>
      <c r="H38" s="55" t="s">
        <v>187</v>
      </c>
      <c r="I38" s="29">
        <v>220000</v>
      </c>
      <c r="J38" s="28">
        <v>42368</v>
      </c>
      <c r="K38" s="29">
        <v>0</v>
      </c>
      <c r="L38" s="29">
        <v>0</v>
      </c>
      <c r="M38" s="56">
        <v>0</v>
      </c>
      <c r="N38" s="33">
        <v>0</v>
      </c>
      <c r="O38" s="31">
        <v>1269.255177984192</v>
      </c>
      <c r="P38" s="32">
        <v>0</v>
      </c>
      <c r="Q38" s="33">
        <v>0</v>
      </c>
      <c r="R38" s="32">
        <v>0</v>
      </c>
      <c r="S38" s="33">
        <v>0</v>
      </c>
      <c r="T38" s="32">
        <v>0</v>
      </c>
      <c r="U38" s="33">
        <v>0</v>
      </c>
      <c r="V38" s="32">
        <v>0</v>
      </c>
      <c r="W38" s="33">
        <v>0</v>
      </c>
      <c r="X38" s="32">
        <v>0</v>
      </c>
      <c r="Y38" s="33">
        <v>0</v>
      </c>
      <c r="Z38" s="33">
        <v>0</v>
      </c>
      <c r="AA38" s="31">
        <v>0</v>
      </c>
      <c r="AB38" s="31">
        <v>0</v>
      </c>
      <c r="AC38" s="33">
        <v>0</v>
      </c>
      <c r="AD38" s="35"/>
      <c r="AE38" s="33">
        <v>0</v>
      </c>
      <c r="AF38" s="31">
        <v>38.75</v>
      </c>
      <c r="AG38" s="33">
        <v>414901.9295975428</v>
      </c>
      <c r="AH38" s="31">
        <v>0</v>
      </c>
      <c r="AI38" s="31">
        <v>0</v>
      </c>
      <c r="AJ38" s="36">
        <v>414901.9295975428</v>
      </c>
      <c r="AK38" s="33">
        <f>IF(ISNA(VLOOKUP(A38,[2]AVANTAGE!$A$5:$T$118,19,0))=TRUE,0,VLOOKUP(A38,[2]AVANTAGE!$A$5:$T$118,19,0))</f>
        <v>0</v>
      </c>
      <c r="AL38" s="33">
        <f>IF(ISNA(VLOOKUP(A38,[2]AVANTAGE!$A$5:$T$118,20,0))=TRUE,0,VLOOKUP(A38,[2]AVANTAGE!$A$5:$T$118,20,0))</f>
        <v>0</v>
      </c>
      <c r="AM38" s="37">
        <f>+AJ38+AL38</f>
        <v>414901.9295975428</v>
      </c>
      <c r="AN38" s="38">
        <f>IF(D38=0,0,(IF((AM38)*1%&gt;10641.07,10641.07,(AM38)*1%)))</f>
        <v>4149.0192959754277</v>
      </c>
      <c r="AO38" s="33">
        <f>IF(D38=0,0,(IF((AM38)*1%&gt;10641.07,10641.07,(AM38)*1%)))</f>
        <v>4149.0192959754277</v>
      </c>
      <c r="AP38" s="38"/>
      <c r="AQ38" s="38">
        <f>+INT((AJ38+AL38-AO38-AN38-AP38)/100)*100</f>
        <v>406600</v>
      </c>
      <c r="AR38" s="39">
        <f>IF(AQ38=0,0,IF(AQ38&lt;=250000,0,(AQ38-250000)*20%))</f>
        <v>31320</v>
      </c>
      <c r="AS38" s="40">
        <f>VLOOKUP(A38,'[2]Liste personnel'!$B$3:$R$187,16,0)</f>
        <v>0</v>
      </c>
      <c r="AT38" s="38">
        <f>+AS38*2000</f>
        <v>0</v>
      </c>
      <c r="AU38" s="38">
        <f>+IF(AR38=0,0,IF(AR38-AT38&lt;200,200,AR38-AT38))</f>
        <v>31320</v>
      </c>
      <c r="AV38" s="38">
        <f>IF(ISNA(VLOOKUP(A38,[2]AVANCE!$A$6:$E$122,4,0))=TRUE,0,VLOOKUP(A38,[2]AVANCE!$A$6:$E$122,4,0))</f>
        <v>0</v>
      </c>
      <c r="AW38" s="38">
        <f>IF(ISNA(VLOOKUP(A38,[2]AVANCE!$A$6:$E$122,5,0))=TRUE,0,VLOOKUP(A38,[2]AVANCE!$A$6:$E$122,5,0))</f>
        <v>0</v>
      </c>
      <c r="AX38" s="38">
        <f>+AV38+AW38</f>
        <v>0</v>
      </c>
      <c r="AY38" s="57"/>
      <c r="AZ38" s="58">
        <f>+AO38+AN38+AU38+AX38+AY38</f>
        <v>39618.038591950855</v>
      </c>
      <c r="BA38" s="38">
        <f>+AJ38-AZ38</f>
        <v>375283.89100559196</v>
      </c>
      <c r="BB38" s="117"/>
      <c r="BC38" s="118"/>
      <c r="BD38" s="59">
        <f>+BA38+BB38+BC38</f>
        <v>375283.89100559196</v>
      </c>
      <c r="BE38" s="60">
        <f>IF(BD38-INT(BD38/100)*100&gt;0,INT(BD38/100)*100+100,INT(BD38/100)*100)</f>
        <v>375300</v>
      </c>
      <c r="BF38" s="61"/>
      <c r="BG38" s="61"/>
      <c r="BH38" s="62">
        <f>IF(BF38=0,0,I38/2)</f>
        <v>0</v>
      </c>
      <c r="BI38" s="62">
        <f>IF(BF38=0,0,+IF(BF38-J38&lt;30,J38-BF38,30))</f>
        <v>0</v>
      </c>
      <c r="BJ38" s="62">
        <f>+BI38*BH38/30</f>
        <v>0</v>
      </c>
      <c r="BK38" s="63">
        <f>+BD38+AX38+AY38</f>
        <v>375283.89100559196</v>
      </c>
      <c r="BL38" s="48">
        <f>+L38-N38</f>
        <v>0</v>
      </c>
      <c r="BN38" s="49"/>
      <c r="BO38" s="49"/>
    </row>
    <row r="39" spans="1:67" s="18" customFormat="1" ht="27.75" customHeight="1">
      <c r="A39" s="50" t="s">
        <v>99</v>
      </c>
      <c r="B39" s="51" t="s">
        <v>261</v>
      </c>
      <c r="C39" s="52"/>
      <c r="D39" s="53" t="s">
        <v>262</v>
      </c>
      <c r="E39" s="54">
        <v>39712</v>
      </c>
      <c r="F39" s="25">
        <v>42369</v>
      </c>
      <c r="G39" s="54" t="s">
        <v>263</v>
      </c>
      <c r="H39" s="55" t="s">
        <v>187</v>
      </c>
      <c r="I39" s="29">
        <v>165000</v>
      </c>
      <c r="J39" s="28">
        <v>42368</v>
      </c>
      <c r="K39" s="29">
        <v>0</v>
      </c>
      <c r="L39" s="29">
        <v>0</v>
      </c>
      <c r="M39" s="56">
        <v>0</v>
      </c>
      <c r="N39" s="33">
        <v>0</v>
      </c>
      <c r="O39" s="31">
        <v>679.01234567901236</v>
      </c>
      <c r="P39" s="32">
        <v>0</v>
      </c>
      <c r="Q39" s="33">
        <v>0</v>
      </c>
      <c r="R39" s="32">
        <v>0</v>
      </c>
      <c r="S39" s="33">
        <v>0</v>
      </c>
      <c r="T39" s="32">
        <v>0</v>
      </c>
      <c r="U39" s="33">
        <v>0</v>
      </c>
      <c r="V39" s="32">
        <v>0</v>
      </c>
      <c r="W39" s="33">
        <v>0</v>
      </c>
      <c r="X39" s="32">
        <v>0</v>
      </c>
      <c r="Y39" s="33">
        <v>0</v>
      </c>
      <c r="Z39" s="33">
        <v>0</v>
      </c>
      <c r="AA39" s="31">
        <v>0</v>
      </c>
      <c r="AB39" s="31">
        <v>0</v>
      </c>
      <c r="AC39" s="33">
        <v>0</v>
      </c>
      <c r="AD39" s="35"/>
      <c r="AE39" s="33">
        <v>0</v>
      </c>
      <c r="AF39" s="31">
        <v>58.75</v>
      </c>
      <c r="AG39" s="33">
        <v>592694.01590289571</v>
      </c>
      <c r="AH39" s="31">
        <v>0</v>
      </c>
      <c r="AI39" s="31">
        <v>0</v>
      </c>
      <c r="AJ39" s="36">
        <v>592694.01590289571</v>
      </c>
      <c r="AK39" s="33">
        <f>IF(ISNA(VLOOKUP(A39,[2]AVANTAGE!$A$5:$T$118,19,0))=TRUE,0,VLOOKUP(A39,[2]AVANTAGE!$A$5:$T$118,19,0))</f>
        <v>0</v>
      </c>
      <c r="AL39" s="33">
        <f>IF(ISNA(VLOOKUP(A39,[2]AVANTAGE!$A$5:$T$118,20,0))=TRUE,0,VLOOKUP(A39,[2]AVANTAGE!$A$5:$T$118,20,0))</f>
        <v>0</v>
      </c>
      <c r="AM39" s="37">
        <f>+AJ39+AL39</f>
        <v>592694.01590289571</v>
      </c>
      <c r="AN39" s="38">
        <f>IF(D39=0,0,(IF((AM39)*1%&gt;10641.07,10641.07,(AM39)*1%)))</f>
        <v>5926.9401590289572</v>
      </c>
      <c r="AO39" s="33">
        <f>IF(D39=0,0,(IF((AM39)*1%&gt;10641.07,10641.07,(AM39)*1%)))</f>
        <v>5926.9401590289572</v>
      </c>
      <c r="AP39" s="38"/>
      <c r="AQ39" s="38">
        <f>+INT((AJ39+AL39-AO39-AN39-AP39)/100)*100</f>
        <v>580800</v>
      </c>
      <c r="AR39" s="39">
        <f>IF(AQ39=0,0,IF(AQ39&lt;=250000,0,(AQ39-250000)*20%))</f>
        <v>66160</v>
      </c>
      <c r="AS39" s="40">
        <f>VLOOKUP(A39,'[2]Liste personnel'!$B$3:$R$187,16,0)</f>
        <v>1</v>
      </c>
      <c r="AT39" s="38">
        <f>+AS39*2000</f>
        <v>2000</v>
      </c>
      <c r="AU39" s="38">
        <f>+IF(AR39=0,0,IF(AR39-AT39&lt;200,200,AR39-AT39))</f>
        <v>64160</v>
      </c>
      <c r="AV39" s="38">
        <f>IF(ISNA(VLOOKUP(A39,[2]AVANCE!$A$6:$E$122,4,0))=TRUE,0,VLOOKUP(A39,[2]AVANCE!$A$6:$E$122,4,0))</f>
        <v>0</v>
      </c>
      <c r="AW39" s="38">
        <f>IF(ISNA(VLOOKUP(A39,[2]AVANCE!$A$6:$E$122,5,0))=TRUE,0,VLOOKUP(A39,[2]AVANCE!$A$6:$E$122,5,0))</f>
        <v>0</v>
      </c>
      <c r="AX39" s="38">
        <f>+AV39+AW39</f>
        <v>0</v>
      </c>
      <c r="AY39" s="57"/>
      <c r="AZ39" s="58">
        <f>+AO39+AN39+AU39+AX39+AY39</f>
        <v>76013.880318057913</v>
      </c>
      <c r="BA39" s="38">
        <f>+AJ39-AZ39</f>
        <v>516680.13558483782</v>
      </c>
      <c r="BB39" s="117"/>
      <c r="BC39" s="118"/>
      <c r="BD39" s="59">
        <f>+BA39+BB39+BC39</f>
        <v>516680.13558483782</v>
      </c>
      <c r="BE39" s="60">
        <f>IF(BD39-INT(BD39/100)*100&gt;0,INT(BD39/100)*100+100,INT(BD39/100)*100)</f>
        <v>516700</v>
      </c>
      <c r="BF39" s="61"/>
      <c r="BG39" s="61"/>
      <c r="BH39" s="62">
        <f>IF(BF39=0,0,I39/2)</f>
        <v>0</v>
      </c>
      <c r="BI39" s="62">
        <f>IF(BF39=0,0,+IF(BF39-J39&lt;30,J39-BF39,30))</f>
        <v>0</v>
      </c>
      <c r="BJ39" s="62">
        <f>+BI39*BH39/30</f>
        <v>0</v>
      </c>
      <c r="BK39" s="63">
        <f>+BD39+AX39+AY39</f>
        <v>516680.13558483782</v>
      </c>
      <c r="BL39" s="48">
        <f>+L39-N39</f>
        <v>0</v>
      </c>
      <c r="BN39" s="49"/>
      <c r="BO39" s="49"/>
    </row>
    <row r="40" spans="1:67" s="18" customFormat="1" ht="27.75" customHeight="1">
      <c r="A40" s="50" t="s">
        <v>100</v>
      </c>
      <c r="B40" s="51" t="s">
        <v>264</v>
      </c>
      <c r="C40" s="52"/>
      <c r="D40" s="53" t="s">
        <v>265</v>
      </c>
      <c r="E40" s="54">
        <v>39742</v>
      </c>
      <c r="F40" s="25">
        <v>42369</v>
      </c>
      <c r="G40" s="54" t="s">
        <v>266</v>
      </c>
      <c r="H40" s="55" t="s">
        <v>187</v>
      </c>
      <c r="I40" s="29">
        <v>220000</v>
      </c>
      <c r="J40" s="28">
        <v>42368</v>
      </c>
      <c r="K40" s="29">
        <v>0</v>
      </c>
      <c r="L40" s="29">
        <v>0</v>
      </c>
      <c r="M40" s="56">
        <v>0</v>
      </c>
      <c r="N40" s="33">
        <v>0</v>
      </c>
      <c r="O40" s="31">
        <v>1269.255177984192</v>
      </c>
      <c r="P40" s="32">
        <v>0</v>
      </c>
      <c r="Q40" s="33">
        <v>0</v>
      </c>
      <c r="R40" s="32">
        <v>0</v>
      </c>
      <c r="S40" s="33">
        <v>0</v>
      </c>
      <c r="T40" s="32">
        <v>0</v>
      </c>
      <c r="U40" s="33">
        <v>0</v>
      </c>
      <c r="V40" s="32">
        <v>0</v>
      </c>
      <c r="W40" s="33">
        <v>0</v>
      </c>
      <c r="X40" s="32">
        <v>0</v>
      </c>
      <c r="Y40" s="33">
        <v>0</v>
      </c>
      <c r="Z40" s="33">
        <v>0</v>
      </c>
      <c r="AA40" s="31">
        <v>0</v>
      </c>
      <c r="AB40" s="31">
        <v>0</v>
      </c>
      <c r="AC40" s="33">
        <v>0</v>
      </c>
      <c r="AD40" s="35"/>
      <c r="AE40" s="33">
        <v>0</v>
      </c>
      <c r="AF40" s="31">
        <v>82.75</v>
      </c>
      <c r="AG40" s="33">
        <v>1044592.1234984889</v>
      </c>
      <c r="AH40" s="31">
        <v>0</v>
      </c>
      <c r="AI40" s="31">
        <v>0</v>
      </c>
      <c r="AJ40" s="36">
        <v>1044592.1234984889</v>
      </c>
      <c r="AK40" s="33">
        <f>IF(ISNA(VLOOKUP(A40,[2]AVANTAGE!$A$5:$T$118,19,0))=TRUE,0,VLOOKUP(A40,[2]AVANTAGE!$A$5:$T$118,19,0))</f>
        <v>0</v>
      </c>
      <c r="AL40" s="33">
        <f>IF(ISNA(VLOOKUP(A40,[2]AVANTAGE!$A$5:$T$118,20,0))=TRUE,0,VLOOKUP(A40,[2]AVANTAGE!$A$5:$T$118,20,0))</f>
        <v>0</v>
      </c>
      <c r="AM40" s="37">
        <f>+AJ40+AL40</f>
        <v>1044592.1234984889</v>
      </c>
      <c r="AN40" s="38">
        <f>IF(D40=0,0,(IF((AM40)*1%&gt;10641.07,10641.07,(AM40)*1%)))</f>
        <v>10445.921234984889</v>
      </c>
      <c r="AO40" s="33">
        <f>IF(D40=0,0,(IF((AM40)*1%&gt;10641.07,10641.07,(AM40)*1%)))</f>
        <v>10445.921234984889</v>
      </c>
      <c r="AP40" s="38"/>
      <c r="AQ40" s="38">
        <f>+INT((AJ40+AL40-AO40-AN40-AP40)/100)*100</f>
        <v>1023700</v>
      </c>
      <c r="AR40" s="39">
        <f>IF(AQ40=0,0,IF(AQ40&lt;=250000,0,(AQ40-250000)*20%))</f>
        <v>154740</v>
      </c>
      <c r="AS40" s="40">
        <f>VLOOKUP(A40,'[2]Liste personnel'!$B$3:$R$187,16,0)</f>
        <v>2</v>
      </c>
      <c r="AT40" s="38">
        <f>+AS40*2000</f>
        <v>4000</v>
      </c>
      <c r="AU40" s="38">
        <f>+IF(AR40=0,0,IF(AR40-AT40&lt;200,200,AR40-AT40))</f>
        <v>150740</v>
      </c>
      <c r="AV40" s="38">
        <f>IF(ISNA(VLOOKUP(A40,[2]AVANCE!$A$6:$E$122,4,0))=TRUE,0,VLOOKUP(A40,[2]AVANCE!$A$6:$E$122,4,0))</f>
        <v>0</v>
      </c>
      <c r="AW40" s="38">
        <f>IF(ISNA(VLOOKUP(A40,[2]AVANCE!$A$6:$E$122,5,0))=TRUE,0,VLOOKUP(A40,[2]AVANCE!$A$6:$E$122,5,0))</f>
        <v>0</v>
      </c>
      <c r="AX40" s="38">
        <f>+AV40+AW40</f>
        <v>0</v>
      </c>
      <c r="AY40" s="57"/>
      <c r="AZ40" s="58">
        <f>+AO40+AN40+AU40+AX40+AY40</f>
        <v>171631.84246996976</v>
      </c>
      <c r="BA40" s="38">
        <f>+AJ40-AZ40</f>
        <v>872960.28102851915</v>
      </c>
      <c r="BB40" s="117"/>
      <c r="BC40" s="118"/>
      <c r="BD40" s="59">
        <f>+BA40+BB40+BC40</f>
        <v>872960.28102851915</v>
      </c>
      <c r="BE40" s="60">
        <f>IF(BD40-INT(BD40/100)*100&gt;0,INT(BD40/100)*100+100,INT(BD40/100)*100)</f>
        <v>873000</v>
      </c>
      <c r="BF40" s="61"/>
      <c r="BG40" s="61"/>
      <c r="BH40" s="62">
        <f>IF(BF40=0,0,I40/2)</f>
        <v>0</v>
      </c>
      <c r="BI40" s="62">
        <f>IF(BF40=0,0,+IF(BF40-J40&lt;30,J40-BF40,30))</f>
        <v>0</v>
      </c>
      <c r="BJ40" s="62">
        <f>+BI40*BH40/30</f>
        <v>0</v>
      </c>
      <c r="BK40" s="63">
        <f>+BD40+AX40+AY40</f>
        <v>872960.28102851915</v>
      </c>
      <c r="BL40" s="48">
        <f>+L40-N40</f>
        <v>0</v>
      </c>
      <c r="BN40" s="49"/>
      <c r="BO40" s="49"/>
    </row>
    <row r="41" spans="1:67" s="18" customFormat="1" ht="27.75" customHeight="1">
      <c r="A41" s="50" t="s">
        <v>101</v>
      </c>
      <c r="B41" s="51" t="s">
        <v>267</v>
      </c>
      <c r="C41" s="52"/>
      <c r="D41" s="53" t="s">
        <v>268</v>
      </c>
      <c r="E41" s="54">
        <v>40506</v>
      </c>
      <c r="F41" s="25">
        <v>42369</v>
      </c>
      <c r="G41" s="54" t="s">
        <v>269</v>
      </c>
      <c r="H41" s="55" t="s">
        <v>187</v>
      </c>
      <c r="I41" s="29">
        <v>150000</v>
      </c>
      <c r="J41" s="28">
        <v>42368</v>
      </c>
      <c r="K41" s="29">
        <v>0</v>
      </c>
      <c r="L41" s="29">
        <v>0</v>
      </c>
      <c r="M41" s="56">
        <v>0</v>
      </c>
      <c r="N41" s="33">
        <v>0</v>
      </c>
      <c r="O41" s="31">
        <v>865.40125771649446</v>
      </c>
      <c r="P41" s="32">
        <v>0</v>
      </c>
      <c r="Q41" s="33">
        <v>0</v>
      </c>
      <c r="R41" s="32">
        <v>0</v>
      </c>
      <c r="S41" s="33">
        <v>0</v>
      </c>
      <c r="T41" s="32">
        <v>0</v>
      </c>
      <c r="U41" s="33">
        <v>0</v>
      </c>
      <c r="V41" s="32">
        <v>0</v>
      </c>
      <c r="W41" s="33">
        <v>0</v>
      </c>
      <c r="X41" s="32">
        <v>0</v>
      </c>
      <c r="Y41" s="33">
        <v>0</v>
      </c>
      <c r="Z41" s="33">
        <v>0</v>
      </c>
      <c r="AA41" s="31">
        <v>0</v>
      </c>
      <c r="AB41" s="31">
        <v>0</v>
      </c>
      <c r="AC41" s="33">
        <v>0</v>
      </c>
      <c r="AD41" s="35"/>
      <c r="AE41" s="33">
        <v>0</v>
      </c>
      <c r="AF41" s="31">
        <v>32.75</v>
      </c>
      <c r="AG41" s="33">
        <v>250088.732063859</v>
      </c>
      <c r="AH41" s="31">
        <v>0</v>
      </c>
      <c r="AI41" s="31">
        <v>0</v>
      </c>
      <c r="AJ41" s="36">
        <v>250088.732063859</v>
      </c>
      <c r="AK41" s="33">
        <f>IF(ISNA(VLOOKUP(A41,[2]AVANTAGE!$A$5:$T$118,19,0))=TRUE,0,VLOOKUP(A41,[2]AVANTAGE!$A$5:$T$118,19,0))</f>
        <v>0</v>
      </c>
      <c r="AL41" s="33">
        <f>IF(ISNA(VLOOKUP(A41,[2]AVANTAGE!$A$5:$T$118,20,0))=TRUE,0,VLOOKUP(A41,[2]AVANTAGE!$A$5:$T$118,20,0))</f>
        <v>0</v>
      </c>
      <c r="AM41" s="37">
        <f>+AJ41+AL41</f>
        <v>250088.732063859</v>
      </c>
      <c r="AN41" s="38">
        <f>IF(D41=0,0,(IF((AM41)*1%&gt;10641.07,10641.07,(AM41)*1%)))</f>
        <v>2500.8873206385902</v>
      </c>
      <c r="AO41" s="33">
        <f>IF(D41=0,0,(IF((AM41)*1%&gt;10641.07,10641.07,(AM41)*1%)))</f>
        <v>2500.8873206385902</v>
      </c>
      <c r="AP41" s="38"/>
      <c r="AQ41" s="38">
        <f>+INT((AJ41+AL41-AO41-AN41-AP41)/100)*100</f>
        <v>245000</v>
      </c>
      <c r="AR41" s="39">
        <f>IF(AQ41=0,0,IF(AQ41&lt;=250000,0,(AQ41-250000)*20%))</f>
        <v>0</v>
      </c>
      <c r="AS41" s="40">
        <f>VLOOKUP(A41,'[2]Liste personnel'!$B$3:$R$187,16,0)</f>
        <v>0</v>
      </c>
      <c r="AT41" s="38">
        <f>+AS41*2000</f>
        <v>0</v>
      </c>
      <c r="AU41" s="38">
        <f>+IF(AR41=0,0,IF(AR41-AT41&lt;200,200,AR41-AT41))</f>
        <v>0</v>
      </c>
      <c r="AV41" s="38">
        <f>IF(ISNA(VLOOKUP(A41,[2]AVANCE!$A$6:$E$122,4,0))=TRUE,0,VLOOKUP(A41,[2]AVANCE!$A$6:$E$122,4,0))</f>
        <v>0</v>
      </c>
      <c r="AW41" s="38">
        <f>IF(ISNA(VLOOKUP(A41,[2]AVANCE!$A$6:$E$122,5,0))=TRUE,0,VLOOKUP(A41,[2]AVANCE!$A$6:$E$122,5,0))</f>
        <v>0</v>
      </c>
      <c r="AX41" s="38">
        <f>+AV41+AW41</f>
        <v>0</v>
      </c>
      <c r="AY41" s="57"/>
      <c r="AZ41" s="58">
        <f>+AO41+AN41+AU41+AX41+AY41</f>
        <v>5001.7746412771803</v>
      </c>
      <c r="BA41" s="38">
        <f>+AJ41-AZ41</f>
        <v>245086.95742258182</v>
      </c>
      <c r="BB41" s="117"/>
      <c r="BC41" s="118"/>
      <c r="BD41" s="59">
        <f>+BA41+BB41+BC41</f>
        <v>245086.95742258182</v>
      </c>
      <c r="BE41" s="60">
        <f>IF(BD41-INT(BD41/100)*100&gt;0,INT(BD41/100)*100+100,INT(BD41/100)*100)</f>
        <v>245100</v>
      </c>
      <c r="BF41" s="61"/>
      <c r="BG41" s="61"/>
      <c r="BH41" s="62">
        <f>IF(BF41=0,0,I41/2)</f>
        <v>0</v>
      </c>
      <c r="BI41" s="62">
        <f>IF(BF41=0,0,+IF(BF41-J41&lt;30,J41-BF41,30))</f>
        <v>0</v>
      </c>
      <c r="BJ41" s="62">
        <f>+BI41*BH41/30</f>
        <v>0</v>
      </c>
      <c r="BK41" s="63">
        <f>+BD41+AX41+AY41</f>
        <v>245086.95742258182</v>
      </c>
      <c r="BL41" s="48">
        <f>+L41-N41</f>
        <v>0</v>
      </c>
      <c r="BN41" s="49"/>
      <c r="BO41" s="49"/>
    </row>
    <row r="42" spans="1:67" s="18" customFormat="1" ht="27.75" customHeight="1">
      <c r="A42" s="50" t="s">
        <v>102</v>
      </c>
      <c r="B42" s="51" t="s">
        <v>270</v>
      </c>
      <c r="C42" s="52"/>
      <c r="D42" s="53" t="s">
        <v>271</v>
      </c>
      <c r="E42" s="54">
        <v>39712</v>
      </c>
      <c r="F42" s="25">
        <v>42369</v>
      </c>
      <c r="G42" s="54" t="s">
        <v>220</v>
      </c>
      <c r="H42" s="55" t="s">
        <v>183</v>
      </c>
      <c r="I42" s="29">
        <v>165000</v>
      </c>
      <c r="J42" s="28">
        <v>42368</v>
      </c>
      <c r="K42" s="29">
        <v>0</v>
      </c>
      <c r="L42" s="29">
        <v>0</v>
      </c>
      <c r="M42" s="56">
        <v>0</v>
      </c>
      <c r="N42" s="33">
        <v>0</v>
      </c>
      <c r="O42" s="31">
        <v>951.94138348814397</v>
      </c>
      <c r="P42" s="32">
        <v>0</v>
      </c>
      <c r="Q42" s="33">
        <v>0</v>
      </c>
      <c r="R42" s="32">
        <v>0</v>
      </c>
      <c r="S42" s="33">
        <v>0</v>
      </c>
      <c r="T42" s="32">
        <v>0</v>
      </c>
      <c r="U42" s="33">
        <v>0</v>
      </c>
      <c r="V42" s="32">
        <v>0</v>
      </c>
      <c r="W42" s="33">
        <v>0</v>
      </c>
      <c r="X42" s="32">
        <v>0</v>
      </c>
      <c r="Y42" s="33">
        <v>0</v>
      </c>
      <c r="Z42" s="33">
        <v>0</v>
      </c>
      <c r="AA42" s="31">
        <v>0</v>
      </c>
      <c r="AB42" s="31">
        <v>0</v>
      </c>
      <c r="AC42" s="33">
        <v>0</v>
      </c>
      <c r="AD42" s="35"/>
      <c r="AE42" s="33">
        <v>0</v>
      </c>
      <c r="AF42" s="31">
        <v>2.75</v>
      </c>
      <c r="AG42" s="33">
        <v>22134.237577159896</v>
      </c>
      <c r="AH42" s="31">
        <v>0</v>
      </c>
      <c r="AI42" s="31">
        <v>0</v>
      </c>
      <c r="AJ42" s="36">
        <v>22134.237577159896</v>
      </c>
      <c r="AK42" s="33">
        <f>IF(ISNA(VLOOKUP(A42,[2]AVANTAGE!$A$5:$T$118,19,0))=TRUE,0,VLOOKUP(A42,[2]AVANTAGE!$A$5:$T$118,19,0))</f>
        <v>0</v>
      </c>
      <c r="AL42" s="33">
        <f>IF(ISNA(VLOOKUP(A42,[2]AVANTAGE!$A$5:$T$118,20,0))=TRUE,0,VLOOKUP(A42,[2]AVANTAGE!$A$5:$T$118,20,0))</f>
        <v>0</v>
      </c>
      <c r="AM42" s="37">
        <f>+AJ42+AL42</f>
        <v>22134.237577159896</v>
      </c>
      <c r="AN42" s="38">
        <f>IF(D42=0,0,(IF((AM42)*1%&gt;10641.07,10641.07,(AM42)*1%)))</f>
        <v>221.34237577159897</v>
      </c>
      <c r="AO42" s="33">
        <f>IF(D42=0,0,(IF((AM42)*1%&gt;10641.07,10641.07,(AM42)*1%)))</f>
        <v>221.34237577159897</v>
      </c>
      <c r="AP42" s="38"/>
      <c r="AQ42" s="38">
        <f>+INT((AJ42+AL42-AO42-AN42-AP42)/100)*100</f>
        <v>21600</v>
      </c>
      <c r="AR42" s="39">
        <f>IF(AQ42=0,0,IF(AQ42&lt;=250000,0,(AQ42-250000)*20%))</f>
        <v>0</v>
      </c>
      <c r="AS42" s="40">
        <f>VLOOKUP(A42,'[2]Liste personnel'!$B$3:$R$187,16,0)</f>
        <v>0</v>
      </c>
      <c r="AT42" s="38">
        <f>+AS42*2000</f>
        <v>0</v>
      </c>
      <c r="AU42" s="38">
        <f>+IF(AR42=0,0,IF(AR42-AT42&lt;200,200,AR42-AT42))</f>
        <v>0</v>
      </c>
      <c r="AV42" s="38">
        <f>IF(ISNA(VLOOKUP(A42,[2]AVANCE!$A$6:$E$122,4,0))=TRUE,0,VLOOKUP(A42,[2]AVANCE!$A$6:$E$122,4,0))</f>
        <v>0</v>
      </c>
      <c r="AW42" s="38">
        <f>IF(ISNA(VLOOKUP(A42,[2]AVANCE!$A$6:$E$122,5,0))=TRUE,0,VLOOKUP(A42,[2]AVANCE!$A$6:$E$122,5,0))</f>
        <v>0</v>
      </c>
      <c r="AX42" s="38">
        <f>+AV42+AW42</f>
        <v>0</v>
      </c>
      <c r="AY42" s="57"/>
      <c r="AZ42" s="58">
        <f>+AO42+AN42+AU42+AX42+AY42</f>
        <v>442.68475154319793</v>
      </c>
      <c r="BA42" s="38">
        <f>+AJ42-AZ42</f>
        <v>21691.552825616698</v>
      </c>
      <c r="BB42" s="117"/>
      <c r="BC42" s="118"/>
      <c r="BD42" s="59">
        <f>+BA42+BB42+BC42</f>
        <v>21691.552825616698</v>
      </c>
      <c r="BE42" s="60">
        <f>IF(BD42-INT(BD42/100)*100&gt;0,INT(BD42/100)*100+100,INT(BD42/100)*100)</f>
        <v>21700</v>
      </c>
      <c r="BF42" s="61"/>
      <c r="BG42" s="61"/>
      <c r="BH42" s="62">
        <f>IF(BF42=0,0,I42/2)</f>
        <v>0</v>
      </c>
      <c r="BI42" s="62">
        <f>IF(BF42=0,0,+IF(BF42-J42&lt;30,J42-BF42,30))</f>
        <v>0</v>
      </c>
      <c r="BJ42" s="62">
        <f>+BI42*BH42/30</f>
        <v>0</v>
      </c>
      <c r="BK42" s="63">
        <f>+BD42+AX42+AY42</f>
        <v>21691.552825616698</v>
      </c>
      <c r="BL42" s="48">
        <f>+L42-N42</f>
        <v>0</v>
      </c>
      <c r="BN42" s="49"/>
      <c r="BO42" s="49"/>
    </row>
    <row r="43" spans="1:67" s="18" customFormat="1" ht="27.75" customHeight="1">
      <c r="A43" s="50" t="s">
        <v>103</v>
      </c>
      <c r="B43" s="51" t="s">
        <v>272</v>
      </c>
      <c r="C43" s="52"/>
      <c r="D43" s="53" t="s">
        <v>224</v>
      </c>
      <c r="E43" s="54">
        <v>40898</v>
      </c>
      <c r="F43" s="25">
        <v>42369</v>
      </c>
      <c r="G43" s="54" t="s">
        <v>273</v>
      </c>
      <c r="H43" s="55" t="s">
        <v>207</v>
      </c>
      <c r="I43" s="29">
        <v>1833762</v>
      </c>
      <c r="J43" s="28">
        <v>42368</v>
      </c>
      <c r="K43" s="29">
        <v>0</v>
      </c>
      <c r="L43" s="29">
        <v>0</v>
      </c>
      <c r="M43" s="56">
        <v>0</v>
      </c>
      <c r="N43" s="33">
        <v>0</v>
      </c>
      <c r="O43" s="31">
        <v>0</v>
      </c>
      <c r="P43" s="32">
        <v>0</v>
      </c>
      <c r="Q43" s="33">
        <v>0</v>
      </c>
      <c r="R43" s="32">
        <v>0</v>
      </c>
      <c r="S43" s="33">
        <v>0</v>
      </c>
      <c r="T43" s="32">
        <v>0</v>
      </c>
      <c r="U43" s="33">
        <v>0</v>
      </c>
      <c r="V43" s="32">
        <v>0</v>
      </c>
      <c r="W43" s="33">
        <v>0</v>
      </c>
      <c r="X43" s="32">
        <v>0</v>
      </c>
      <c r="Y43" s="33">
        <v>0</v>
      </c>
      <c r="Z43" s="33">
        <v>0</v>
      </c>
      <c r="AA43" s="31">
        <v>0</v>
      </c>
      <c r="AB43" s="31">
        <v>0</v>
      </c>
      <c r="AC43" s="33">
        <v>0</v>
      </c>
      <c r="AD43" s="35"/>
      <c r="AE43" s="33">
        <v>0</v>
      </c>
      <c r="AF43" s="31">
        <v>65.166666666666657</v>
      </c>
      <c r="AG43" s="33">
        <v>3983338.566666666</v>
      </c>
      <c r="AH43" s="31">
        <v>0</v>
      </c>
      <c r="AI43" s="31">
        <v>0</v>
      </c>
      <c r="AJ43" s="36">
        <v>3983338.566666666</v>
      </c>
      <c r="AK43" s="33">
        <f>IF(ISNA(VLOOKUP(A43,[2]AVANTAGE!$A$5:$T$118,19,0))=TRUE,0,VLOOKUP(A43,[2]AVANTAGE!$A$5:$T$118,19,0))</f>
        <v>0</v>
      </c>
      <c r="AL43" s="33">
        <f>IF(ISNA(VLOOKUP(A43,[2]AVANTAGE!$A$5:$T$118,20,0))=TRUE,0,VLOOKUP(A43,[2]AVANTAGE!$A$5:$T$118,20,0))</f>
        <v>0</v>
      </c>
      <c r="AM43" s="37">
        <f>+AJ43+AL43</f>
        <v>3983338.566666666</v>
      </c>
      <c r="AN43" s="38">
        <f>IF(D43=0,0,(IF((AM43)*1%&gt;10641.07,10641.07,(AM43)*1%)))</f>
        <v>10641.07</v>
      </c>
      <c r="AO43" s="33">
        <f>IF(D43=0,0,(IF((AM43)*1%&gt;10641.07,10641.07,(AM43)*1%)))</f>
        <v>10641.07</v>
      </c>
      <c r="AP43" s="38"/>
      <c r="AQ43" s="38">
        <f>+INT((AJ43+AL43-AO43-AN43-AP43)/100)*100</f>
        <v>3962000</v>
      </c>
      <c r="AR43" s="39">
        <f>IF(AQ43=0,0,IF(AQ43&lt;=250000,0,(AQ43-250000)*20%))</f>
        <v>742400</v>
      </c>
      <c r="AS43" s="40">
        <f>VLOOKUP(A43,'[2]Liste personnel'!$B$3:$R$187,16,0)</f>
        <v>0</v>
      </c>
      <c r="AT43" s="38">
        <f>+AS43*2000</f>
        <v>0</v>
      </c>
      <c r="AU43" s="38">
        <f>+IF(AR43=0,0,IF(AR43-AT43&lt;200,200,AR43-AT43))</f>
        <v>742400</v>
      </c>
      <c r="AV43" s="38">
        <f>IF(ISNA(VLOOKUP(A43,[2]AVANCE!$A$6:$E$122,4,0))=TRUE,0,VLOOKUP(A43,[2]AVANCE!$A$6:$E$122,4,0))</f>
        <v>0</v>
      </c>
      <c r="AW43" s="38">
        <f>IF(ISNA(VLOOKUP(A43,[2]AVANCE!$A$6:$E$122,5,0))=TRUE,0,VLOOKUP(A43,[2]AVANCE!$A$6:$E$122,5,0))</f>
        <v>0</v>
      </c>
      <c r="AX43" s="38">
        <f>+AV43+AW43</f>
        <v>0</v>
      </c>
      <c r="AY43" s="57"/>
      <c r="AZ43" s="58">
        <f>+AO43+AN43+AU43+AX43+AY43</f>
        <v>763682.14</v>
      </c>
      <c r="BA43" s="38">
        <f>+AJ43-AZ43</f>
        <v>3219656.4266666658</v>
      </c>
      <c r="BB43" s="117"/>
      <c r="BC43" s="118"/>
      <c r="BD43" s="59">
        <f>+BA43+BB43+BC43</f>
        <v>3219656.4266666658</v>
      </c>
      <c r="BE43" s="60">
        <f>IF(BD43-INT(BD43/100)*100&gt;0,INT(BD43/100)*100+100,INT(BD43/100)*100)</f>
        <v>3219700</v>
      </c>
      <c r="BF43" s="61"/>
      <c r="BG43" s="61"/>
      <c r="BH43" s="62">
        <f>IF(BF43=0,0,I43/2)</f>
        <v>0</v>
      </c>
      <c r="BI43" s="62">
        <f>IF(BF43=0,0,+IF(BF43-J43&lt;30,J43-BF43,30))</f>
        <v>0</v>
      </c>
      <c r="BJ43" s="62">
        <f>+BI43*BH43/30</f>
        <v>0</v>
      </c>
      <c r="BK43" s="63">
        <f>+BD43+AX43+AY43</f>
        <v>3219656.4266666658</v>
      </c>
      <c r="BL43" s="48">
        <f>+L43-N43</f>
        <v>0</v>
      </c>
      <c r="BN43" s="49"/>
      <c r="BO43" s="49"/>
    </row>
    <row r="44" spans="1:67" s="18" customFormat="1" ht="27.75" customHeight="1">
      <c r="A44" s="50" t="s">
        <v>104</v>
      </c>
      <c r="B44" s="51" t="s">
        <v>274</v>
      </c>
      <c r="C44" s="52"/>
      <c r="D44" s="53" t="s">
        <v>275</v>
      </c>
      <c r="E44" s="54">
        <v>39419</v>
      </c>
      <c r="F44" s="25">
        <v>42369</v>
      </c>
      <c r="G44" s="54" t="s">
        <v>276</v>
      </c>
      <c r="H44" s="55" t="s">
        <v>207</v>
      </c>
      <c r="I44" s="29">
        <v>701510</v>
      </c>
      <c r="J44" s="28">
        <v>42368</v>
      </c>
      <c r="K44" s="29">
        <v>0</v>
      </c>
      <c r="L44" s="29">
        <v>0</v>
      </c>
      <c r="M44" s="56">
        <v>0</v>
      </c>
      <c r="N44" s="33">
        <v>0</v>
      </c>
      <c r="O44" s="31">
        <v>0</v>
      </c>
      <c r="P44" s="32">
        <v>0</v>
      </c>
      <c r="Q44" s="33">
        <v>0</v>
      </c>
      <c r="R44" s="32">
        <v>0</v>
      </c>
      <c r="S44" s="33">
        <v>0</v>
      </c>
      <c r="T44" s="32">
        <v>0</v>
      </c>
      <c r="U44" s="33">
        <v>0</v>
      </c>
      <c r="V44" s="32">
        <v>0</v>
      </c>
      <c r="W44" s="33">
        <v>0</v>
      </c>
      <c r="X44" s="32">
        <v>0</v>
      </c>
      <c r="Y44" s="33">
        <v>0</v>
      </c>
      <c r="Z44" s="33">
        <v>0</v>
      </c>
      <c r="AA44" s="31">
        <v>0</v>
      </c>
      <c r="AB44" s="31">
        <v>0</v>
      </c>
      <c r="AC44" s="33">
        <v>0</v>
      </c>
      <c r="AD44" s="35"/>
      <c r="AE44" s="33">
        <v>0</v>
      </c>
      <c r="AF44" s="31">
        <v>41.75</v>
      </c>
      <c r="AG44" s="33">
        <v>976268.08333333337</v>
      </c>
      <c r="AH44" s="31">
        <v>0</v>
      </c>
      <c r="AI44" s="31">
        <v>0</v>
      </c>
      <c r="AJ44" s="36">
        <v>976268.08333333337</v>
      </c>
      <c r="AK44" s="33">
        <f>IF(ISNA(VLOOKUP(A44,[2]AVANTAGE!$A$5:$T$118,19,0))=TRUE,0,VLOOKUP(A44,[2]AVANTAGE!$A$5:$T$118,19,0))</f>
        <v>0</v>
      </c>
      <c r="AL44" s="33">
        <f>IF(ISNA(VLOOKUP(A44,[2]AVANTAGE!$A$5:$T$118,20,0))=TRUE,0,VLOOKUP(A44,[2]AVANTAGE!$A$5:$T$118,20,0))</f>
        <v>0</v>
      </c>
      <c r="AM44" s="37">
        <f>+AJ44+AL44</f>
        <v>976268.08333333337</v>
      </c>
      <c r="AN44" s="38">
        <f>IF(D44=0,0,(IF((AM44)*1%&gt;10641.07,10641.07,(AM44)*1%)))</f>
        <v>9762.6808333333338</v>
      </c>
      <c r="AO44" s="33">
        <f>IF(D44=0,0,(IF((AM44)*1%&gt;10641.07,10641.07,(AM44)*1%)))</f>
        <v>9762.6808333333338</v>
      </c>
      <c r="AP44" s="38"/>
      <c r="AQ44" s="38">
        <f>+INT((AJ44+AL44-AO44-AN44-AP44)/100)*100</f>
        <v>956700</v>
      </c>
      <c r="AR44" s="39">
        <f>IF(AQ44=0,0,IF(AQ44&lt;=250000,0,(AQ44-250000)*20%))</f>
        <v>141340</v>
      </c>
      <c r="AS44" s="40">
        <f>VLOOKUP(A44,'[2]Liste personnel'!$B$3:$R$187,16,0)</f>
        <v>0</v>
      </c>
      <c r="AT44" s="38">
        <f>+AS44*2000</f>
        <v>0</v>
      </c>
      <c r="AU44" s="38">
        <f>+IF(AR44=0,0,IF(AR44-AT44&lt;200,200,AR44-AT44))</f>
        <v>141340</v>
      </c>
      <c r="AV44" s="38">
        <f>IF(ISNA(VLOOKUP(A44,[2]AVANCE!$A$6:$E$122,4,0))=TRUE,0,VLOOKUP(A44,[2]AVANCE!$A$6:$E$122,4,0))</f>
        <v>0</v>
      </c>
      <c r="AW44" s="38">
        <f>IF(ISNA(VLOOKUP(A44,[2]AVANCE!$A$6:$E$122,5,0))=TRUE,0,VLOOKUP(A44,[2]AVANCE!$A$6:$E$122,5,0))</f>
        <v>0</v>
      </c>
      <c r="AX44" s="38">
        <f>+AV44+AW44</f>
        <v>0</v>
      </c>
      <c r="AY44" s="57"/>
      <c r="AZ44" s="58">
        <f>+AO44+AN44+AU44+AX44+AY44</f>
        <v>160865.36166666666</v>
      </c>
      <c r="BA44" s="38">
        <f>+AJ44-AZ44</f>
        <v>815402.72166666668</v>
      </c>
      <c r="BB44" s="117"/>
      <c r="BC44" s="118"/>
      <c r="BD44" s="59">
        <f>+BA44+BB44+BC44</f>
        <v>815402.72166666668</v>
      </c>
      <c r="BE44" s="60">
        <f>IF(BD44-INT(BD44/100)*100&gt;0,INT(BD44/100)*100+100,INT(BD44/100)*100)</f>
        <v>815500</v>
      </c>
      <c r="BF44" s="61"/>
      <c r="BG44" s="61"/>
      <c r="BH44" s="62">
        <f>IF(BF44=0,0,I44/2)</f>
        <v>0</v>
      </c>
      <c r="BI44" s="62">
        <f>IF(BF44=0,0,+IF(BF44-J44&lt;30,J44-BF44,30))</f>
        <v>0</v>
      </c>
      <c r="BJ44" s="62">
        <f>+BI44*BH44/30</f>
        <v>0</v>
      </c>
      <c r="BK44" s="63">
        <f>+BD44+AX44+AY44</f>
        <v>815402.72166666668</v>
      </c>
      <c r="BL44" s="48">
        <f>+L44-N44</f>
        <v>0</v>
      </c>
      <c r="BN44" s="49"/>
      <c r="BO44" s="49"/>
    </row>
    <row r="45" spans="1:67" s="18" customFormat="1" ht="27.75" customHeight="1">
      <c r="A45" s="50" t="s">
        <v>105</v>
      </c>
      <c r="B45" s="51" t="s">
        <v>277</v>
      </c>
      <c r="C45" s="52"/>
      <c r="D45" s="53" t="s">
        <v>278</v>
      </c>
      <c r="E45" s="54">
        <v>39692</v>
      </c>
      <c r="F45" s="25">
        <v>42369</v>
      </c>
      <c r="G45" s="54" t="s">
        <v>279</v>
      </c>
      <c r="H45" s="55" t="s">
        <v>207</v>
      </c>
      <c r="I45" s="29">
        <v>1787501</v>
      </c>
      <c r="J45" s="28">
        <v>42368</v>
      </c>
      <c r="K45" s="29">
        <v>0</v>
      </c>
      <c r="L45" s="29">
        <v>0</v>
      </c>
      <c r="M45" s="56">
        <v>0</v>
      </c>
      <c r="N45" s="33">
        <v>0</v>
      </c>
      <c r="O45" s="31">
        <v>0</v>
      </c>
      <c r="P45" s="32">
        <v>0</v>
      </c>
      <c r="Q45" s="33">
        <v>0</v>
      </c>
      <c r="R45" s="32">
        <v>0</v>
      </c>
      <c r="S45" s="33">
        <v>0</v>
      </c>
      <c r="T45" s="32">
        <v>0</v>
      </c>
      <c r="U45" s="33">
        <v>0</v>
      </c>
      <c r="V45" s="32">
        <v>0</v>
      </c>
      <c r="W45" s="33">
        <v>0</v>
      </c>
      <c r="X45" s="32">
        <v>0</v>
      </c>
      <c r="Y45" s="33">
        <v>0</v>
      </c>
      <c r="Z45" s="33">
        <v>0</v>
      </c>
      <c r="AA45" s="31">
        <v>0</v>
      </c>
      <c r="AB45" s="31">
        <v>0</v>
      </c>
      <c r="AC45" s="33">
        <v>0</v>
      </c>
      <c r="AD45" s="35"/>
      <c r="AE45" s="33">
        <v>0</v>
      </c>
      <c r="AF45" s="31">
        <v>0</v>
      </c>
      <c r="AG45" s="33">
        <v>0</v>
      </c>
      <c r="AH45" s="31">
        <v>0</v>
      </c>
      <c r="AI45" s="31">
        <v>0</v>
      </c>
      <c r="AJ45" s="36">
        <v>0</v>
      </c>
      <c r="AK45" s="33">
        <f>IF(ISNA(VLOOKUP(A45,[2]AVANTAGE!$A$5:$T$118,19,0))=TRUE,0,VLOOKUP(A45,[2]AVANTAGE!$A$5:$T$118,19,0))</f>
        <v>5547649.1466666674</v>
      </c>
      <c r="AL45" s="33">
        <f>IF(ISNA(VLOOKUP(A45,[2]AVANTAGE!$A$5:$T$118,20,0))=TRUE,0,VLOOKUP(A45,[2]AVANTAGE!$A$5:$T$118,20,0))</f>
        <v>357500.2</v>
      </c>
      <c r="AM45" s="37">
        <f>+AJ45+AL45</f>
        <v>357500.2</v>
      </c>
      <c r="AN45" s="38">
        <f>IF(D45=0,0,(IF((AM45)*1%&gt;10641.07,10641.07,(AM45)*1%)))</f>
        <v>3575.0020000000004</v>
      </c>
      <c r="AO45" s="33"/>
      <c r="AP45" s="38"/>
      <c r="AQ45" s="38">
        <f>+INT((AJ45+AL45-AO45-AN45-AP45)/100)*100</f>
        <v>353900</v>
      </c>
      <c r="AR45" s="39">
        <f>IF(AQ45=0,0,IF(AQ45&lt;=250000,0,(AQ45-250000)*20%))</f>
        <v>20780</v>
      </c>
      <c r="AS45" s="40">
        <f>VLOOKUP(A45,'[2]Liste personnel'!$B$3:$R$187,16,0)</f>
        <v>0</v>
      </c>
      <c r="AT45" s="38">
        <f>+AS45*2000</f>
        <v>0</v>
      </c>
      <c r="AU45" s="38">
        <f>+IF(AR45=0,0,IF(AR45-AT45&lt;200,200,AR45-AT45))</f>
        <v>20780</v>
      </c>
      <c r="AV45" s="38">
        <f>IF(ISNA(VLOOKUP(A45,[2]AVANCE!$A$6:$E$122,4,0))=TRUE,0,VLOOKUP(A45,[2]AVANCE!$A$6:$E$122,4,0))</f>
        <v>0</v>
      </c>
      <c r="AW45" s="38">
        <f>IF(ISNA(VLOOKUP(A45,[2]AVANCE!$A$6:$E$122,5,0))=TRUE,0,VLOOKUP(A45,[2]AVANCE!$A$6:$E$122,5,0))</f>
        <v>0</v>
      </c>
      <c r="AX45" s="38">
        <f>+AV45+AW45</f>
        <v>0</v>
      </c>
      <c r="AY45" s="57"/>
      <c r="AZ45" s="58">
        <f>+AO45+AN45+AU45+AX45+AY45</f>
        <v>24355.002</v>
      </c>
      <c r="BA45" s="38">
        <f>+AJ45-AZ45</f>
        <v>-24355.002</v>
      </c>
      <c r="BB45" s="117"/>
      <c r="BC45" s="118"/>
      <c r="BD45" s="59">
        <f>+BA45+BB45+BC45</f>
        <v>-24355.002</v>
      </c>
      <c r="BE45" s="60">
        <f>IF(BD45-INT(BD45/100)*100&gt;0,INT(BD45/100)*100+100,INT(BD45/100)*100)</f>
        <v>-24300</v>
      </c>
      <c r="BF45" s="61"/>
      <c r="BG45" s="61"/>
      <c r="BH45" s="62">
        <f>IF(BF45=0,0,I45/2)</f>
        <v>0</v>
      </c>
      <c r="BI45" s="62">
        <f>IF(BF45=0,0,+IF(BF45-J45&lt;30,J45-BF45,30))</f>
        <v>0</v>
      </c>
      <c r="BJ45" s="62">
        <f>+BI45*BH45/30</f>
        <v>0</v>
      </c>
      <c r="BK45" s="63">
        <f>+BD45+AX45+AY45</f>
        <v>-24355.002</v>
      </c>
      <c r="BL45" s="48">
        <f>+L45-N45</f>
        <v>0</v>
      </c>
      <c r="BM45" s="87"/>
      <c r="BN45" s="49"/>
      <c r="BO45" s="49"/>
    </row>
    <row r="46" spans="1:67" s="18" customFormat="1" ht="27.75" customHeight="1">
      <c r="A46" s="50" t="s">
        <v>106</v>
      </c>
      <c r="B46" s="51" t="s">
        <v>280</v>
      </c>
      <c r="C46" s="52"/>
      <c r="D46" s="53" t="s">
        <v>281</v>
      </c>
      <c r="E46" s="54">
        <v>41683</v>
      </c>
      <c r="F46" s="25">
        <v>42369</v>
      </c>
      <c r="G46" s="54" t="s">
        <v>201</v>
      </c>
      <c r="H46" s="55" t="s">
        <v>183</v>
      </c>
      <c r="I46" s="29">
        <v>220000</v>
      </c>
      <c r="J46" s="28">
        <v>42368</v>
      </c>
      <c r="K46" s="29">
        <v>0</v>
      </c>
      <c r="L46" s="29">
        <v>0</v>
      </c>
      <c r="M46" s="56">
        <v>0</v>
      </c>
      <c r="N46" s="33">
        <v>0</v>
      </c>
      <c r="O46" s="31">
        <v>1269.255177984192</v>
      </c>
      <c r="P46" s="32">
        <v>0</v>
      </c>
      <c r="Q46" s="33">
        <v>0</v>
      </c>
      <c r="R46" s="32">
        <v>0</v>
      </c>
      <c r="S46" s="33">
        <v>0</v>
      </c>
      <c r="T46" s="32">
        <v>0</v>
      </c>
      <c r="U46" s="33">
        <v>0</v>
      </c>
      <c r="V46" s="32">
        <v>0</v>
      </c>
      <c r="W46" s="33">
        <v>0</v>
      </c>
      <c r="X46" s="32">
        <v>0</v>
      </c>
      <c r="Y46" s="33">
        <v>0</v>
      </c>
      <c r="Z46" s="33">
        <v>0</v>
      </c>
      <c r="AA46" s="31">
        <v>0</v>
      </c>
      <c r="AB46" s="31">
        <v>0</v>
      </c>
      <c r="AC46" s="33">
        <v>0</v>
      </c>
      <c r="AD46" s="35"/>
      <c r="AE46" s="33">
        <v>0</v>
      </c>
      <c r="AF46" s="31">
        <v>26.166666666666671</v>
      </c>
      <c r="AG46" s="33">
        <v>194431.31666801151</v>
      </c>
      <c r="AH46" s="31">
        <v>0</v>
      </c>
      <c r="AI46" s="31">
        <v>0</v>
      </c>
      <c r="AJ46" s="36">
        <v>194431.31666801151</v>
      </c>
      <c r="AK46" s="33">
        <f>IF(ISNA(VLOOKUP(A46,[2]AVANTAGE!$A$5:$T$118,19,0))=TRUE,0,VLOOKUP(A46,[2]AVANTAGE!$A$5:$T$118,19,0))</f>
        <v>0</v>
      </c>
      <c r="AL46" s="33">
        <f>IF(ISNA(VLOOKUP(A46,[2]AVANTAGE!$A$5:$T$118,20,0))=TRUE,0,VLOOKUP(A46,[2]AVANTAGE!$A$5:$T$118,20,0))</f>
        <v>0</v>
      </c>
      <c r="AM46" s="37">
        <f>+AJ46+AL46</f>
        <v>194431.31666801151</v>
      </c>
      <c r="AN46" s="38">
        <f>IF(D46=0,0,(IF((AM46)*1%&gt;10641.07,10641.07,(AM46)*1%)))</f>
        <v>1944.313166680115</v>
      </c>
      <c r="AO46" s="33">
        <f>IF(D46=0,0,(IF((AM46)*1%&gt;10641.07,10641.07,(AM46)*1%)))</f>
        <v>1944.313166680115</v>
      </c>
      <c r="AP46" s="38"/>
      <c r="AQ46" s="38">
        <f>+INT((AJ46+AL46-AO46-AN46-AP46)/100)*100</f>
        <v>190500</v>
      </c>
      <c r="AR46" s="39">
        <f>IF(AQ46=0,0,IF(AQ46&lt;=250000,0,(AQ46-250000)*20%))</f>
        <v>0</v>
      </c>
      <c r="AS46" s="40">
        <f>VLOOKUP(A46,'[2]Liste personnel'!$B$3:$R$187,16,0)</f>
        <v>0</v>
      </c>
      <c r="AT46" s="38">
        <f>+AS46*2000</f>
        <v>0</v>
      </c>
      <c r="AU46" s="38">
        <f>+IF(AR46=0,0,IF(AR46-AT46&lt;200,200,AR46-AT46))</f>
        <v>0</v>
      </c>
      <c r="AV46" s="38">
        <f>IF(ISNA(VLOOKUP(A46,[2]AVANCE!$A$6:$E$122,4,0))=TRUE,0,VLOOKUP(A46,[2]AVANCE!$A$6:$E$122,4,0))</f>
        <v>0</v>
      </c>
      <c r="AW46" s="38">
        <f>IF(ISNA(VLOOKUP(A46,[2]AVANCE!$A$6:$E$122,5,0))=TRUE,0,VLOOKUP(A46,[2]AVANCE!$A$6:$E$122,5,0))</f>
        <v>0</v>
      </c>
      <c r="AX46" s="38">
        <f>+AV46+AW46</f>
        <v>0</v>
      </c>
      <c r="AY46" s="57"/>
      <c r="AZ46" s="58">
        <f>+AO46+AN46+AU46+AX46+AY46</f>
        <v>3888.6263333602301</v>
      </c>
      <c r="BA46" s="38">
        <f>+AJ46-AZ46</f>
        <v>190542.69033465127</v>
      </c>
      <c r="BB46" s="117"/>
      <c r="BC46" s="118"/>
      <c r="BD46" s="59">
        <f>+BA46+BB46+BC46</f>
        <v>190542.69033465127</v>
      </c>
      <c r="BE46" s="60">
        <f>IF(BD46-INT(BD46/100)*100&gt;0,INT(BD46/100)*100+100,INT(BD46/100)*100)</f>
        <v>190600</v>
      </c>
      <c r="BF46" s="61"/>
      <c r="BG46" s="61"/>
      <c r="BH46" s="62">
        <f>IF(BF46=0,0,I46/2)</f>
        <v>0</v>
      </c>
      <c r="BI46" s="62">
        <f>IF(BF46=0,0,+IF(BF46-J46&lt;30,J46-BF46,30))</f>
        <v>0</v>
      </c>
      <c r="BJ46" s="62">
        <f>+BI46*BH46/30</f>
        <v>0</v>
      </c>
      <c r="BK46" s="63">
        <f>+BD46+AX46+AY46</f>
        <v>190542.69033465127</v>
      </c>
      <c r="BL46" s="48">
        <f>+L46-N46</f>
        <v>0</v>
      </c>
      <c r="BM46" s="87"/>
      <c r="BN46" s="49"/>
      <c r="BO46" s="49"/>
    </row>
    <row r="47" spans="1:67" s="18" customFormat="1" ht="27.75" customHeight="1">
      <c r="A47" s="50" t="s">
        <v>107</v>
      </c>
      <c r="B47" s="51" t="s">
        <v>282</v>
      </c>
      <c r="C47" s="52"/>
      <c r="D47" s="53" t="s">
        <v>281</v>
      </c>
      <c r="E47" s="54">
        <v>41688</v>
      </c>
      <c r="F47" s="25">
        <v>42369</v>
      </c>
      <c r="G47" s="54" t="s">
        <v>220</v>
      </c>
      <c r="H47" s="55" t="s">
        <v>187</v>
      </c>
      <c r="I47" s="29">
        <v>136480</v>
      </c>
      <c r="J47" s="28">
        <v>42368</v>
      </c>
      <c r="K47" s="29">
        <v>0</v>
      </c>
      <c r="L47" s="29">
        <v>0</v>
      </c>
      <c r="M47" s="56">
        <v>0</v>
      </c>
      <c r="N47" s="33">
        <v>0</v>
      </c>
      <c r="O47" s="31">
        <v>787.39975768764782</v>
      </c>
      <c r="P47" s="32">
        <v>0</v>
      </c>
      <c r="Q47" s="33">
        <v>0</v>
      </c>
      <c r="R47" s="32">
        <v>0</v>
      </c>
      <c r="S47" s="33">
        <v>0</v>
      </c>
      <c r="T47" s="32">
        <v>0</v>
      </c>
      <c r="U47" s="33">
        <v>0</v>
      </c>
      <c r="V47" s="32">
        <v>0</v>
      </c>
      <c r="W47" s="33">
        <v>0</v>
      </c>
      <c r="X47" s="32">
        <v>0</v>
      </c>
      <c r="Y47" s="33">
        <v>0</v>
      </c>
      <c r="Z47" s="33">
        <v>0</v>
      </c>
      <c r="AA47" s="31">
        <v>0</v>
      </c>
      <c r="AB47" s="31">
        <v>0</v>
      </c>
      <c r="AC47" s="33">
        <v>0</v>
      </c>
      <c r="AD47" s="35"/>
      <c r="AE47" s="33">
        <v>0</v>
      </c>
      <c r="AF47" s="31">
        <v>13.75</v>
      </c>
      <c r="AG47" s="33">
        <v>77463.224829686267</v>
      </c>
      <c r="AH47" s="31">
        <v>0</v>
      </c>
      <c r="AI47" s="31">
        <v>0</v>
      </c>
      <c r="AJ47" s="36">
        <v>77463.224829686267</v>
      </c>
      <c r="AK47" s="33">
        <f>IF(ISNA(VLOOKUP(A47,[2]AVANTAGE!$A$5:$T$118,19,0))=TRUE,0,VLOOKUP(A47,[2]AVANTAGE!$A$5:$T$118,19,0))</f>
        <v>0</v>
      </c>
      <c r="AL47" s="33">
        <f>IF(ISNA(VLOOKUP(A47,[2]AVANTAGE!$A$5:$T$118,20,0))=TRUE,0,VLOOKUP(A47,[2]AVANTAGE!$A$5:$T$118,20,0))</f>
        <v>0</v>
      </c>
      <c r="AM47" s="37">
        <f>+AJ47+AL47</f>
        <v>77463.224829686267</v>
      </c>
      <c r="AN47" s="38">
        <f>IF(D47=0,0,(IF((AM47)*1%&gt;10641.07,10641.07,(AM47)*1%)))</f>
        <v>774.63224829686271</v>
      </c>
      <c r="AO47" s="33">
        <f>IF(D47=0,0,(IF((AM47)*1%&gt;10641.07,10641.07,(AM47)*1%)))</f>
        <v>774.63224829686271</v>
      </c>
      <c r="AP47" s="38"/>
      <c r="AQ47" s="38">
        <f>+INT((AJ47+AL47-AO47-AN47-AP47)/100)*100</f>
        <v>75900</v>
      </c>
      <c r="AR47" s="39">
        <f>IF(AQ47=0,0,IF(AQ47&lt;=250000,0,(AQ47-250000)*20%))</f>
        <v>0</v>
      </c>
      <c r="AS47" s="40">
        <f>VLOOKUP(A47,'[2]Liste personnel'!$B$3:$R$187,16,0)</f>
        <v>0</v>
      </c>
      <c r="AT47" s="38">
        <f>+AS47*2000</f>
        <v>0</v>
      </c>
      <c r="AU47" s="38">
        <f>+IF(AR47=0,0,IF(AR47-AT47&lt;200,200,AR47-AT47))</f>
        <v>0</v>
      </c>
      <c r="AV47" s="38">
        <f>IF(ISNA(VLOOKUP(A47,[2]AVANCE!$A$6:$E$122,4,0))=TRUE,0,VLOOKUP(A47,[2]AVANCE!$A$6:$E$122,4,0))</f>
        <v>0</v>
      </c>
      <c r="AW47" s="38">
        <f>IF(ISNA(VLOOKUP(A47,[2]AVANCE!$A$6:$E$122,5,0))=TRUE,0,VLOOKUP(A47,[2]AVANCE!$A$6:$E$122,5,0))</f>
        <v>0</v>
      </c>
      <c r="AX47" s="38">
        <f>+AV47+AW47</f>
        <v>0</v>
      </c>
      <c r="AY47" s="57"/>
      <c r="AZ47" s="58">
        <f>+AO47+AN47+AU47+AX47+AY47</f>
        <v>1549.2644965937254</v>
      </c>
      <c r="BA47" s="38">
        <f>+AJ47-AZ47</f>
        <v>75913.960333092546</v>
      </c>
      <c r="BB47" s="117"/>
      <c r="BC47" s="118"/>
      <c r="BD47" s="59">
        <f>+BA47+BB47+BC47</f>
        <v>75913.960333092546</v>
      </c>
      <c r="BE47" s="60">
        <f>IF(BD47-INT(BD47/100)*100&gt;0,INT(BD47/100)*100+100,INT(BD47/100)*100)</f>
        <v>76000</v>
      </c>
      <c r="BF47" s="61"/>
      <c r="BG47" s="61"/>
      <c r="BH47" s="62">
        <f>IF(BF47=0,0,I47/2)</f>
        <v>0</v>
      </c>
      <c r="BI47" s="62">
        <f>IF(BF47=0,0,+IF(BF47-J47&lt;30,J47-BF47,30))</f>
        <v>0</v>
      </c>
      <c r="BJ47" s="62">
        <f>+BI47*BH47/30</f>
        <v>0</v>
      </c>
      <c r="BK47" s="63">
        <f>+BD47+AX47+AY47</f>
        <v>75913.960333092546</v>
      </c>
      <c r="BL47" s="48">
        <f>+L47-N47</f>
        <v>0</v>
      </c>
      <c r="BN47" s="49"/>
      <c r="BO47" s="49"/>
    </row>
    <row r="48" spans="1:67" s="18" customFormat="1" ht="27.75" customHeight="1">
      <c r="A48" s="50" t="s">
        <v>108</v>
      </c>
      <c r="B48" s="51" t="s">
        <v>283</v>
      </c>
      <c r="C48" s="52"/>
      <c r="D48" s="53" t="s">
        <v>281</v>
      </c>
      <c r="E48" s="54">
        <v>41688</v>
      </c>
      <c r="F48" s="25">
        <v>42369</v>
      </c>
      <c r="G48" s="54" t="s">
        <v>220</v>
      </c>
      <c r="H48" s="55" t="s">
        <v>187</v>
      </c>
      <c r="I48" s="29">
        <v>136480</v>
      </c>
      <c r="J48" s="28">
        <v>42368</v>
      </c>
      <c r="K48" s="29">
        <v>0</v>
      </c>
      <c r="L48" s="29">
        <v>0</v>
      </c>
      <c r="M48" s="56">
        <v>0</v>
      </c>
      <c r="N48" s="33">
        <v>0</v>
      </c>
      <c r="O48" s="31">
        <v>787.39975768764782</v>
      </c>
      <c r="P48" s="32">
        <v>0</v>
      </c>
      <c r="Q48" s="33">
        <v>0</v>
      </c>
      <c r="R48" s="32">
        <v>0</v>
      </c>
      <c r="S48" s="33">
        <v>0</v>
      </c>
      <c r="T48" s="32">
        <v>0</v>
      </c>
      <c r="U48" s="33">
        <v>0</v>
      </c>
      <c r="V48" s="32">
        <v>0</v>
      </c>
      <c r="W48" s="33">
        <v>0</v>
      </c>
      <c r="X48" s="32">
        <v>0</v>
      </c>
      <c r="Y48" s="33">
        <v>0</v>
      </c>
      <c r="Z48" s="33">
        <v>0</v>
      </c>
      <c r="AA48" s="31">
        <v>0</v>
      </c>
      <c r="AB48" s="31">
        <v>0</v>
      </c>
      <c r="AC48" s="33">
        <v>0</v>
      </c>
      <c r="AD48" s="35"/>
      <c r="AE48" s="33">
        <v>0</v>
      </c>
      <c r="AF48" s="31">
        <v>14.25</v>
      </c>
      <c r="AG48" s="33">
        <v>78383.546659014857</v>
      </c>
      <c r="AH48" s="31">
        <v>0</v>
      </c>
      <c r="AI48" s="31">
        <v>0</v>
      </c>
      <c r="AJ48" s="36">
        <v>78383.546659014857</v>
      </c>
      <c r="AK48" s="33">
        <f>IF(ISNA(VLOOKUP(A48,[2]AVANTAGE!$A$5:$T$118,19,0))=TRUE,0,VLOOKUP(A48,[2]AVANTAGE!$A$5:$T$118,19,0))</f>
        <v>0</v>
      </c>
      <c r="AL48" s="33">
        <f>IF(ISNA(VLOOKUP(A48,[2]AVANTAGE!$A$5:$T$118,20,0))=TRUE,0,VLOOKUP(A48,[2]AVANTAGE!$A$5:$T$118,20,0))</f>
        <v>0</v>
      </c>
      <c r="AM48" s="37">
        <f>+AJ48+AL48</f>
        <v>78383.546659014857</v>
      </c>
      <c r="AN48" s="38">
        <f>IF(D48=0,0,(IF((AM48)*1%&gt;10641.07,10641.07,(AM48)*1%)))</f>
        <v>783.8354665901486</v>
      </c>
      <c r="AO48" s="33">
        <f>IF(D48=0,0,(IF((AM48)*1%&gt;10641.07,10641.07,(AM48)*1%)))</f>
        <v>783.8354665901486</v>
      </c>
      <c r="AP48" s="38"/>
      <c r="AQ48" s="38">
        <f>+INT((AJ48+AL48-AO48-AN48-AP48)/100)*100</f>
        <v>76800</v>
      </c>
      <c r="AR48" s="39">
        <f>IF(AQ48=0,0,IF(AQ48&lt;=250000,0,(AQ48-250000)*20%))</f>
        <v>0</v>
      </c>
      <c r="AS48" s="40">
        <f>VLOOKUP(A48,'[2]Liste personnel'!$B$3:$R$187,16,0)</f>
        <v>0</v>
      </c>
      <c r="AT48" s="38">
        <f>+AS48*2000</f>
        <v>0</v>
      </c>
      <c r="AU48" s="38">
        <f>+IF(AR48=0,0,IF(AR48-AT48&lt;200,200,AR48-AT48))</f>
        <v>0</v>
      </c>
      <c r="AV48" s="38">
        <f>IF(ISNA(VLOOKUP(A48,[2]AVANCE!$A$6:$E$122,4,0))=TRUE,0,VLOOKUP(A48,[2]AVANCE!$A$6:$E$122,4,0))</f>
        <v>0</v>
      </c>
      <c r="AW48" s="38">
        <f>IF(ISNA(VLOOKUP(A48,[2]AVANCE!$A$6:$E$122,5,0))=TRUE,0,VLOOKUP(A48,[2]AVANCE!$A$6:$E$122,5,0))</f>
        <v>0</v>
      </c>
      <c r="AX48" s="38">
        <f>+AV48+AW48</f>
        <v>0</v>
      </c>
      <c r="AY48" s="57"/>
      <c r="AZ48" s="58">
        <f>+AO48+AN48+AU48+AX48+AY48</f>
        <v>1567.6709331802972</v>
      </c>
      <c r="BA48" s="38">
        <f>+AJ48-AZ48</f>
        <v>76815.875725834558</v>
      </c>
      <c r="BB48" s="117"/>
      <c r="BC48" s="118"/>
      <c r="BD48" s="59">
        <f>+BA48+BB48+BC48</f>
        <v>76815.875725834558</v>
      </c>
      <c r="BE48" s="60">
        <f>IF(BD48-INT(BD48/100)*100&gt;0,INT(BD48/100)*100+100,INT(BD48/100)*100)</f>
        <v>76900</v>
      </c>
      <c r="BF48" s="61"/>
      <c r="BG48" s="61"/>
      <c r="BH48" s="62">
        <f>IF(BF48=0,0,I48/2)</f>
        <v>0</v>
      </c>
      <c r="BI48" s="62">
        <f>IF(BF48=0,0,+IF(BF48-J48&lt;30,J48-BF48,30))</f>
        <v>0</v>
      </c>
      <c r="BJ48" s="62">
        <f>+BI48*BH48/30</f>
        <v>0</v>
      </c>
      <c r="BK48" s="63">
        <f>+BD48+AX48+AY48</f>
        <v>76815.875725834558</v>
      </c>
      <c r="BL48" s="48">
        <f>+L48-N48</f>
        <v>0</v>
      </c>
      <c r="BN48" s="49"/>
      <c r="BO48" s="49"/>
    </row>
    <row r="49" spans="1:67" s="18" customFormat="1" ht="27.75" customHeight="1">
      <c r="A49" s="50" t="s">
        <v>109</v>
      </c>
      <c r="B49" s="51" t="s">
        <v>284</v>
      </c>
      <c r="C49" s="52"/>
      <c r="D49" s="53" t="s">
        <v>224</v>
      </c>
      <c r="E49" s="54">
        <v>41694</v>
      </c>
      <c r="F49" s="25">
        <v>42369</v>
      </c>
      <c r="G49" s="54" t="s">
        <v>201</v>
      </c>
      <c r="H49" s="55" t="s">
        <v>183</v>
      </c>
      <c r="I49" s="29">
        <v>220000</v>
      </c>
      <c r="J49" s="28">
        <v>42368</v>
      </c>
      <c r="K49" s="29">
        <v>0</v>
      </c>
      <c r="L49" s="29">
        <v>0</v>
      </c>
      <c r="M49" s="56">
        <v>0</v>
      </c>
      <c r="N49" s="33">
        <v>0</v>
      </c>
      <c r="O49" s="31">
        <v>1269.255177984192</v>
      </c>
      <c r="P49" s="32">
        <v>0</v>
      </c>
      <c r="Q49" s="33">
        <v>0</v>
      </c>
      <c r="R49" s="32">
        <v>0</v>
      </c>
      <c r="S49" s="33">
        <v>0</v>
      </c>
      <c r="T49" s="32">
        <v>0</v>
      </c>
      <c r="U49" s="33">
        <v>0</v>
      </c>
      <c r="V49" s="32">
        <v>0</v>
      </c>
      <c r="W49" s="33">
        <v>0</v>
      </c>
      <c r="X49" s="32">
        <v>0</v>
      </c>
      <c r="Y49" s="33">
        <v>0</v>
      </c>
      <c r="Z49" s="33">
        <v>0</v>
      </c>
      <c r="AA49" s="31">
        <v>0</v>
      </c>
      <c r="AB49" s="31">
        <v>0</v>
      </c>
      <c r="AC49" s="33">
        <v>0</v>
      </c>
      <c r="AD49" s="35"/>
      <c r="AE49" s="33">
        <v>0</v>
      </c>
      <c r="AF49" s="31">
        <v>18.25</v>
      </c>
      <c r="AG49" s="33">
        <v>167420.81504452325</v>
      </c>
      <c r="AH49" s="31">
        <v>0</v>
      </c>
      <c r="AI49" s="31">
        <v>0</v>
      </c>
      <c r="AJ49" s="36">
        <v>167420.81504452325</v>
      </c>
      <c r="AK49" s="33">
        <f>IF(ISNA(VLOOKUP(A49,[2]AVANTAGE!$A$5:$T$118,19,0))=TRUE,0,VLOOKUP(A49,[2]AVANTAGE!$A$5:$T$118,19,0))</f>
        <v>0</v>
      </c>
      <c r="AL49" s="33">
        <f>IF(ISNA(VLOOKUP(A49,[2]AVANTAGE!$A$5:$T$118,20,0))=TRUE,0,VLOOKUP(A49,[2]AVANTAGE!$A$5:$T$118,20,0))</f>
        <v>0</v>
      </c>
      <c r="AM49" s="37">
        <f>+AJ49+AL49</f>
        <v>167420.81504452325</v>
      </c>
      <c r="AN49" s="38">
        <f>IF(D49=0,0,(IF((AM49)*1%&gt;10641.07,10641.07,(AM49)*1%)))</f>
        <v>1674.2081504452326</v>
      </c>
      <c r="AO49" s="33">
        <f>IF(D49=0,0,(IF((AM49)*1%&gt;10641.07,10641.07,(AM49)*1%)))</f>
        <v>1674.2081504452326</v>
      </c>
      <c r="AP49" s="38"/>
      <c r="AQ49" s="38">
        <f>+INT((AJ49+AL49-AO49-AN49-AP49)/100)*100</f>
        <v>164000</v>
      </c>
      <c r="AR49" s="39">
        <f>IF(AQ49=0,0,IF(AQ49&lt;=250000,0,(AQ49-250000)*20%))</f>
        <v>0</v>
      </c>
      <c r="AS49" s="40">
        <f>VLOOKUP(A49,'[2]Liste personnel'!$B$3:$R$187,16,0)</f>
        <v>0</v>
      </c>
      <c r="AT49" s="38">
        <f>+AS49*2000</f>
        <v>0</v>
      </c>
      <c r="AU49" s="38">
        <f>+IF(AR49=0,0,IF(AR49-AT49&lt;200,200,AR49-AT49))</f>
        <v>0</v>
      </c>
      <c r="AV49" s="38">
        <f>IF(ISNA(VLOOKUP(A49,[2]AVANCE!$A$6:$E$122,4,0))=TRUE,0,VLOOKUP(A49,[2]AVANCE!$A$6:$E$122,4,0))</f>
        <v>0</v>
      </c>
      <c r="AW49" s="38">
        <f>IF(ISNA(VLOOKUP(A49,[2]AVANCE!$A$6:$E$122,5,0))=TRUE,0,VLOOKUP(A49,[2]AVANCE!$A$6:$E$122,5,0))</f>
        <v>0</v>
      </c>
      <c r="AX49" s="38">
        <f>+AV49+AW49</f>
        <v>0</v>
      </c>
      <c r="AY49" s="57"/>
      <c r="AZ49" s="58">
        <f>+AO49+AN49+AU49+AX49+AY49</f>
        <v>3348.4163008904652</v>
      </c>
      <c r="BA49" s="38">
        <f>+AJ49-AZ49</f>
        <v>164072.39874363277</v>
      </c>
      <c r="BB49" s="117"/>
      <c r="BC49" s="118"/>
      <c r="BD49" s="59">
        <f>+BA49+BB49+BC49</f>
        <v>164072.39874363277</v>
      </c>
      <c r="BE49" s="60">
        <f>IF(BD49-INT(BD49/100)*100&gt;0,INT(BD49/100)*100+100,INT(BD49/100)*100)</f>
        <v>164100</v>
      </c>
      <c r="BF49" s="61"/>
      <c r="BG49" s="61"/>
      <c r="BH49" s="62">
        <f>IF(BF49=0,0,I49/2)</f>
        <v>0</v>
      </c>
      <c r="BI49" s="62">
        <f>IF(BF49=0,0,+IF(BF49-J49&lt;30,J49-BF49,30))</f>
        <v>0</v>
      </c>
      <c r="BJ49" s="62">
        <f>+BI49*BH49/30</f>
        <v>0</v>
      </c>
      <c r="BK49" s="63">
        <f>+BD49+AX49+AY49</f>
        <v>164072.39874363277</v>
      </c>
      <c r="BL49" s="48">
        <f>+L49-N49</f>
        <v>0</v>
      </c>
      <c r="BN49" s="49"/>
      <c r="BO49" s="49"/>
    </row>
    <row r="50" spans="1:67" s="18" customFormat="1" ht="27.75" customHeight="1">
      <c r="A50" s="50" t="s">
        <v>110</v>
      </c>
      <c r="B50" s="51" t="s">
        <v>285</v>
      </c>
      <c r="C50" s="52"/>
      <c r="D50" s="53" t="s">
        <v>224</v>
      </c>
      <c r="E50" s="54">
        <v>41694</v>
      </c>
      <c r="F50" s="25">
        <v>42369</v>
      </c>
      <c r="G50" s="54" t="s">
        <v>215</v>
      </c>
      <c r="H50" s="55" t="s">
        <v>187</v>
      </c>
      <c r="I50" s="29">
        <v>136480</v>
      </c>
      <c r="J50" s="28">
        <v>42368</v>
      </c>
      <c r="K50" s="29">
        <v>0</v>
      </c>
      <c r="L50" s="29">
        <v>0</v>
      </c>
      <c r="M50" s="56">
        <v>0</v>
      </c>
      <c r="N50" s="33">
        <v>0</v>
      </c>
      <c r="O50" s="31">
        <v>787.39975768764782</v>
      </c>
      <c r="P50" s="32">
        <v>0</v>
      </c>
      <c r="Q50" s="33">
        <v>0</v>
      </c>
      <c r="R50" s="32">
        <v>0</v>
      </c>
      <c r="S50" s="33">
        <v>0</v>
      </c>
      <c r="T50" s="32">
        <v>0</v>
      </c>
      <c r="U50" s="33">
        <v>0</v>
      </c>
      <c r="V50" s="32">
        <v>0</v>
      </c>
      <c r="W50" s="33">
        <v>0</v>
      </c>
      <c r="X50" s="32">
        <v>0</v>
      </c>
      <c r="Y50" s="33">
        <v>0</v>
      </c>
      <c r="Z50" s="33">
        <v>0</v>
      </c>
      <c r="AA50" s="31">
        <v>0</v>
      </c>
      <c r="AB50" s="31">
        <v>0</v>
      </c>
      <c r="AC50" s="33">
        <v>0</v>
      </c>
      <c r="AD50" s="35"/>
      <c r="AE50" s="33">
        <v>0</v>
      </c>
      <c r="AF50" s="31">
        <v>13.25</v>
      </c>
      <c r="AG50" s="33">
        <v>74675.042998490331</v>
      </c>
      <c r="AH50" s="31">
        <v>0</v>
      </c>
      <c r="AI50" s="31">
        <v>0</v>
      </c>
      <c r="AJ50" s="36">
        <v>74675.042998490331</v>
      </c>
      <c r="AK50" s="33">
        <f>IF(ISNA(VLOOKUP(A50,[2]AVANTAGE!$A$5:$T$118,19,0))=TRUE,0,VLOOKUP(A50,[2]AVANTAGE!$A$5:$T$118,19,0))</f>
        <v>0</v>
      </c>
      <c r="AL50" s="33">
        <f>IF(ISNA(VLOOKUP(A50,[2]AVANTAGE!$A$5:$T$118,20,0))=TRUE,0,VLOOKUP(A50,[2]AVANTAGE!$A$5:$T$118,20,0))</f>
        <v>0</v>
      </c>
      <c r="AM50" s="37">
        <f>+AJ50+AL50</f>
        <v>74675.042998490331</v>
      </c>
      <c r="AN50" s="38">
        <f>IF(D50=0,0,(IF((AM50)*1%&gt;10641.07,10641.07,(AM50)*1%)))</f>
        <v>746.75042998490335</v>
      </c>
      <c r="AO50" s="33">
        <f>IF(D50=0,0,(IF((AM50)*1%&gt;10641.07,10641.07,(AM50)*1%)))</f>
        <v>746.75042998490335</v>
      </c>
      <c r="AP50" s="38"/>
      <c r="AQ50" s="38">
        <f>+INT((AJ50+AL50-AO50-AN50-AP50)/100)*100</f>
        <v>73100</v>
      </c>
      <c r="AR50" s="39">
        <f>IF(AQ50=0,0,IF(AQ50&lt;=250000,0,(AQ50-250000)*20%))</f>
        <v>0</v>
      </c>
      <c r="AS50" s="40">
        <f>VLOOKUP(A50,'[2]Liste personnel'!$B$3:$R$187,16,0)</f>
        <v>0</v>
      </c>
      <c r="AT50" s="38">
        <f>+AS50*2000</f>
        <v>0</v>
      </c>
      <c r="AU50" s="38">
        <f>+IF(AR50=0,0,IF(AR50-AT50&lt;200,200,AR50-AT50))</f>
        <v>0</v>
      </c>
      <c r="AV50" s="38">
        <f>IF(ISNA(VLOOKUP(A50,[2]AVANCE!$A$6:$E$122,4,0))=TRUE,0,VLOOKUP(A50,[2]AVANCE!$A$6:$E$122,4,0))</f>
        <v>0</v>
      </c>
      <c r="AW50" s="38">
        <f>IF(ISNA(VLOOKUP(A50,[2]AVANCE!$A$6:$E$122,5,0))=TRUE,0,VLOOKUP(A50,[2]AVANCE!$A$6:$E$122,5,0))</f>
        <v>0</v>
      </c>
      <c r="AX50" s="38">
        <f>+AV50+AW50</f>
        <v>0</v>
      </c>
      <c r="AY50" s="57"/>
      <c r="AZ50" s="58">
        <f>+AO50+AN50+AU50+AX50+AY50</f>
        <v>1493.5008599698067</v>
      </c>
      <c r="BA50" s="38">
        <f>+AJ50-AZ50</f>
        <v>73181.542138520526</v>
      </c>
      <c r="BB50" s="117"/>
      <c r="BC50" s="118"/>
      <c r="BD50" s="59">
        <f>+BA50+BB50+BC50</f>
        <v>73181.542138520526</v>
      </c>
      <c r="BE50" s="60">
        <f>IF(BD50-INT(BD50/100)*100&gt;0,INT(BD50/100)*100+100,INT(BD50/100)*100)</f>
        <v>73200</v>
      </c>
      <c r="BF50" s="61"/>
      <c r="BG50" s="61"/>
      <c r="BH50" s="62">
        <f>IF(BF50=0,0,I50/2)</f>
        <v>0</v>
      </c>
      <c r="BI50" s="62">
        <f>IF(BF50=0,0,+IF(BF50-J50&lt;30,J50-BF50,30))</f>
        <v>0</v>
      </c>
      <c r="BJ50" s="62">
        <f>+BI50*BH50/30</f>
        <v>0</v>
      </c>
      <c r="BK50" s="63">
        <f>+BD50+AX50+AY50</f>
        <v>73181.542138520526</v>
      </c>
      <c r="BL50" s="48">
        <f>+L50-N50</f>
        <v>0</v>
      </c>
      <c r="BN50" s="49"/>
      <c r="BO50" s="49"/>
    </row>
    <row r="51" spans="1:67" s="18" customFormat="1" ht="27.75" customHeight="1">
      <c r="A51" s="50" t="s">
        <v>111</v>
      </c>
      <c r="B51" s="51" t="s">
        <v>286</v>
      </c>
      <c r="C51" s="52"/>
      <c r="D51" s="53" t="s">
        <v>287</v>
      </c>
      <c r="E51" s="54">
        <v>41710</v>
      </c>
      <c r="F51" s="25">
        <v>42369</v>
      </c>
      <c r="G51" s="54" t="s">
        <v>215</v>
      </c>
      <c r="H51" s="55" t="s">
        <v>187</v>
      </c>
      <c r="I51" s="29">
        <v>136480</v>
      </c>
      <c r="J51" s="28">
        <v>42368</v>
      </c>
      <c r="K51" s="29">
        <v>0</v>
      </c>
      <c r="L51" s="29">
        <v>0</v>
      </c>
      <c r="M51" s="56">
        <v>0</v>
      </c>
      <c r="N51" s="33">
        <v>0</v>
      </c>
      <c r="O51" s="31">
        <v>787.39975768764782</v>
      </c>
      <c r="P51" s="32">
        <v>0</v>
      </c>
      <c r="Q51" s="33">
        <v>0</v>
      </c>
      <c r="R51" s="32">
        <v>0</v>
      </c>
      <c r="S51" s="33">
        <v>0</v>
      </c>
      <c r="T51" s="32">
        <v>0</v>
      </c>
      <c r="U51" s="33">
        <v>0</v>
      </c>
      <c r="V51" s="32">
        <v>0</v>
      </c>
      <c r="W51" s="33">
        <v>0</v>
      </c>
      <c r="X51" s="32">
        <v>0</v>
      </c>
      <c r="Y51" s="33">
        <v>0</v>
      </c>
      <c r="Z51" s="33">
        <v>0</v>
      </c>
      <c r="AA51" s="31">
        <v>0</v>
      </c>
      <c r="AB51" s="31">
        <v>0</v>
      </c>
      <c r="AC51" s="33">
        <v>0</v>
      </c>
      <c r="AD51" s="35"/>
      <c r="AE51" s="33">
        <v>0</v>
      </c>
      <c r="AF51" s="31">
        <v>20.916666666666664</v>
      </c>
      <c r="AG51" s="33">
        <v>121304.45534683659</v>
      </c>
      <c r="AH51" s="31">
        <v>0</v>
      </c>
      <c r="AI51" s="31">
        <v>0</v>
      </c>
      <c r="AJ51" s="36">
        <v>121304.45534683659</v>
      </c>
      <c r="AK51" s="33">
        <f>IF(ISNA(VLOOKUP(A51,[2]AVANTAGE!$A$5:$T$118,19,0))=TRUE,0,VLOOKUP(A51,[2]AVANTAGE!$A$5:$T$118,19,0))</f>
        <v>0</v>
      </c>
      <c r="AL51" s="33">
        <f>IF(ISNA(VLOOKUP(A51,[2]AVANTAGE!$A$5:$T$118,20,0))=TRUE,0,VLOOKUP(A51,[2]AVANTAGE!$A$5:$T$118,20,0))</f>
        <v>0</v>
      </c>
      <c r="AM51" s="37">
        <f>+AJ51+AL51</f>
        <v>121304.45534683659</v>
      </c>
      <c r="AN51" s="38">
        <f>IF(D51=0,0,(IF((AM51)*1%&gt;10641.07,10641.07,(AM51)*1%)))</f>
        <v>1213.0445534683658</v>
      </c>
      <c r="AO51" s="33">
        <f>IF(D51=0,0,(IF((AM51)*1%&gt;10641.07,10641.07,(AM51)*1%)))</f>
        <v>1213.0445534683658</v>
      </c>
      <c r="AP51" s="38"/>
      <c r="AQ51" s="38">
        <f>+INT((AJ51+AL51-AO51-AN51-AP51)/100)*100</f>
        <v>118800</v>
      </c>
      <c r="AR51" s="39">
        <f>IF(AQ51=0,0,IF(AQ51&lt;=250000,0,(AQ51-250000)*20%))</f>
        <v>0</v>
      </c>
      <c r="AS51" s="40">
        <f>VLOOKUP(A51,'[2]Liste personnel'!$B$3:$R$187,16,0)</f>
        <v>0</v>
      </c>
      <c r="AT51" s="38">
        <f>+AS51*2000</f>
        <v>0</v>
      </c>
      <c r="AU51" s="38">
        <f>+IF(AR51=0,0,IF(AR51-AT51&lt;200,200,AR51-AT51))</f>
        <v>0</v>
      </c>
      <c r="AV51" s="38">
        <f>IF(ISNA(VLOOKUP(A51,[2]AVANCE!$A$6:$E$122,4,0))=TRUE,0,VLOOKUP(A51,[2]AVANCE!$A$6:$E$122,4,0))</f>
        <v>0</v>
      </c>
      <c r="AW51" s="38">
        <f>IF(ISNA(VLOOKUP(A51,[2]AVANCE!$A$6:$E$122,5,0))=TRUE,0,VLOOKUP(A51,[2]AVANCE!$A$6:$E$122,5,0))</f>
        <v>0</v>
      </c>
      <c r="AX51" s="38">
        <f>+AV51+AW51</f>
        <v>0</v>
      </c>
      <c r="AY51" s="57"/>
      <c r="AZ51" s="58">
        <f>+AO51+AN51+AU51+AX51+AY51</f>
        <v>2426.0891069367317</v>
      </c>
      <c r="BA51" s="38">
        <f>+AJ51-AZ51</f>
        <v>118878.36623989986</v>
      </c>
      <c r="BB51" s="117"/>
      <c r="BC51" s="118"/>
      <c r="BD51" s="59">
        <f>+BA51+BB51+BC51</f>
        <v>118878.36623989986</v>
      </c>
      <c r="BE51" s="60">
        <f>IF(BD51-INT(BD51/100)*100&gt;0,INT(BD51/100)*100+100,INT(BD51/100)*100)</f>
        <v>118900</v>
      </c>
      <c r="BF51" s="61"/>
      <c r="BG51" s="61"/>
      <c r="BH51" s="62">
        <f>IF(BF51=0,0,I51/2)</f>
        <v>0</v>
      </c>
      <c r="BI51" s="62">
        <f>IF(BF51=0,0,+IF(BF51-J51&lt;30,J51-BF51,30))</f>
        <v>0</v>
      </c>
      <c r="BJ51" s="62">
        <f>+BI51*BH51/30</f>
        <v>0</v>
      </c>
      <c r="BK51" s="63">
        <f>+BD51+AX51+AY51</f>
        <v>118878.36623989986</v>
      </c>
      <c r="BL51" s="48">
        <f>+L51-N51</f>
        <v>0</v>
      </c>
      <c r="BN51" s="49"/>
      <c r="BO51" s="49"/>
    </row>
    <row r="52" spans="1:67" s="18" customFormat="1" ht="27.75" customHeight="1">
      <c r="A52" s="50" t="s">
        <v>112</v>
      </c>
      <c r="B52" s="51" t="s">
        <v>288</v>
      </c>
      <c r="C52" s="52"/>
      <c r="D52" s="53" t="s">
        <v>224</v>
      </c>
      <c r="E52" s="54">
        <v>41716</v>
      </c>
      <c r="F52" s="25">
        <v>42369</v>
      </c>
      <c r="G52" s="54" t="s">
        <v>201</v>
      </c>
      <c r="H52" s="55" t="s">
        <v>183</v>
      </c>
      <c r="I52" s="29">
        <v>220000</v>
      </c>
      <c r="J52" s="28">
        <v>42368</v>
      </c>
      <c r="K52" s="29">
        <v>0</v>
      </c>
      <c r="L52" s="29">
        <v>0</v>
      </c>
      <c r="M52" s="56">
        <v>0</v>
      </c>
      <c r="N52" s="33">
        <v>0</v>
      </c>
      <c r="O52" s="31">
        <v>1269.255177984192</v>
      </c>
      <c r="P52" s="32">
        <v>0</v>
      </c>
      <c r="Q52" s="33">
        <v>0</v>
      </c>
      <c r="R52" s="32">
        <v>0</v>
      </c>
      <c r="S52" s="33">
        <v>0</v>
      </c>
      <c r="T52" s="32">
        <v>0</v>
      </c>
      <c r="U52" s="33">
        <v>0</v>
      </c>
      <c r="V52" s="32">
        <v>0</v>
      </c>
      <c r="W52" s="33">
        <v>0</v>
      </c>
      <c r="X52" s="32">
        <v>0</v>
      </c>
      <c r="Y52" s="33">
        <v>0</v>
      </c>
      <c r="Z52" s="33">
        <v>0</v>
      </c>
      <c r="AA52" s="31">
        <v>0</v>
      </c>
      <c r="AB52" s="31">
        <v>0</v>
      </c>
      <c r="AC52" s="33">
        <v>0</v>
      </c>
      <c r="AD52" s="35"/>
      <c r="AE52" s="33">
        <v>0</v>
      </c>
      <c r="AF52" s="31">
        <v>16.916666666666664</v>
      </c>
      <c r="AG52" s="33">
        <v>111604.54114925377</v>
      </c>
      <c r="AH52" s="31">
        <v>0</v>
      </c>
      <c r="AI52" s="31">
        <v>0</v>
      </c>
      <c r="AJ52" s="36">
        <v>111604.54114925377</v>
      </c>
      <c r="AK52" s="33">
        <f>IF(ISNA(VLOOKUP(A52,[2]AVANTAGE!$A$5:$T$118,19,0))=TRUE,0,VLOOKUP(A52,[2]AVANTAGE!$A$5:$T$118,19,0))</f>
        <v>0</v>
      </c>
      <c r="AL52" s="33">
        <f>IF(ISNA(VLOOKUP(A52,[2]AVANTAGE!$A$5:$T$118,20,0))=TRUE,0,VLOOKUP(A52,[2]AVANTAGE!$A$5:$T$118,20,0))</f>
        <v>0</v>
      </c>
      <c r="AM52" s="37">
        <f>+AJ52+AL52</f>
        <v>111604.54114925377</v>
      </c>
      <c r="AN52" s="38">
        <f>IF(D52=0,0,(IF((AM52)*1%&gt;10641.07,10641.07,(AM52)*1%)))</f>
        <v>1116.0454114925376</v>
      </c>
      <c r="AO52" s="33">
        <f>IF(D52=0,0,(IF((AM52)*1%&gt;10641.07,10641.07,(AM52)*1%)))</f>
        <v>1116.0454114925376</v>
      </c>
      <c r="AP52" s="38"/>
      <c r="AQ52" s="38">
        <f>+INT((AJ52+AL52-AO52-AN52-AP52)/100)*100</f>
        <v>109300</v>
      </c>
      <c r="AR52" s="39">
        <f>IF(AQ52=0,0,IF(AQ52&lt;=250000,0,(AQ52-250000)*20%))</f>
        <v>0</v>
      </c>
      <c r="AS52" s="40">
        <f>VLOOKUP(A52,'[2]Liste personnel'!$B$3:$R$187,16,0)</f>
        <v>0</v>
      </c>
      <c r="AT52" s="38">
        <f>+AS52*2000</f>
        <v>0</v>
      </c>
      <c r="AU52" s="38">
        <f>+IF(AR52=0,0,IF(AR52-AT52&lt;200,200,AR52-AT52))</f>
        <v>0</v>
      </c>
      <c r="AV52" s="38">
        <f>IF(ISNA(VLOOKUP(A52,[2]AVANCE!$A$6:$E$122,4,0))=TRUE,0,VLOOKUP(A52,[2]AVANCE!$A$6:$E$122,4,0))</f>
        <v>0</v>
      </c>
      <c r="AW52" s="38">
        <f>IF(ISNA(VLOOKUP(A52,[2]AVANCE!$A$6:$E$122,5,0))=TRUE,0,VLOOKUP(A52,[2]AVANCE!$A$6:$E$122,5,0))</f>
        <v>0</v>
      </c>
      <c r="AX52" s="38">
        <f>+AV52+AW52</f>
        <v>0</v>
      </c>
      <c r="AY52" s="57"/>
      <c r="AZ52" s="58">
        <f>+AO52+AN52+AU52+AX52+AY52</f>
        <v>2232.0908229850752</v>
      </c>
      <c r="BA52" s="38">
        <f>+AJ52-AZ52</f>
        <v>109372.45032626869</v>
      </c>
      <c r="BB52" s="117"/>
      <c r="BC52" s="118"/>
      <c r="BD52" s="59">
        <f>+BA52+BB52+BC52</f>
        <v>109372.45032626869</v>
      </c>
      <c r="BE52" s="60">
        <f>IF(BD52-INT(BD52/100)*100&gt;0,INT(BD52/100)*100+100,INT(BD52/100)*100)</f>
        <v>109400</v>
      </c>
      <c r="BF52" s="61"/>
      <c r="BG52" s="61"/>
      <c r="BH52" s="62">
        <f>IF(BF52=0,0,I52/2)</f>
        <v>0</v>
      </c>
      <c r="BI52" s="62">
        <f>IF(BF52=0,0,+IF(BF52-J52&lt;30,J52-BF52,30))</f>
        <v>0</v>
      </c>
      <c r="BJ52" s="62">
        <f>+BI52*BH52/30</f>
        <v>0</v>
      </c>
      <c r="BK52" s="63">
        <f>+BD52+AX52+AY52</f>
        <v>109372.45032626869</v>
      </c>
      <c r="BL52" s="48">
        <f>+L52-N52</f>
        <v>0</v>
      </c>
      <c r="BN52" s="49"/>
      <c r="BO52" s="49"/>
    </row>
    <row r="53" spans="1:67" s="18" customFormat="1" ht="27" customHeight="1">
      <c r="A53" s="50" t="s">
        <v>113</v>
      </c>
      <c r="B53" s="51" t="s">
        <v>289</v>
      </c>
      <c r="C53" s="52"/>
      <c r="D53" s="53" t="s">
        <v>290</v>
      </c>
      <c r="E53" s="54">
        <v>41719</v>
      </c>
      <c r="F53" s="25">
        <v>42369</v>
      </c>
      <c r="G53" s="54" t="s">
        <v>215</v>
      </c>
      <c r="H53" s="55" t="s">
        <v>187</v>
      </c>
      <c r="I53" s="29">
        <v>136480</v>
      </c>
      <c r="J53" s="28">
        <v>42368</v>
      </c>
      <c r="K53" s="29">
        <v>0</v>
      </c>
      <c r="L53" s="29">
        <v>0</v>
      </c>
      <c r="M53" s="56">
        <v>0</v>
      </c>
      <c r="N53" s="33">
        <v>0</v>
      </c>
      <c r="O53" s="31">
        <v>787.39975768764782</v>
      </c>
      <c r="P53" s="32">
        <v>0</v>
      </c>
      <c r="Q53" s="33">
        <v>0</v>
      </c>
      <c r="R53" s="32">
        <v>0</v>
      </c>
      <c r="S53" s="33">
        <v>0</v>
      </c>
      <c r="T53" s="32">
        <v>0</v>
      </c>
      <c r="U53" s="33">
        <v>0</v>
      </c>
      <c r="V53" s="32">
        <v>0</v>
      </c>
      <c r="W53" s="33">
        <v>0</v>
      </c>
      <c r="X53" s="32">
        <v>0</v>
      </c>
      <c r="Y53" s="33">
        <v>0</v>
      </c>
      <c r="Z53" s="33">
        <v>0</v>
      </c>
      <c r="AA53" s="31">
        <v>0</v>
      </c>
      <c r="AB53" s="31">
        <v>0</v>
      </c>
      <c r="AC53" s="33">
        <v>0</v>
      </c>
      <c r="AD53" s="35"/>
      <c r="AE53" s="33">
        <v>0</v>
      </c>
      <c r="AF53" s="31">
        <v>21.166666666666671</v>
      </c>
      <c r="AG53" s="33">
        <v>124246.37766686319</v>
      </c>
      <c r="AH53" s="31">
        <v>0</v>
      </c>
      <c r="AI53" s="31">
        <v>0</v>
      </c>
      <c r="AJ53" s="36">
        <v>124246.37766686319</v>
      </c>
      <c r="AK53" s="33">
        <f>IF(ISNA(VLOOKUP(A53,[2]AVANTAGE!$A$5:$T$118,19,0))=TRUE,0,VLOOKUP(A53,[2]AVANTAGE!$A$5:$T$118,19,0))</f>
        <v>0</v>
      </c>
      <c r="AL53" s="33">
        <f>IF(ISNA(VLOOKUP(A53,[2]AVANTAGE!$A$5:$T$118,20,0))=TRUE,0,VLOOKUP(A53,[2]AVANTAGE!$A$5:$T$118,20,0))</f>
        <v>0</v>
      </c>
      <c r="AM53" s="37">
        <f>+AJ53+AL53</f>
        <v>124246.37766686319</v>
      </c>
      <c r="AN53" s="38">
        <f>IF(D53=0,0,(IF((AM53)*1%&gt;10641.07,10641.07,(AM53)*1%)))</f>
        <v>1242.4637766686319</v>
      </c>
      <c r="AO53" s="33">
        <f>IF(D53=0,0,(IF((AM53)*1%&gt;10641.07,10641.07,(AM53)*1%)))</f>
        <v>1242.4637766686319</v>
      </c>
      <c r="AP53" s="38"/>
      <c r="AQ53" s="38">
        <f>+INT((AJ53+AL53-AO53-AN53-AP53)/100)*100</f>
        <v>121700</v>
      </c>
      <c r="AR53" s="39">
        <f>IF(AQ53=0,0,IF(AQ53&lt;=250000,0,(AQ53-250000)*20%))</f>
        <v>0</v>
      </c>
      <c r="AS53" s="40">
        <f>VLOOKUP(A53,'[2]Liste personnel'!$B$3:$R$187,16,0)</f>
        <v>0</v>
      </c>
      <c r="AT53" s="38">
        <f>+AS53*2000</f>
        <v>0</v>
      </c>
      <c r="AU53" s="38">
        <f>+IF(AR53=0,0,IF(AR53-AT53&lt;200,200,AR53-AT53))</f>
        <v>0</v>
      </c>
      <c r="AV53" s="38">
        <f>IF(ISNA(VLOOKUP(A53,[2]AVANCE!$A$6:$E$122,4,0))=TRUE,0,VLOOKUP(A53,[2]AVANCE!$A$6:$E$122,4,0))</f>
        <v>0</v>
      </c>
      <c r="AW53" s="38">
        <f>IF(ISNA(VLOOKUP(A53,[2]AVANCE!$A$6:$E$122,5,0))=TRUE,0,VLOOKUP(A53,[2]AVANCE!$A$6:$E$122,5,0))</f>
        <v>0</v>
      </c>
      <c r="AX53" s="38">
        <f>+AV53+AW53</f>
        <v>0</v>
      </c>
      <c r="AY53" s="57"/>
      <c r="AZ53" s="58">
        <f>+AO53+AN53+AU53+AX53+AY53</f>
        <v>2484.9275533372638</v>
      </c>
      <c r="BA53" s="38">
        <f>+AJ53-AZ53</f>
        <v>121761.45011352593</v>
      </c>
      <c r="BB53" s="117"/>
      <c r="BC53" s="118"/>
      <c r="BD53" s="59">
        <f>+BA53+BB53+BC53</f>
        <v>121761.45011352593</v>
      </c>
      <c r="BE53" s="60">
        <f>IF(BD53-INT(BD53/100)*100&gt;0,INT(BD53/100)*100+100,INT(BD53/100)*100)</f>
        <v>121800</v>
      </c>
      <c r="BF53" s="61"/>
      <c r="BG53" s="61"/>
      <c r="BH53" s="62">
        <f>IF(BF53=0,0,I53/2)</f>
        <v>0</v>
      </c>
      <c r="BI53" s="62">
        <f>IF(BF53=0,0,+IF(BF53-J53&lt;30,J53-BF53,30))</f>
        <v>0</v>
      </c>
      <c r="BJ53" s="62">
        <f>+BI53*BH53/30</f>
        <v>0</v>
      </c>
      <c r="BK53" s="63">
        <f>+BD53+AX53+AY53</f>
        <v>121761.45011352593</v>
      </c>
      <c r="BL53" s="48">
        <f>+L53-N53</f>
        <v>0</v>
      </c>
      <c r="BN53" s="49"/>
      <c r="BO53" s="49"/>
    </row>
    <row r="54" spans="1:67" s="18" customFormat="1" ht="27" customHeight="1">
      <c r="A54" s="50" t="s">
        <v>114</v>
      </c>
      <c r="B54" s="51" t="s">
        <v>291</v>
      </c>
      <c r="C54" s="52"/>
      <c r="D54" s="53" t="s">
        <v>290</v>
      </c>
      <c r="E54" s="54">
        <v>41719</v>
      </c>
      <c r="F54" s="25">
        <v>42369</v>
      </c>
      <c r="G54" s="54" t="s">
        <v>215</v>
      </c>
      <c r="H54" s="55" t="s">
        <v>187</v>
      </c>
      <c r="I54" s="29">
        <v>136480</v>
      </c>
      <c r="J54" s="28">
        <v>42368</v>
      </c>
      <c r="K54" s="29">
        <v>0</v>
      </c>
      <c r="L54" s="29">
        <v>0</v>
      </c>
      <c r="M54" s="56">
        <v>0</v>
      </c>
      <c r="N54" s="33">
        <v>0</v>
      </c>
      <c r="O54" s="31">
        <v>787.39975768764782</v>
      </c>
      <c r="P54" s="32">
        <v>0</v>
      </c>
      <c r="Q54" s="33">
        <v>0</v>
      </c>
      <c r="R54" s="32">
        <v>0</v>
      </c>
      <c r="S54" s="33">
        <v>0</v>
      </c>
      <c r="T54" s="32">
        <v>0</v>
      </c>
      <c r="U54" s="33">
        <v>0</v>
      </c>
      <c r="V54" s="32">
        <v>0</v>
      </c>
      <c r="W54" s="33">
        <v>0</v>
      </c>
      <c r="X54" s="32">
        <v>0</v>
      </c>
      <c r="Y54" s="33">
        <v>0</v>
      </c>
      <c r="Z54" s="33">
        <v>0</v>
      </c>
      <c r="AA54" s="31">
        <v>0</v>
      </c>
      <c r="AB54" s="31">
        <v>0</v>
      </c>
      <c r="AC54" s="33">
        <v>0</v>
      </c>
      <c r="AD54" s="35"/>
      <c r="AE54" s="33">
        <v>0</v>
      </c>
      <c r="AF54" s="31">
        <v>23.666666666666671</v>
      </c>
      <c r="AG54" s="33">
        <v>142328.16320931434</v>
      </c>
      <c r="AH54" s="31">
        <v>0</v>
      </c>
      <c r="AI54" s="31">
        <v>0</v>
      </c>
      <c r="AJ54" s="36">
        <v>142328.16320931434</v>
      </c>
      <c r="AK54" s="33">
        <f>IF(ISNA(VLOOKUP(A54,[2]AVANTAGE!$A$5:$T$118,19,0))=TRUE,0,VLOOKUP(A54,[2]AVANTAGE!$A$5:$T$118,19,0))</f>
        <v>0</v>
      </c>
      <c r="AL54" s="33">
        <f>IF(ISNA(VLOOKUP(A54,[2]AVANTAGE!$A$5:$T$118,20,0))=TRUE,0,VLOOKUP(A54,[2]AVANTAGE!$A$5:$T$118,20,0))</f>
        <v>0</v>
      </c>
      <c r="AM54" s="37">
        <f>+AJ54+AL54</f>
        <v>142328.16320931434</v>
      </c>
      <c r="AN54" s="38">
        <f>IF(D54=0,0,(IF((AM54)*1%&gt;10641.07,10641.07,(AM54)*1%)))</f>
        <v>1423.2816320931433</v>
      </c>
      <c r="AO54" s="33">
        <f>IF(D54=0,0,(IF((AM54)*1%&gt;10641.07,10641.07,(AM54)*1%)))</f>
        <v>1423.2816320931433</v>
      </c>
      <c r="AP54" s="38"/>
      <c r="AQ54" s="38">
        <f>+INT((AJ54+AL54-AO54-AN54-AP54)/100)*100</f>
        <v>139400</v>
      </c>
      <c r="AR54" s="39">
        <f>IF(AQ54=0,0,IF(AQ54&lt;=250000,0,(AQ54-250000)*20%))</f>
        <v>0</v>
      </c>
      <c r="AS54" s="40">
        <f>VLOOKUP(A54,'[2]Liste personnel'!$B$3:$R$187,16,0)</f>
        <v>0</v>
      </c>
      <c r="AT54" s="38">
        <f>+AS54*2000</f>
        <v>0</v>
      </c>
      <c r="AU54" s="38">
        <f>+IF(AR54=0,0,IF(AR54-AT54&lt;200,200,AR54-AT54))</f>
        <v>0</v>
      </c>
      <c r="AV54" s="38">
        <f>IF(ISNA(VLOOKUP(A54,[2]AVANCE!$A$6:$E$122,4,0))=TRUE,0,VLOOKUP(A54,[2]AVANCE!$A$6:$E$122,4,0))</f>
        <v>0</v>
      </c>
      <c r="AW54" s="38">
        <f>IF(ISNA(VLOOKUP(A54,[2]AVANCE!$A$6:$E$122,5,0))=TRUE,0,VLOOKUP(A54,[2]AVANCE!$A$6:$E$122,5,0))</f>
        <v>0</v>
      </c>
      <c r="AX54" s="38">
        <f>+AV54+AW54</f>
        <v>0</v>
      </c>
      <c r="AY54" s="57"/>
      <c r="AZ54" s="58">
        <f>+AO54+AN54+AU54+AX54+AY54</f>
        <v>2846.5632641862867</v>
      </c>
      <c r="BA54" s="38">
        <f>+AJ54-AZ54</f>
        <v>139481.59994512805</v>
      </c>
      <c r="BB54" s="117"/>
      <c r="BC54" s="118"/>
      <c r="BD54" s="59">
        <f>+BA54+BB54+BC54</f>
        <v>139481.59994512805</v>
      </c>
      <c r="BE54" s="60">
        <f>IF(BD54-INT(BD54/100)*100&gt;0,INT(BD54/100)*100+100,INT(BD54/100)*100)</f>
        <v>139500</v>
      </c>
      <c r="BF54" s="61"/>
      <c r="BG54" s="61"/>
      <c r="BH54" s="62">
        <f>IF(BF54=0,0,I54/2)</f>
        <v>0</v>
      </c>
      <c r="BI54" s="62">
        <f>IF(BF54=0,0,+IF(BF54-J54&lt;30,J54-BF54,30))</f>
        <v>0</v>
      </c>
      <c r="BJ54" s="62">
        <f>+BI54*BH54/30</f>
        <v>0</v>
      </c>
      <c r="BK54" s="63">
        <f>+BD54+AX54+AY54</f>
        <v>139481.59994512805</v>
      </c>
      <c r="BL54" s="48">
        <f>+L54-N54</f>
        <v>0</v>
      </c>
      <c r="BM54" s="19"/>
      <c r="BN54" s="49"/>
      <c r="BO54" s="49"/>
    </row>
    <row r="55" spans="1:67" s="18" customFormat="1" ht="27" customHeight="1">
      <c r="A55" s="50" t="s">
        <v>115</v>
      </c>
      <c r="B55" s="51" t="s">
        <v>292</v>
      </c>
      <c r="C55" s="52"/>
      <c r="D55" s="53" t="s">
        <v>290</v>
      </c>
      <c r="E55" s="54">
        <v>41719</v>
      </c>
      <c r="F55" s="25">
        <v>42369</v>
      </c>
      <c r="G55" s="54" t="s">
        <v>192</v>
      </c>
      <c r="H55" s="55" t="s">
        <v>293</v>
      </c>
      <c r="I55" s="29">
        <v>300000</v>
      </c>
      <c r="J55" s="28">
        <v>42368</v>
      </c>
      <c r="K55" s="29">
        <v>0</v>
      </c>
      <c r="L55" s="29">
        <v>0</v>
      </c>
      <c r="M55" s="56">
        <v>0</v>
      </c>
      <c r="N55" s="33">
        <v>0</v>
      </c>
      <c r="O55" s="31">
        <v>1730.8025154329889</v>
      </c>
      <c r="P55" s="32">
        <v>0</v>
      </c>
      <c r="Q55" s="33">
        <v>0</v>
      </c>
      <c r="R55" s="32">
        <v>0</v>
      </c>
      <c r="S55" s="33">
        <v>0</v>
      </c>
      <c r="T55" s="32">
        <v>0</v>
      </c>
      <c r="U55" s="33">
        <v>0</v>
      </c>
      <c r="V55" s="32">
        <v>0</v>
      </c>
      <c r="W55" s="33">
        <v>0</v>
      </c>
      <c r="X55" s="32">
        <v>0</v>
      </c>
      <c r="Y55" s="33">
        <v>0</v>
      </c>
      <c r="Z55" s="33">
        <v>0</v>
      </c>
      <c r="AA55" s="31">
        <v>0</v>
      </c>
      <c r="AB55" s="31">
        <v>0</v>
      </c>
      <c r="AC55" s="33">
        <v>0</v>
      </c>
      <c r="AD55" s="35"/>
      <c r="AE55" s="33">
        <v>0</v>
      </c>
      <c r="AF55" s="31">
        <v>23.166666666666671</v>
      </c>
      <c r="AG55" s="33">
        <v>348530.18198122946</v>
      </c>
      <c r="AH55" s="31">
        <v>0</v>
      </c>
      <c r="AI55" s="31">
        <v>0</v>
      </c>
      <c r="AJ55" s="36">
        <v>348530.18198122946</v>
      </c>
      <c r="AK55" s="33">
        <f>IF(ISNA(VLOOKUP(A55,[2]AVANTAGE!$A$5:$T$118,19,0))=TRUE,0,VLOOKUP(A55,[2]AVANTAGE!$A$5:$T$118,19,0))</f>
        <v>0</v>
      </c>
      <c r="AL55" s="33">
        <f>IF(ISNA(VLOOKUP(A55,[2]AVANTAGE!$A$5:$T$118,20,0))=TRUE,0,VLOOKUP(A55,[2]AVANTAGE!$A$5:$T$118,20,0))</f>
        <v>0</v>
      </c>
      <c r="AM55" s="37">
        <f>+AJ55+AL55</f>
        <v>348530.18198122946</v>
      </c>
      <c r="AN55" s="38">
        <f>IF(D55=0,0,(IF((AM55)*1%&gt;10641.07,10641.07,(AM55)*1%)))</f>
        <v>3485.3018198122945</v>
      </c>
      <c r="AO55" s="33">
        <f>IF(D55=0,0,(IF((AM55)*1%&gt;10641.07,10641.07,(AM55)*1%)))</f>
        <v>3485.3018198122945</v>
      </c>
      <c r="AP55" s="38"/>
      <c r="AQ55" s="38">
        <f>+INT((AJ55+AL55-AO55-AN55-AP55)/100)*100</f>
        <v>341500</v>
      </c>
      <c r="AR55" s="39">
        <f>IF(AQ55=0,0,IF(AQ55&lt;=250000,0,(AQ55-250000)*20%))</f>
        <v>18300</v>
      </c>
      <c r="AS55" s="40">
        <f>VLOOKUP(A55,'[2]Liste personnel'!$B$3:$R$187,16,0)</f>
        <v>0</v>
      </c>
      <c r="AT55" s="38">
        <f>+AS55*2000</f>
        <v>0</v>
      </c>
      <c r="AU55" s="38">
        <f>+IF(AR55=0,0,IF(AR55-AT55&lt;200,200,AR55-AT55))</f>
        <v>18300</v>
      </c>
      <c r="AV55" s="38">
        <f>IF(ISNA(VLOOKUP(A55,[2]AVANCE!$A$6:$E$122,4,0))=TRUE,0,VLOOKUP(A55,[2]AVANCE!$A$6:$E$122,4,0))</f>
        <v>0</v>
      </c>
      <c r="AW55" s="38">
        <f>IF(ISNA(VLOOKUP(A55,[2]AVANCE!$A$6:$E$122,5,0))=TRUE,0,VLOOKUP(A55,[2]AVANCE!$A$6:$E$122,5,0))</f>
        <v>0</v>
      </c>
      <c r="AX55" s="38">
        <f>+AV55+AW55</f>
        <v>0</v>
      </c>
      <c r="AY55" s="57"/>
      <c r="AZ55" s="58">
        <f>+AO55+AN55+AU55+AX55+AY55</f>
        <v>25270.603639624591</v>
      </c>
      <c r="BA55" s="38">
        <f>+AJ55-AZ55</f>
        <v>323259.57834160485</v>
      </c>
      <c r="BB55" s="117"/>
      <c r="BC55" s="118"/>
      <c r="BD55" s="59">
        <f>+BA55+BB55+BC55</f>
        <v>323259.57834160485</v>
      </c>
      <c r="BE55" s="60">
        <f>IF(BD55-INT(BD55/100)*100&gt;0,INT(BD55/100)*100+100,INT(BD55/100)*100)</f>
        <v>323300</v>
      </c>
      <c r="BF55" s="61"/>
      <c r="BG55" s="61"/>
      <c r="BH55" s="62">
        <f>IF(BF55=0,0,I55/2)</f>
        <v>0</v>
      </c>
      <c r="BI55" s="62">
        <f>IF(BF55=0,0,+IF(BF55-J55&lt;30,J55-BF55,30))</f>
        <v>0</v>
      </c>
      <c r="BJ55" s="62">
        <f>+BI55*BH55/30</f>
        <v>0</v>
      </c>
      <c r="BK55" s="63">
        <f>+BD55+AX55+AY55</f>
        <v>323259.57834160485</v>
      </c>
      <c r="BL55" s="48">
        <f>+L55-N55</f>
        <v>0</v>
      </c>
      <c r="BN55" s="49"/>
      <c r="BO55" s="49"/>
    </row>
    <row r="56" spans="1:67" s="18" customFormat="1" ht="27" customHeight="1">
      <c r="A56" s="50" t="s">
        <v>116</v>
      </c>
      <c r="B56" s="51" t="s">
        <v>294</v>
      </c>
      <c r="C56" s="52"/>
      <c r="D56" s="53" t="s">
        <v>295</v>
      </c>
      <c r="E56" s="54">
        <v>41729</v>
      </c>
      <c r="F56" s="25">
        <v>42369</v>
      </c>
      <c r="G56" s="54" t="s">
        <v>215</v>
      </c>
      <c r="H56" s="55" t="s">
        <v>187</v>
      </c>
      <c r="I56" s="29">
        <v>136480</v>
      </c>
      <c r="J56" s="28">
        <v>42368</v>
      </c>
      <c r="K56" s="29">
        <v>0</v>
      </c>
      <c r="L56" s="29">
        <v>0</v>
      </c>
      <c r="M56" s="56">
        <v>0</v>
      </c>
      <c r="N56" s="33">
        <v>0</v>
      </c>
      <c r="O56" s="31">
        <v>787.39975768764782</v>
      </c>
      <c r="P56" s="32">
        <v>0</v>
      </c>
      <c r="Q56" s="33">
        <v>0</v>
      </c>
      <c r="R56" s="32">
        <v>0</v>
      </c>
      <c r="S56" s="33">
        <v>0</v>
      </c>
      <c r="T56" s="32">
        <v>0</v>
      </c>
      <c r="U56" s="33">
        <v>0</v>
      </c>
      <c r="V56" s="32">
        <v>0</v>
      </c>
      <c r="W56" s="33">
        <v>0</v>
      </c>
      <c r="X56" s="32">
        <v>0</v>
      </c>
      <c r="Y56" s="33">
        <v>0</v>
      </c>
      <c r="Z56" s="33">
        <v>0</v>
      </c>
      <c r="AA56" s="31">
        <v>0</v>
      </c>
      <c r="AB56" s="31">
        <v>0</v>
      </c>
      <c r="AC56" s="33">
        <v>0</v>
      </c>
      <c r="AD56" s="35"/>
      <c r="AE56" s="33">
        <v>0</v>
      </c>
      <c r="AF56" s="31">
        <v>22.833333333333329</v>
      </c>
      <c r="AG56" s="33">
        <v>138949.10722250034</v>
      </c>
      <c r="AH56" s="31">
        <v>0</v>
      </c>
      <c r="AI56" s="31">
        <v>0</v>
      </c>
      <c r="AJ56" s="36">
        <v>138949.10722250034</v>
      </c>
      <c r="AK56" s="33">
        <f>IF(ISNA(VLOOKUP(A56,[2]AVANTAGE!$A$5:$T$118,19,0))=TRUE,0,VLOOKUP(A56,[2]AVANTAGE!$A$5:$T$118,19,0))</f>
        <v>0</v>
      </c>
      <c r="AL56" s="33">
        <f>IF(ISNA(VLOOKUP(A56,[2]AVANTAGE!$A$5:$T$118,20,0))=TRUE,0,VLOOKUP(A56,[2]AVANTAGE!$A$5:$T$118,20,0))</f>
        <v>0</v>
      </c>
      <c r="AM56" s="37">
        <f>+AJ56+AL56</f>
        <v>138949.10722250034</v>
      </c>
      <c r="AN56" s="38">
        <f>IF(D56=0,0,(IF((AM56)*1%&gt;10641.07,10641.07,(AM56)*1%)))</f>
        <v>1389.4910722250036</v>
      </c>
      <c r="AO56" s="33">
        <f>IF(D56=0,0,(IF((AM56)*1%&gt;10641.07,10641.07,(AM56)*1%)))</f>
        <v>1389.4910722250036</v>
      </c>
      <c r="AP56" s="38"/>
      <c r="AQ56" s="38">
        <f>+INT((AJ56+AL56-AO56-AN56-AP56)/100)*100</f>
        <v>136100</v>
      </c>
      <c r="AR56" s="39">
        <f>IF(AQ56=0,0,IF(AQ56&lt;=250000,0,(AQ56-250000)*20%))</f>
        <v>0</v>
      </c>
      <c r="AS56" s="40">
        <f>VLOOKUP(A56,'[2]Liste personnel'!$B$3:$R$187,16,0)</f>
        <v>0</v>
      </c>
      <c r="AT56" s="38">
        <f>+AS56*2000</f>
        <v>0</v>
      </c>
      <c r="AU56" s="38">
        <f>+IF(AR56=0,0,IF(AR56-AT56&lt;200,200,AR56-AT56))</f>
        <v>0</v>
      </c>
      <c r="AV56" s="38">
        <f>IF(ISNA(VLOOKUP(A56,[2]AVANCE!$A$6:$E$122,4,0))=TRUE,0,VLOOKUP(A56,[2]AVANCE!$A$6:$E$122,4,0))</f>
        <v>0</v>
      </c>
      <c r="AW56" s="38">
        <f>IF(ISNA(VLOOKUP(A56,[2]AVANCE!$A$6:$E$122,5,0))=TRUE,0,VLOOKUP(A56,[2]AVANCE!$A$6:$E$122,5,0))</f>
        <v>0</v>
      </c>
      <c r="AX56" s="38">
        <f>+AV56+AW56</f>
        <v>0</v>
      </c>
      <c r="AY56" s="57"/>
      <c r="AZ56" s="58">
        <f>+AO56+AN56+AU56+AX56+AY56</f>
        <v>2778.9821444500071</v>
      </c>
      <c r="BA56" s="38">
        <f>+AJ56-AZ56</f>
        <v>136170.12507805033</v>
      </c>
      <c r="BB56" s="117"/>
      <c r="BC56" s="118"/>
      <c r="BD56" s="59">
        <f>+BA56+BB56+BC56</f>
        <v>136170.12507805033</v>
      </c>
      <c r="BE56" s="60">
        <f>IF(BD56-INT(BD56/100)*100&gt;0,INT(BD56/100)*100+100,INT(BD56/100)*100)</f>
        <v>136200</v>
      </c>
      <c r="BF56" s="61"/>
      <c r="BG56" s="61"/>
      <c r="BH56" s="62">
        <f>IF(BF56=0,0,I56/2)</f>
        <v>0</v>
      </c>
      <c r="BI56" s="62">
        <f>IF(BF56=0,0,+IF(BF56-J56&lt;30,J56-BF56,30))</f>
        <v>0</v>
      </c>
      <c r="BJ56" s="62">
        <f>+BI56*BH56/30</f>
        <v>0</v>
      </c>
      <c r="BK56" s="63">
        <f>+BD56+AX56+AY56</f>
        <v>136170.12507805033</v>
      </c>
      <c r="BL56" s="48">
        <f>+L56-N56</f>
        <v>0</v>
      </c>
      <c r="BN56" s="49"/>
      <c r="BO56" s="49"/>
    </row>
    <row r="57" spans="1:67" s="18" customFormat="1" ht="27" customHeight="1">
      <c r="A57" s="50" t="s">
        <v>117</v>
      </c>
      <c r="B57" s="51" t="s">
        <v>296</v>
      </c>
      <c r="C57" s="52"/>
      <c r="D57" s="53" t="s">
        <v>290</v>
      </c>
      <c r="E57" s="54">
        <v>41780</v>
      </c>
      <c r="F57" s="25">
        <v>42369</v>
      </c>
      <c r="G57" s="54" t="s">
        <v>243</v>
      </c>
      <c r="H57" s="55" t="s">
        <v>187</v>
      </c>
      <c r="I57" s="29">
        <v>136480</v>
      </c>
      <c r="J57" s="28">
        <v>42368</v>
      </c>
      <c r="K57" s="29">
        <v>0</v>
      </c>
      <c r="L57" s="29">
        <v>0</v>
      </c>
      <c r="M57" s="56">
        <v>0</v>
      </c>
      <c r="N57" s="33">
        <v>0</v>
      </c>
      <c r="O57" s="31">
        <v>561.64609053497941</v>
      </c>
      <c r="P57" s="32">
        <v>0</v>
      </c>
      <c r="Q57" s="33">
        <v>0</v>
      </c>
      <c r="R57" s="32">
        <v>0</v>
      </c>
      <c r="S57" s="33">
        <v>0</v>
      </c>
      <c r="T57" s="32">
        <v>0</v>
      </c>
      <c r="U57" s="33">
        <v>0</v>
      </c>
      <c r="V57" s="32">
        <v>0</v>
      </c>
      <c r="W57" s="33">
        <v>0</v>
      </c>
      <c r="X57" s="32">
        <v>0</v>
      </c>
      <c r="Y57" s="33">
        <v>0</v>
      </c>
      <c r="Z57" s="33">
        <v>0</v>
      </c>
      <c r="AA57" s="31">
        <v>0</v>
      </c>
      <c r="AB57" s="31">
        <v>0</v>
      </c>
      <c r="AC57" s="33">
        <v>0</v>
      </c>
      <c r="AD57" s="35"/>
      <c r="AE57" s="33">
        <v>0</v>
      </c>
      <c r="AF57" s="31">
        <v>36.083333333333329</v>
      </c>
      <c r="AG57" s="33">
        <v>198285.93518518514</v>
      </c>
      <c r="AH57" s="31">
        <v>0</v>
      </c>
      <c r="AI57" s="31">
        <v>0</v>
      </c>
      <c r="AJ57" s="36">
        <v>198285.93518518514</v>
      </c>
      <c r="AK57" s="33">
        <f>IF(ISNA(VLOOKUP(A57,[2]AVANTAGE!$A$5:$T$118,19,0))=TRUE,0,VLOOKUP(A57,[2]AVANTAGE!$A$5:$T$118,19,0))</f>
        <v>0</v>
      </c>
      <c r="AL57" s="33">
        <f>IF(ISNA(VLOOKUP(A57,[2]AVANTAGE!$A$5:$T$118,20,0))=TRUE,0,VLOOKUP(A57,[2]AVANTAGE!$A$5:$T$118,20,0))</f>
        <v>0</v>
      </c>
      <c r="AM57" s="37">
        <f>+AJ57+AL57</f>
        <v>198285.93518518514</v>
      </c>
      <c r="AN57" s="38">
        <f>IF(D57=0,0,(IF((AM57)*1%&gt;10641.07,10641.07,(AM57)*1%)))</f>
        <v>1982.8593518518514</v>
      </c>
      <c r="AO57" s="33">
        <f>IF(D57=0,0,(IF((AM57)*1%&gt;10641.07,10641.07,(AM57)*1%)))</f>
        <v>1982.8593518518514</v>
      </c>
      <c r="AP57" s="38"/>
      <c r="AQ57" s="38">
        <f>+INT((AJ57+AL57-AO57-AN57-AP57)/100)*100</f>
        <v>194300</v>
      </c>
      <c r="AR57" s="39">
        <f>IF(AQ57=0,0,IF(AQ57&lt;=250000,0,(AQ57-250000)*20%))</f>
        <v>0</v>
      </c>
      <c r="AS57" s="40">
        <f>VLOOKUP(A57,'[2]Liste personnel'!$B$3:$R$187,16,0)</f>
        <v>0</v>
      </c>
      <c r="AT57" s="38">
        <f>+AS57*2000</f>
        <v>0</v>
      </c>
      <c r="AU57" s="38">
        <f>+IF(AR57=0,0,IF(AR57-AT57&lt;200,200,AR57-AT57))</f>
        <v>0</v>
      </c>
      <c r="AV57" s="38">
        <f>IF(ISNA(VLOOKUP(A57,[2]AVANCE!$A$6:$E$122,4,0))=TRUE,0,VLOOKUP(A57,[2]AVANCE!$A$6:$E$122,4,0))</f>
        <v>0</v>
      </c>
      <c r="AW57" s="38">
        <f>IF(ISNA(VLOOKUP(A57,[2]AVANCE!$A$6:$E$122,5,0))=TRUE,0,VLOOKUP(A57,[2]AVANCE!$A$6:$E$122,5,0))</f>
        <v>0</v>
      </c>
      <c r="AX57" s="38">
        <f>+AV57+AW57</f>
        <v>0</v>
      </c>
      <c r="AY57" s="57"/>
      <c r="AZ57" s="58">
        <f>+AO57+AN57+AU57+AX57+AY57</f>
        <v>3965.7187037037029</v>
      </c>
      <c r="BA57" s="38">
        <f>+AJ57-AZ57</f>
        <v>194320.21648148145</v>
      </c>
      <c r="BB57" s="117"/>
      <c r="BC57" s="118"/>
      <c r="BD57" s="59">
        <f>+BA57+BB57+BC57</f>
        <v>194320.21648148145</v>
      </c>
      <c r="BE57" s="60">
        <f>IF(BD57-INT(BD57/100)*100&gt;0,INT(BD57/100)*100+100,INT(BD57/100)*100)</f>
        <v>194400</v>
      </c>
      <c r="BF57" s="61"/>
      <c r="BG57" s="61"/>
      <c r="BH57" s="62">
        <f>IF(BF57=0,0,I57/2)</f>
        <v>0</v>
      </c>
      <c r="BI57" s="62">
        <f>IF(BF57=0,0,+IF(BF57-J57&lt;30,J57-BF57,30))</f>
        <v>0</v>
      </c>
      <c r="BJ57" s="62">
        <f>+BI57*BH57/30</f>
        <v>0</v>
      </c>
      <c r="BK57" s="63">
        <f>+BD57+AX57+AY57</f>
        <v>194320.21648148145</v>
      </c>
      <c r="BL57" s="48">
        <f>+L57-N57</f>
        <v>0</v>
      </c>
      <c r="BN57" s="49"/>
      <c r="BO57" s="49"/>
    </row>
    <row r="58" spans="1:67" s="18" customFormat="1" ht="27" customHeight="1">
      <c r="A58" s="50" t="s">
        <v>118</v>
      </c>
      <c r="B58" s="51" t="s">
        <v>297</v>
      </c>
      <c r="C58" s="52"/>
      <c r="D58" s="53" t="s">
        <v>290</v>
      </c>
      <c r="E58" s="54">
        <v>41780</v>
      </c>
      <c r="F58" s="25">
        <v>42369</v>
      </c>
      <c r="G58" s="54" t="s">
        <v>263</v>
      </c>
      <c r="H58" s="55" t="s">
        <v>187</v>
      </c>
      <c r="I58" s="29">
        <v>136480</v>
      </c>
      <c r="J58" s="28">
        <v>42368</v>
      </c>
      <c r="K58" s="29">
        <v>0</v>
      </c>
      <c r="L58" s="29">
        <v>0</v>
      </c>
      <c r="M58" s="56">
        <v>0</v>
      </c>
      <c r="N58" s="33">
        <v>0</v>
      </c>
      <c r="O58" s="31">
        <v>561.64609053497941</v>
      </c>
      <c r="P58" s="32">
        <v>0</v>
      </c>
      <c r="Q58" s="33">
        <v>0</v>
      </c>
      <c r="R58" s="32">
        <v>0</v>
      </c>
      <c r="S58" s="33">
        <v>0</v>
      </c>
      <c r="T58" s="32">
        <v>0</v>
      </c>
      <c r="U58" s="33">
        <v>0</v>
      </c>
      <c r="V58" s="32">
        <v>0</v>
      </c>
      <c r="W58" s="33">
        <v>0</v>
      </c>
      <c r="X58" s="32">
        <v>0</v>
      </c>
      <c r="Y58" s="33">
        <v>0</v>
      </c>
      <c r="Z58" s="33">
        <v>0</v>
      </c>
      <c r="AA58" s="31">
        <v>0</v>
      </c>
      <c r="AB58" s="31">
        <v>0</v>
      </c>
      <c r="AC58" s="33">
        <v>0</v>
      </c>
      <c r="AD58" s="35"/>
      <c r="AE58" s="33">
        <v>0</v>
      </c>
      <c r="AF58" s="31">
        <v>18.083333333333329</v>
      </c>
      <c r="AG58" s="33">
        <v>81690.453703703679</v>
      </c>
      <c r="AH58" s="31">
        <v>0</v>
      </c>
      <c r="AI58" s="31">
        <v>0</v>
      </c>
      <c r="AJ58" s="36">
        <v>81690.453703703679</v>
      </c>
      <c r="AK58" s="33">
        <f>IF(ISNA(VLOOKUP(A58,[2]AVANTAGE!$A$5:$T$118,19,0))=TRUE,0,VLOOKUP(A58,[2]AVANTAGE!$A$5:$T$118,19,0))</f>
        <v>0</v>
      </c>
      <c r="AL58" s="33">
        <f>IF(ISNA(VLOOKUP(A58,[2]AVANTAGE!$A$5:$T$118,20,0))=TRUE,0,VLOOKUP(A58,[2]AVANTAGE!$A$5:$T$118,20,0))</f>
        <v>0</v>
      </c>
      <c r="AM58" s="37">
        <f>+AJ58+AL58</f>
        <v>81690.453703703679</v>
      </c>
      <c r="AN58" s="38">
        <f>IF(D58=0,0,(IF((AM58)*1%&gt;10641.07,10641.07,(AM58)*1%)))</f>
        <v>816.90453703703679</v>
      </c>
      <c r="AO58" s="33">
        <f>IF(D58=0,0,(IF((AM58)*1%&gt;10641.07,10641.07,(AM58)*1%)))</f>
        <v>816.90453703703679</v>
      </c>
      <c r="AP58" s="38"/>
      <c r="AQ58" s="38">
        <f>+INT((AJ58+AL58-AO58-AN58-AP58)/100)*100</f>
        <v>80000</v>
      </c>
      <c r="AR58" s="39">
        <f>IF(AQ58=0,0,IF(AQ58&lt;=250000,0,(AQ58-250000)*20%))</f>
        <v>0</v>
      </c>
      <c r="AS58" s="40">
        <f>VLOOKUP(A58,'[2]Liste personnel'!$B$3:$R$187,16,0)</f>
        <v>0</v>
      </c>
      <c r="AT58" s="38">
        <f>+AS58*2000</f>
        <v>0</v>
      </c>
      <c r="AU58" s="38">
        <f>+IF(AR58=0,0,IF(AR58-AT58&lt;200,200,AR58-AT58))</f>
        <v>0</v>
      </c>
      <c r="AV58" s="38">
        <f>IF(ISNA(VLOOKUP(A58,[2]AVANCE!$A$6:$E$122,4,0))=TRUE,0,VLOOKUP(A58,[2]AVANCE!$A$6:$E$122,4,0))</f>
        <v>0</v>
      </c>
      <c r="AW58" s="38">
        <f>IF(ISNA(VLOOKUP(A58,[2]AVANCE!$A$6:$E$122,5,0))=TRUE,0,VLOOKUP(A58,[2]AVANCE!$A$6:$E$122,5,0))</f>
        <v>0</v>
      </c>
      <c r="AX58" s="38">
        <f>+AV58+AW58</f>
        <v>0</v>
      </c>
      <c r="AY58" s="57"/>
      <c r="AZ58" s="58">
        <f>+AO58+AN58+AU58+AX58+AY58</f>
        <v>1633.8090740740736</v>
      </c>
      <c r="BA58" s="38">
        <f>+AJ58-AZ58</f>
        <v>80056.644629629605</v>
      </c>
      <c r="BB58" s="117"/>
      <c r="BC58" s="118"/>
      <c r="BD58" s="59">
        <f>+BA58+BB58+BC58</f>
        <v>80056.644629629605</v>
      </c>
      <c r="BE58" s="60">
        <f>IF(BD58-INT(BD58/100)*100&gt;0,INT(BD58/100)*100+100,INT(BD58/100)*100)</f>
        <v>80100</v>
      </c>
      <c r="BF58" s="61"/>
      <c r="BG58" s="61"/>
      <c r="BH58" s="62">
        <f>IF(BF58=0,0,I58/2)</f>
        <v>0</v>
      </c>
      <c r="BI58" s="62">
        <f>IF(BF58=0,0,+IF(BF58-J58&lt;30,J58-BF58,30))</f>
        <v>0</v>
      </c>
      <c r="BJ58" s="62">
        <f>+BI58*BH58/30</f>
        <v>0</v>
      </c>
      <c r="BK58" s="63">
        <f>+BD58+AX58+AY58</f>
        <v>80056.644629629605</v>
      </c>
      <c r="BL58" s="48">
        <f>+L58-N58</f>
        <v>0</v>
      </c>
      <c r="BN58" s="49"/>
      <c r="BO58" s="49"/>
    </row>
    <row r="59" spans="1:67" s="18" customFormat="1" ht="27" customHeight="1">
      <c r="A59" s="50" t="s">
        <v>119</v>
      </c>
      <c r="B59" s="51" t="s">
        <v>298</v>
      </c>
      <c r="C59" s="52"/>
      <c r="D59" s="53" t="s">
        <v>290</v>
      </c>
      <c r="E59" s="54">
        <v>41835</v>
      </c>
      <c r="F59" s="25">
        <v>42369</v>
      </c>
      <c r="G59" s="54" t="s">
        <v>299</v>
      </c>
      <c r="H59" s="55" t="s">
        <v>187</v>
      </c>
      <c r="I59" s="29">
        <v>136480</v>
      </c>
      <c r="J59" s="28">
        <v>42368</v>
      </c>
      <c r="K59" s="29">
        <v>0</v>
      </c>
      <c r="L59" s="29">
        <v>0</v>
      </c>
      <c r="M59" s="56">
        <v>0</v>
      </c>
      <c r="N59" s="33">
        <v>0</v>
      </c>
      <c r="O59" s="31">
        <v>787.39975768764782</v>
      </c>
      <c r="P59" s="32">
        <v>0</v>
      </c>
      <c r="Q59" s="33">
        <v>0</v>
      </c>
      <c r="R59" s="32">
        <v>0</v>
      </c>
      <c r="S59" s="33">
        <v>0</v>
      </c>
      <c r="T59" s="32">
        <v>0</v>
      </c>
      <c r="U59" s="33">
        <v>0</v>
      </c>
      <c r="V59" s="32">
        <v>0</v>
      </c>
      <c r="W59" s="33">
        <v>0</v>
      </c>
      <c r="X59" s="32">
        <v>0</v>
      </c>
      <c r="Y59" s="33">
        <v>0</v>
      </c>
      <c r="Z59" s="33">
        <v>0</v>
      </c>
      <c r="AA59" s="31">
        <v>0</v>
      </c>
      <c r="AB59" s="31">
        <v>0</v>
      </c>
      <c r="AC59" s="33">
        <v>0</v>
      </c>
      <c r="AD59" s="35"/>
      <c r="AE59" s="33">
        <v>0</v>
      </c>
      <c r="AF59" s="31">
        <v>20.5</v>
      </c>
      <c r="AG59" s="33">
        <v>110684.54007090832</v>
      </c>
      <c r="AH59" s="31">
        <v>0</v>
      </c>
      <c r="AI59" s="31">
        <v>0</v>
      </c>
      <c r="AJ59" s="36">
        <v>110684.54007090832</v>
      </c>
      <c r="AK59" s="33">
        <f>IF(ISNA(VLOOKUP(A59,[2]AVANTAGE!$A$5:$T$118,19,0))=TRUE,0,VLOOKUP(A59,[2]AVANTAGE!$A$5:$T$118,19,0))</f>
        <v>0</v>
      </c>
      <c r="AL59" s="33">
        <f>IF(ISNA(VLOOKUP(A59,[2]AVANTAGE!$A$5:$T$118,20,0))=TRUE,0,VLOOKUP(A59,[2]AVANTAGE!$A$5:$T$118,20,0))</f>
        <v>0</v>
      </c>
      <c r="AM59" s="37">
        <f>+AJ59+AL59</f>
        <v>110684.54007090832</v>
      </c>
      <c r="AN59" s="38">
        <f>IF(D59=0,0,(IF((AM59)*1%&gt;10641.07,10641.07,(AM59)*1%)))</f>
        <v>1106.8454007090832</v>
      </c>
      <c r="AO59" s="33">
        <f>IF(D59=0,0,(IF((AM59)*1%&gt;10641.07,10641.07,(AM59)*1%)))</f>
        <v>1106.8454007090832</v>
      </c>
      <c r="AP59" s="38"/>
      <c r="AQ59" s="38">
        <f>+INT((AJ59+AL59-AO59-AN59-AP59)/100)*100</f>
        <v>108400</v>
      </c>
      <c r="AR59" s="39">
        <f>IF(AQ59=0,0,IF(AQ59&lt;=250000,0,(AQ59-250000)*20%))</f>
        <v>0</v>
      </c>
      <c r="AS59" s="40">
        <f>VLOOKUP(A59,'[2]Liste personnel'!$B$3:$R$187,16,0)</f>
        <v>0</v>
      </c>
      <c r="AT59" s="38">
        <f>+AS59*2000</f>
        <v>0</v>
      </c>
      <c r="AU59" s="38">
        <f>+IF(AR59=0,0,IF(AR59-AT59&lt;200,200,AR59-AT59))</f>
        <v>0</v>
      </c>
      <c r="AV59" s="38">
        <f>IF(ISNA(VLOOKUP(A59,[2]AVANCE!$A$6:$E$122,4,0))=TRUE,0,VLOOKUP(A59,[2]AVANCE!$A$6:$E$122,4,0))</f>
        <v>0</v>
      </c>
      <c r="AW59" s="38">
        <f>IF(ISNA(VLOOKUP(A59,[2]AVANCE!$A$6:$E$122,5,0))=TRUE,0,VLOOKUP(A59,[2]AVANCE!$A$6:$E$122,5,0))</f>
        <v>0</v>
      </c>
      <c r="AX59" s="38">
        <f>+AV59+AW59</f>
        <v>0</v>
      </c>
      <c r="AY59" s="57"/>
      <c r="AZ59" s="58">
        <f>+AO59+AN59+AU59+AX59+AY59</f>
        <v>2213.6908014181663</v>
      </c>
      <c r="BA59" s="38">
        <f>+AJ59-AZ59</f>
        <v>108470.84926949015</v>
      </c>
      <c r="BB59" s="117"/>
      <c r="BC59" s="118"/>
      <c r="BD59" s="59">
        <f>+BA59+BB59+BC59</f>
        <v>108470.84926949015</v>
      </c>
      <c r="BE59" s="60">
        <f>IF(BD59-INT(BD59/100)*100&gt;0,INT(BD59/100)*100+100,INT(BD59/100)*100)</f>
        <v>108500</v>
      </c>
      <c r="BF59" s="61"/>
      <c r="BG59" s="61"/>
      <c r="BH59" s="62">
        <f>IF(BF59=0,0,I59/2)</f>
        <v>0</v>
      </c>
      <c r="BI59" s="62">
        <f>IF(BF59=0,0,+IF(BF59-J59&lt;30,J59-BF59,30))</f>
        <v>0</v>
      </c>
      <c r="BJ59" s="62">
        <f>+BI59*BH59/30</f>
        <v>0</v>
      </c>
      <c r="BK59" s="63">
        <f>+BD59+AX59+AY59</f>
        <v>108470.84926949015</v>
      </c>
      <c r="BL59" s="48">
        <f>+L59-N59</f>
        <v>0</v>
      </c>
      <c r="BN59" s="49"/>
      <c r="BO59" s="49"/>
    </row>
    <row r="60" spans="1:67" s="18" customFormat="1" ht="27" customHeight="1">
      <c r="A60" s="50" t="s">
        <v>120</v>
      </c>
      <c r="B60" s="51" t="s">
        <v>300</v>
      </c>
      <c r="C60" s="52"/>
      <c r="D60" s="53" t="s">
        <v>301</v>
      </c>
      <c r="E60" s="54">
        <v>41813</v>
      </c>
      <c r="F60" s="25">
        <v>42369</v>
      </c>
      <c r="G60" s="54" t="s">
        <v>220</v>
      </c>
      <c r="H60" s="55" t="s">
        <v>187</v>
      </c>
      <c r="I60" s="29">
        <v>136480</v>
      </c>
      <c r="J60" s="28">
        <v>42368</v>
      </c>
      <c r="K60" s="29">
        <v>0</v>
      </c>
      <c r="L60" s="29">
        <v>0</v>
      </c>
      <c r="M60" s="56">
        <v>0</v>
      </c>
      <c r="N60" s="33">
        <v>0</v>
      </c>
      <c r="O60" s="31">
        <v>787.39975768764782</v>
      </c>
      <c r="P60" s="32">
        <v>0</v>
      </c>
      <c r="Q60" s="33">
        <v>0</v>
      </c>
      <c r="R60" s="32">
        <v>0</v>
      </c>
      <c r="S60" s="33">
        <v>0</v>
      </c>
      <c r="T60" s="32">
        <v>0</v>
      </c>
      <c r="U60" s="33">
        <v>0</v>
      </c>
      <c r="V60" s="32">
        <v>0</v>
      </c>
      <c r="W60" s="33">
        <v>0</v>
      </c>
      <c r="X60" s="32">
        <v>0</v>
      </c>
      <c r="Y60" s="33">
        <v>0</v>
      </c>
      <c r="Z60" s="33">
        <v>0</v>
      </c>
      <c r="AA60" s="31">
        <v>0</v>
      </c>
      <c r="AB60" s="31">
        <v>0</v>
      </c>
      <c r="AC60" s="33">
        <v>0</v>
      </c>
      <c r="AD60" s="35"/>
      <c r="AE60" s="33">
        <v>0</v>
      </c>
      <c r="AF60" s="31">
        <v>16.333333333333336</v>
      </c>
      <c r="AG60" s="33">
        <v>106570.52958619288</v>
      </c>
      <c r="AH60" s="31">
        <v>0</v>
      </c>
      <c r="AI60" s="31">
        <v>0</v>
      </c>
      <c r="AJ60" s="36">
        <v>106570.52958619288</v>
      </c>
      <c r="AK60" s="33">
        <f>IF(ISNA(VLOOKUP(A60,[2]AVANTAGE!$A$5:$T$118,19,0))=TRUE,0,VLOOKUP(A60,[2]AVANTAGE!$A$5:$T$118,19,0))</f>
        <v>0</v>
      </c>
      <c r="AL60" s="33">
        <f>IF(ISNA(VLOOKUP(A60,[2]AVANTAGE!$A$5:$T$118,20,0))=TRUE,0,VLOOKUP(A60,[2]AVANTAGE!$A$5:$T$118,20,0))</f>
        <v>0</v>
      </c>
      <c r="AM60" s="37">
        <f>+AJ60+AL60</f>
        <v>106570.52958619288</v>
      </c>
      <c r="AN60" s="38">
        <f>IF(D60=0,0,(IF((AM60)*1%&gt;10641.07,10641.07,(AM60)*1%)))</f>
        <v>1065.7052958619288</v>
      </c>
      <c r="AO60" s="33">
        <f>IF(D60=0,0,(IF((AM60)*1%&gt;10641.07,10641.07,(AM60)*1%)))</f>
        <v>1065.7052958619288</v>
      </c>
      <c r="AP60" s="38"/>
      <c r="AQ60" s="38">
        <f>+INT((AJ60+AL60-AO60-AN60-AP60)/100)*100</f>
        <v>104400</v>
      </c>
      <c r="AR60" s="39">
        <f>IF(AQ60=0,0,IF(AQ60&lt;=250000,0,(AQ60-250000)*20%))</f>
        <v>0</v>
      </c>
      <c r="AS60" s="40">
        <f>VLOOKUP(A60,'[2]Liste personnel'!$B$3:$R$187,16,0)</f>
        <v>0</v>
      </c>
      <c r="AT60" s="38">
        <f>+AS60*2000</f>
        <v>0</v>
      </c>
      <c r="AU60" s="38">
        <f>+IF(AR60=0,0,IF(AR60-AT60&lt;200,200,AR60-AT60))</f>
        <v>0</v>
      </c>
      <c r="AV60" s="38">
        <f>IF(ISNA(VLOOKUP(A60,[2]AVANCE!$A$6:$E$122,4,0))=TRUE,0,VLOOKUP(A60,[2]AVANCE!$A$6:$E$122,4,0))</f>
        <v>0</v>
      </c>
      <c r="AW60" s="38">
        <f>IF(ISNA(VLOOKUP(A60,[2]AVANCE!$A$6:$E$122,5,0))=TRUE,0,VLOOKUP(A60,[2]AVANCE!$A$6:$E$122,5,0))</f>
        <v>0</v>
      </c>
      <c r="AX60" s="38">
        <f>+AV60+AW60</f>
        <v>0</v>
      </c>
      <c r="AY60" s="57"/>
      <c r="AZ60" s="58">
        <f>+AO60+AN60+AU60+AX60+AY60</f>
        <v>2131.4105917238576</v>
      </c>
      <c r="BA60" s="38">
        <f>+AJ60-AZ60</f>
        <v>104439.11899446901</v>
      </c>
      <c r="BB60" s="117"/>
      <c r="BC60" s="118"/>
      <c r="BD60" s="59">
        <f>+BA60+BB60+BC60</f>
        <v>104439.11899446901</v>
      </c>
      <c r="BE60" s="60">
        <f>IF(BD60-INT(BD60/100)*100&gt;0,INT(BD60/100)*100+100,INT(BD60/100)*100)</f>
        <v>104500</v>
      </c>
      <c r="BF60" s="61"/>
      <c r="BG60" s="61"/>
      <c r="BH60" s="62">
        <f>IF(BF60=0,0,I60/2)</f>
        <v>0</v>
      </c>
      <c r="BI60" s="62">
        <f>IF(BF60=0,0,+IF(BF60-J60&lt;30,J60-BF60,30))</f>
        <v>0</v>
      </c>
      <c r="BJ60" s="62">
        <f>+BI60*BH60/30</f>
        <v>0</v>
      </c>
      <c r="BK60" s="63">
        <f>+BD60+AX60+AY60</f>
        <v>104439.11899446901</v>
      </c>
      <c r="BL60" s="48">
        <f>+L60-N60</f>
        <v>0</v>
      </c>
      <c r="BN60" s="49"/>
      <c r="BO60" s="49"/>
    </row>
    <row r="61" spans="1:67" s="18" customFormat="1" ht="27" customHeight="1">
      <c r="A61" s="50" t="s">
        <v>121</v>
      </c>
      <c r="B61" s="51" t="s">
        <v>302</v>
      </c>
      <c r="C61" s="52"/>
      <c r="D61" s="53" t="s">
        <v>290</v>
      </c>
      <c r="E61" s="54">
        <v>41780</v>
      </c>
      <c r="F61" s="25">
        <v>42369</v>
      </c>
      <c r="G61" s="54" t="s">
        <v>260</v>
      </c>
      <c r="H61" s="55" t="s">
        <v>187</v>
      </c>
      <c r="I61" s="29">
        <v>230000</v>
      </c>
      <c r="J61" s="28">
        <v>42368</v>
      </c>
      <c r="K61" s="29">
        <v>0</v>
      </c>
      <c r="L61" s="29">
        <v>0</v>
      </c>
      <c r="M61" s="56">
        <v>0</v>
      </c>
      <c r="N61" s="33">
        <v>0</v>
      </c>
      <c r="O61" s="31">
        <v>1326.9485951652916</v>
      </c>
      <c r="P61" s="32">
        <v>0</v>
      </c>
      <c r="Q61" s="33">
        <v>0</v>
      </c>
      <c r="R61" s="32">
        <v>0</v>
      </c>
      <c r="S61" s="33">
        <v>0</v>
      </c>
      <c r="T61" s="32">
        <v>0</v>
      </c>
      <c r="U61" s="33">
        <v>0</v>
      </c>
      <c r="V61" s="32">
        <v>0</v>
      </c>
      <c r="W61" s="33">
        <v>0</v>
      </c>
      <c r="X61" s="32">
        <v>0</v>
      </c>
      <c r="Y61" s="33">
        <v>0</v>
      </c>
      <c r="Z61" s="33">
        <v>0</v>
      </c>
      <c r="AA61" s="31">
        <v>0</v>
      </c>
      <c r="AB61" s="31">
        <v>0</v>
      </c>
      <c r="AC61" s="33">
        <v>0</v>
      </c>
      <c r="AD61" s="35"/>
      <c r="AE61" s="33">
        <v>0</v>
      </c>
      <c r="AF61" s="31">
        <v>19.083333333333329</v>
      </c>
      <c r="AG61" s="33">
        <v>188386.98171912192</v>
      </c>
      <c r="AH61" s="31">
        <v>0</v>
      </c>
      <c r="AI61" s="31">
        <v>0</v>
      </c>
      <c r="AJ61" s="36">
        <v>188386.98171912192</v>
      </c>
      <c r="AK61" s="33">
        <f>IF(ISNA(VLOOKUP(A61,[2]AVANTAGE!$A$5:$T$118,19,0))=TRUE,0,VLOOKUP(A61,[2]AVANTAGE!$A$5:$T$118,19,0))</f>
        <v>0</v>
      </c>
      <c r="AL61" s="33">
        <f>IF(ISNA(VLOOKUP(A61,[2]AVANTAGE!$A$5:$T$118,20,0))=TRUE,0,VLOOKUP(A61,[2]AVANTAGE!$A$5:$T$118,20,0))</f>
        <v>0</v>
      </c>
      <c r="AM61" s="37">
        <f>+AJ61+AL61</f>
        <v>188386.98171912192</v>
      </c>
      <c r="AN61" s="38">
        <f>IF(D61=0,0,(IF((AM61)*1%&gt;10641.07,10641.07,(AM61)*1%)))</f>
        <v>1883.8698171912192</v>
      </c>
      <c r="AO61" s="33">
        <f>IF(D61=0,0,(IF((AM61)*1%&gt;10641.07,10641.07,(AM61)*1%)))</f>
        <v>1883.8698171912192</v>
      </c>
      <c r="AP61" s="38"/>
      <c r="AQ61" s="38">
        <f>+INT((AJ61+AL61-AO61-AN61-AP61)/100)*100</f>
        <v>184600</v>
      </c>
      <c r="AR61" s="39">
        <f>IF(AQ61=0,0,IF(AQ61&lt;=250000,0,(AQ61-250000)*20%))</f>
        <v>0</v>
      </c>
      <c r="AS61" s="40">
        <f>VLOOKUP(A61,'[2]Liste personnel'!$B$3:$R$187,16,0)</f>
        <v>0</v>
      </c>
      <c r="AT61" s="38">
        <f>+AS61*2000</f>
        <v>0</v>
      </c>
      <c r="AU61" s="38">
        <f>+IF(AR61=0,0,IF(AR61-AT61&lt;200,200,AR61-AT61))</f>
        <v>0</v>
      </c>
      <c r="AV61" s="38">
        <f>IF(ISNA(VLOOKUP(A61,[2]AVANCE!$A$6:$E$122,4,0))=TRUE,0,VLOOKUP(A61,[2]AVANCE!$A$6:$E$122,4,0))</f>
        <v>0</v>
      </c>
      <c r="AW61" s="38">
        <f>IF(ISNA(VLOOKUP(A61,[2]AVANCE!$A$6:$E$122,5,0))=TRUE,0,VLOOKUP(A61,[2]AVANCE!$A$6:$E$122,5,0))</f>
        <v>0</v>
      </c>
      <c r="AX61" s="38">
        <f>+AV61+AW61</f>
        <v>0</v>
      </c>
      <c r="AY61" s="57"/>
      <c r="AZ61" s="58">
        <f>+AO61+AN61+AU61+AX61+AY61</f>
        <v>3767.7396343824385</v>
      </c>
      <c r="BA61" s="38">
        <f>+AJ61-AZ61</f>
        <v>184619.24208473947</v>
      </c>
      <c r="BB61" s="117"/>
      <c r="BC61" s="118"/>
      <c r="BD61" s="59">
        <f>+BA61+BB61+BC61</f>
        <v>184619.24208473947</v>
      </c>
      <c r="BE61" s="60">
        <f>IF(BD61-INT(BD61/100)*100&gt;0,INT(BD61/100)*100+100,INT(BD61/100)*100)</f>
        <v>184700</v>
      </c>
      <c r="BF61" s="61"/>
      <c r="BG61" s="61"/>
      <c r="BH61" s="62">
        <f>IF(BF61=0,0,I61/2)</f>
        <v>0</v>
      </c>
      <c r="BI61" s="62">
        <f>IF(BF61=0,0,+IF(BF61-J61&lt;30,J61-BF61,30))</f>
        <v>0</v>
      </c>
      <c r="BJ61" s="62">
        <f>+BI61*BH61/30</f>
        <v>0</v>
      </c>
      <c r="BK61" s="63">
        <f>+BD61+AX61+AY61</f>
        <v>184619.24208473947</v>
      </c>
      <c r="BL61" s="48">
        <f>+L61-N61</f>
        <v>0</v>
      </c>
      <c r="BO61" s="49"/>
    </row>
    <row r="62" spans="1:67" s="18" customFormat="1" ht="27" customHeight="1">
      <c r="A62" s="50" t="s">
        <v>122</v>
      </c>
      <c r="B62" s="51" t="s">
        <v>303</v>
      </c>
      <c r="C62" s="52"/>
      <c r="D62" s="53" t="s">
        <v>290</v>
      </c>
      <c r="E62" s="54">
        <v>41879</v>
      </c>
      <c r="F62" s="25">
        <v>42369</v>
      </c>
      <c r="G62" s="54" t="s">
        <v>263</v>
      </c>
      <c r="H62" s="55" t="s">
        <v>187</v>
      </c>
      <c r="I62" s="29">
        <v>136480</v>
      </c>
      <c r="J62" s="28">
        <v>42368</v>
      </c>
      <c r="K62" s="29">
        <v>0</v>
      </c>
      <c r="L62" s="29">
        <v>0</v>
      </c>
      <c r="M62" s="56">
        <v>0</v>
      </c>
      <c r="N62" s="33">
        <v>0</v>
      </c>
      <c r="O62" s="31">
        <v>561.64609053497941</v>
      </c>
      <c r="P62" s="32">
        <v>0</v>
      </c>
      <c r="Q62" s="33">
        <v>0</v>
      </c>
      <c r="R62" s="32">
        <v>0</v>
      </c>
      <c r="S62" s="33">
        <v>0</v>
      </c>
      <c r="T62" s="32">
        <v>0</v>
      </c>
      <c r="U62" s="33">
        <v>0</v>
      </c>
      <c r="V62" s="32">
        <v>0</v>
      </c>
      <c r="W62" s="33">
        <v>0</v>
      </c>
      <c r="X62" s="32">
        <v>0</v>
      </c>
      <c r="Y62" s="33">
        <v>0</v>
      </c>
      <c r="Z62" s="33">
        <v>0</v>
      </c>
      <c r="AA62" s="31">
        <v>0</v>
      </c>
      <c r="AB62" s="31">
        <v>0</v>
      </c>
      <c r="AC62" s="33">
        <v>0</v>
      </c>
      <c r="AD62" s="35"/>
      <c r="AE62" s="33">
        <v>0</v>
      </c>
      <c r="AF62" s="31">
        <v>40.833333333333329</v>
      </c>
      <c r="AG62" s="33">
        <v>447306.79328608437</v>
      </c>
      <c r="AH62" s="31">
        <v>0</v>
      </c>
      <c r="AI62" s="31">
        <v>0</v>
      </c>
      <c r="AJ62" s="36">
        <v>447306.79328608437</v>
      </c>
      <c r="AK62" s="33">
        <f>IF(ISNA(VLOOKUP(A62,[2]AVANTAGE!$A$5:$T$118,19,0))=TRUE,0,VLOOKUP(A62,[2]AVANTAGE!$A$5:$T$118,19,0))</f>
        <v>0</v>
      </c>
      <c r="AL62" s="33">
        <f>IF(ISNA(VLOOKUP(A62,[2]AVANTAGE!$A$5:$T$118,20,0))=TRUE,0,VLOOKUP(A62,[2]AVANTAGE!$A$5:$T$118,20,0))</f>
        <v>0</v>
      </c>
      <c r="AM62" s="37">
        <f>+AJ62+AL62</f>
        <v>447306.79328608437</v>
      </c>
      <c r="AN62" s="38">
        <f>IF(D62=0,0,(IF((AM62)*1%&gt;10641.07,10641.07,(AM62)*1%)))</f>
        <v>4473.0679328608439</v>
      </c>
      <c r="AO62" s="33">
        <f>IF(D62=0,0,(IF((AM62)*1%&gt;10641.07,10641.07,(AM62)*1%)))</f>
        <v>4473.0679328608439</v>
      </c>
      <c r="AP62" s="38"/>
      <c r="AQ62" s="38">
        <f>+INT((AJ62+AL62-AO62-AN62-AP62)/100)*100</f>
        <v>438300</v>
      </c>
      <c r="AR62" s="39">
        <f>IF(AQ62=0,0,IF(AQ62&lt;=250000,0,(AQ62-250000)*20%))</f>
        <v>37660</v>
      </c>
      <c r="AS62" s="40">
        <f>VLOOKUP(A62,'[2]Liste personnel'!$B$3:$R$187,16,0)</f>
        <v>0</v>
      </c>
      <c r="AT62" s="38">
        <f>+AS62*2000</f>
        <v>0</v>
      </c>
      <c r="AU62" s="38">
        <f>+IF(AR62=0,0,IF(AR62-AT62&lt;200,200,AR62-AT62))</f>
        <v>37660</v>
      </c>
      <c r="AV62" s="38">
        <f>IF(ISNA(VLOOKUP(A62,[2]AVANCE!$A$6:$E$122,4,0))=TRUE,0,VLOOKUP(A62,[2]AVANCE!$A$6:$E$122,4,0))</f>
        <v>0</v>
      </c>
      <c r="AW62" s="38">
        <f>IF(ISNA(VLOOKUP(A62,[2]AVANCE!$A$6:$E$122,5,0))=TRUE,0,VLOOKUP(A62,[2]AVANCE!$A$6:$E$122,5,0))</f>
        <v>0</v>
      </c>
      <c r="AX62" s="38">
        <f>+AV62+AW62</f>
        <v>0</v>
      </c>
      <c r="AY62" s="57"/>
      <c r="AZ62" s="58">
        <f>+AO62+AN62+AU62+AX62+AY62</f>
        <v>46606.135865721692</v>
      </c>
      <c r="BA62" s="38">
        <f>+AJ62-AZ62</f>
        <v>400700.6574203627</v>
      </c>
      <c r="BB62" s="117"/>
      <c r="BC62" s="118"/>
      <c r="BD62" s="59">
        <f>+BA62+BB62+BC62</f>
        <v>400700.6574203627</v>
      </c>
      <c r="BE62" s="60">
        <f>IF(BD62-INT(BD62/100)*100&gt;0,INT(BD62/100)*100+100,INT(BD62/100)*100)</f>
        <v>400800</v>
      </c>
      <c r="BF62" s="61"/>
      <c r="BG62" s="61"/>
      <c r="BH62" s="62">
        <f>IF(BF62=0,0,I62/2)</f>
        <v>0</v>
      </c>
      <c r="BI62" s="62">
        <f>IF(BF62=0,0,+IF(BF62-J62&lt;30,J62-BF62,30))</f>
        <v>0</v>
      </c>
      <c r="BJ62" s="62">
        <f>+BI62*BH62/30</f>
        <v>0</v>
      </c>
      <c r="BK62" s="63">
        <f>+BD62+AX62+AY62</f>
        <v>400700.6574203627</v>
      </c>
      <c r="BL62" s="48">
        <f>+L62-N62</f>
        <v>0</v>
      </c>
      <c r="BM62" s="19"/>
      <c r="BN62" s="87"/>
      <c r="BO62" s="49"/>
    </row>
    <row r="63" spans="1:67" s="18" customFormat="1" ht="27" customHeight="1">
      <c r="A63" s="50" t="s">
        <v>123</v>
      </c>
      <c r="B63" s="51" t="s">
        <v>304</v>
      </c>
      <c r="C63" s="52"/>
      <c r="D63" s="53" t="s">
        <v>290</v>
      </c>
      <c r="E63" s="54">
        <v>41890</v>
      </c>
      <c r="F63" s="25">
        <v>42369</v>
      </c>
      <c r="G63" s="54" t="s">
        <v>305</v>
      </c>
      <c r="H63" s="55" t="s">
        <v>187</v>
      </c>
      <c r="I63" s="29">
        <v>230000</v>
      </c>
      <c r="J63" s="28">
        <v>42368</v>
      </c>
      <c r="K63" s="29">
        <v>0</v>
      </c>
      <c r="L63" s="29">
        <v>0</v>
      </c>
      <c r="M63" s="56">
        <v>0</v>
      </c>
      <c r="N63" s="33">
        <v>0</v>
      </c>
      <c r="O63" s="31">
        <v>1326.9485951652916</v>
      </c>
      <c r="P63" s="32">
        <v>0</v>
      </c>
      <c r="Q63" s="33">
        <v>0</v>
      </c>
      <c r="R63" s="32">
        <v>0</v>
      </c>
      <c r="S63" s="33">
        <v>0</v>
      </c>
      <c r="T63" s="32">
        <v>0</v>
      </c>
      <c r="U63" s="33">
        <v>0</v>
      </c>
      <c r="V63" s="32">
        <v>0</v>
      </c>
      <c r="W63" s="33">
        <v>0</v>
      </c>
      <c r="X63" s="32">
        <v>0</v>
      </c>
      <c r="Y63" s="33">
        <v>0</v>
      </c>
      <c r="Z63" s="33">
        <v>0</v>
      </c>
      <c r="AA63" s="31">
        <v>0</v>
      </c>
      <c r="AB63" s="31">
        <v>0</v>
      </c>
      <c r="AC63" s="33">
        <v>0</v>
      </c>
      <c r="AD63" s="35"/>
      <c r="AE63" s="33">
        <v>0</v>
      </c>
      <c r="AF63" s="31">
        <v>3.6666666666666643</v>
      </c>
      <c r="AG63" s="33">
        <v>36410.470001474387</v>
      </c>
      <c r="AH63" s="31">
        <v>0</v>
      </c>
      <c r="AI63" s="31">
        <v>0</v>
      </c>
      <c r="AJ63" s="36">
        <v>36410.470001474387</v>
      </c>
      <c r="AK63" s="33">
        <f>IF(ISNA(VLOOKUP(A63,[2]AVANTAGE!$A$5:$T$118,19,0))=TRUE,0,VLOOKUP(A63,[2]AVANTAGE!$A$5:$T$118,19,0))</f>
        <v>0</v>
      </c>
      <c r="AL63" s="33">
        <f>IF(ISNA(VLOOKUP(A63,[2]AVANTAGE!$A$5:$T$118,20,0))=TRUE,0,VLOOKUP(A63,[2]AVANTAGE!$A$5:$T$118,20,0))</f>
        <v>0</v>
      </c>
      <c r="AM63" s="37">
        <f>+AJ63+AL63</f>
        <v>36410.470001474387</v>
      </c>
      <c r="AN63" s="38">
        <f>IF(D63=0,0,(IF((AM63)*1%&gt;10641.07,10641.07,(AM63)*1%)))</f>
        <v>364.10470001474386</v>
      </c>
      <c r="AO63" s="33">
        <f>IF(D63=0,0,(IF((AM63)*1%&gt;10641.07,10641.07,(AM63)*1%)))</f>
        <v>364.10470001474386</v>
      </c>
      <c r="AP63" s="38"/>
      <c r="AQ63" s="38">
        <f>+INT((AJ63+AL63-AO63-AN63-AP63)/100)*100</f>
        <v>35600</v>
      </c>
      <c r="AR63" s="39">
        <f>IF(AQ63=0,0,IF(AQ63&lt;=250000,0,(AQ63-250000)*20%))</f>
        <v>0</v>
      </c>
      <c r="AS63" s="40">
        <f>VLOOKUP(A63,'[2]Liste personnel'!$B$3:$R$187,16,0)</f>
        <v>0</v>
      </c>
      <c r="AT63" s="38">
        <f>+AS63*2000</f>
        <v>0</v>
      </c>
      <c r="AU63" s="38">
        <f>+IF(AR63=0,0,IF(AR63-AT63&lt;200,200,AR63-AT63))</f>
        <v>0</v>
      </c>
      <c r="AV63" s="38">
        <f>IF(ISNA(VLOOKUP(A63,[2]AVANCE!$A$6:$E$122,4,0))=TRUE,0,VLOOKUP(A63,[2]AVANCE!$A$6:$E$122,4,0))</f>
        <v>0</v>
      </c>
      <c r="AW63" s="38">
        <f>IF(ISNA(VLOOKUP(A63,[2]AVANCE!$A$6:$E$122,5,0))=TRUE,0,VLOOKUP(A63,[2]AVANCE!$A$6:$E$122,5,0))</f>
        <v>0</v>
      </c>
      <c r="AX63" s="38">
        <f>+AV63+AW63</f>
        <v>0</v>
      </c>
      <c r="AY63" s="57"/>
      <c r="AZ63" s="58">
        <f>+AO63+AN63+AU63+AX63+AY63</f>
        <v>728.20940002948771</v>
      </c>
      <c r="BA63" s="38">
        <f>+AJ63-AZ63</f>
        <v>35682.260601444897</v>
      </c>
      <c r="BB63" s="117"/>
      <c r="BC63" s="118"/>
      <c r="BD63" s="59">
        <f>+BA63+BB63+BC63</f>
        <v>35682.260601444897</v>
      </c>
      <c r="BE63" s="60">
        <f>IF(BD63-INT(BD63/100)*100&gt;0,INT(BD63/100)*100+100,INT(BD63/100)*100)</f>
        <v>35700</v>
      </c>
      <c r="BF63" s="61"/>
      <c r="BG63" s="61"/>
      <c r="BH63" s="62">
        <f>IF(BF63=0,0,I63/2)</f>
        <v>0</v>
      </c>
      <c r="BI63" s="62">
        <f>IF(BF63=0,0,+IF(BF63-J63&lt;30,J63-BF63,30))</f>
        <v>0</v>
      </c>
      <c r="BJ63" s="62">
        <f>+BI63*BH63/30</f>
        <v>0</v>
      </c>
      <c r="BK63" s="63">
        <f>+BD63+AX63+AY63</f>
        <v>35682.260601444897</v>
      </c>
      <c r="BL63" s="48">
        <f>+L63-N63</f>
        <v>0</v>
      </c>
      <c r="BN63" s="136"/>
      <c r="BO63" s="49"/>
    </row>
    <row r="64" spans="1:67" s="18" customFormat="1" ht="27" customHeight="1">
      <c r="A64" s="50" t="s">
        <v>124</v>
      </c>
      <c r="B64" s="51" t="s">
        <v>306</v>
      </c>
      <c r="C64" s="52"/>
      <c r="D64" s="53" t="s">
        <v>301</v>
      </c>
      <c r="E64" s="54">
        <v>41969</v>
      </c>
      <c r="F64" s="25">
        <v>42369</v>
      </c>
      <c r="G64" s="54" t="s">
        <v>307</v>
      </c>
      <c r="H64" s="55" t="s">
        <v>187</v>
      </c>
      <c r="I64" s="29">
        <v>133100</v>
      </c>
      <c r="J64" s="28">
        <v>42368</v>
      </c>
      <c r="K64" s="29">
        <v>0</v>
      </c>
      <c r="L64" s="29">
        <v>0</v>
      </c>
      <c r="M64" s="56">
        <v>0</v>
      </c>
      <c r="N64" s="33">
        <v>0</v>
      </c>
      <c r="O64" s="31">
        <v>767.89938268043613</v>
      </c>
      <c r="P64" s="32">
        <v>0</v>
      </c>
      <c r="Q64" s="33">
        <v>0</v>
      </c>
      <c r="R64" s="32">
        <v>0</v>
      </c>
      <c r="S64" s="33">
        <v>0</v>
      </c>
      <c r="T64" s="32">
        <v>0</v>
      </c>
      <c r="U64" s="33">
        <v>0</v>
      </c>
      <c r="V64" s="32">
        <v>0</v>
      </c>
      <c r="W64" s="33">
        <v>0</v>
      </c>
      <c r="X64" s="32">
        <v>0</v>
      </c>
      <c r="Y64" s="33">
        <v>0</v>
      </c>
      <c r="Z64" s="33">
        <v>0</v>
      </c>
      <c r="AA64" s="31">
        <v>0</v>
      </c>
      <c r="AB64" s="31">
        <v>0</v>
      </c>
      <c r="AC64" s="33">
        <v>0</v>
      </c>
      <c r="AD64" s="35"/>
      <c r="AE64" s="33">
        <v>0</v>
      </c>
      <c r="AF64" s="31">
        <v>5.3333333333333357</v>
      </c>
      <c r="AG64" s="33">
        <v>27286.318551079014</v>
      </c>
      <c r="AH64" s="31">
        <v>0</v>
      </c>
      <c r="AI64" s="31">
        <v>0</v>
      </c>
      <c r="AJ64" s="36">
        <v>27286.318551079014</v>
      </c>
      <c r="AK64" s="33">
        <f>IF(ISNA(VLOOKUP(A64,[2]AVANTAGE!$A$5:$T$118,19,0))=TRUE,0,VLOOKUP(A64,[2]AVANTAGE!$A$5:$T$118,19,0))</f>
        <v>0</v>
      </c>
      <c r="AL64" s="33">
        <f>IF(ISNA(VLOOKUP(A64,[2]AVANTAGE!$A$5:$T$118,20,0))=TRUE,0,VLOOKUP(A64,[2]AVANTAGE!$A$5:$T$118,20,0))</f>
        <v>0</v>
      </c>
      <c r="AM64" s="37">
        <f>+AJ64+AL64</f>
        <v>27286.318551079014</v>
      </c>
      <c r="AN64" s="38">
        <f>IF(D64=0,0,(IF((AM64)*1%&gt;10641.07,10641.07,(AM64)*1%)))</f>
        <v>272.86318551079012</v>
      </c>
      <c r="AO64" s="33">
        <f>IF(D64=0,0,(IF((AM64)*1%&gt;10641.07,10641.07,(AM64)*1%)))</f>
        <v>272.86318551079012</v>
      </c>
      <c r="AP64" s="38"/>
      <c r="AQ64" s="38">
        <f>+INT((AJ64+AL64-AO64-AN64-AP64)/100)*100</f>
        <v>26700</v>
      </c>
      <c r="AR64" s="39">
        <f>IF(AQ64=0,0,IF(AQ64&lt;=250000,0,(AQ64-250000)*20%))</f>
        <v>0</v>
      </c>
      <c r="AS64" s="40">
        <f>VLOOKUP(A64,'[2]Liste personnel'!$B$3:$R$187,16,0)</f>
        <v>0</v>
      </c>
      <c r="AT64" s="38">
        <f>+AS64*2000</f>
        <v>0</v>
      </c>
      <c r="AU64" s="38">
        <f>+IF(AR64=0,0,IF(AR64-AT64&lt;200,200,AR64-AT64))</f>
        <v>0</v>
      </c>
      <c r="AV64" s="38">
        <f>IF(ISNA(VLOOKUP(A64,[2]AVANCE!$A$6:$E$122,4,0))=TRUE,0,VLOOKUP(A64,[2]AVANCE!$A$6:$E$122,4,0))</f>
        <v>0</v>
      </c>
      <c r="AW64" s="38">
        <f>IF(ISNA(VLOOKUP(A64,[2]AVANCE!$A$6:$E$122,5,0))=TRUE,0,VLOOKUP(A64,[2]AVANCE!$A$6:$E$122,5,0))</f>
        <v>0</v>
      </c>
      <c r="AX64" s="38">
        <f>+AV64+AW64</f>
        <v>0</v>
      </c>
      <c r="AY64" s="57"/>
      <c r="AZ64" s="58">
        <f>+AO64+AN64+AU64+AX64+AY64</f>
        <v>545.72637102158023</v>
      </c>
      <c r="BA64" s="38">
        <f>+AJ64-AZ64</f>
        <v>26740.592180057432</v>
      </c>
      <c r="BB64" s="117"/>
      <c r="BC64" s="118"/>
      <c r="BD64" s="59">
        <f>+BA64+BB64+BC64</f>
        <v>26740.592180057432</v>
      </c>
      <c r="BE64" s="60">
        <f>IF(BD64-INT(BD64/100)*100&gt;0,INT(BD64/100)*100+100,INT(BD64/100)*100)</f>
        <v>26800</v>
      </c>
      <c r="BF64" s="61"/>
      <c r="BG64" s="61"/>
      <c r="BH64" s="62">
        <f>IF(BF64=0,0,I64/2)</f>
        <v>0</v>
      </c>
      <c r="BI64" s="62">
        <f>IF(BF64=0,0,+IF(BF64-J64&lt;30,J64-BF64,30))</f>
        <v>0</v>
      </c>
      <c r="BJ64" s="62">
        <f>+BI64*BH64/30</f>
        <v>0</v>
      </c>
      <c r="BK64" s="63">
        <f>+BD64+AX64+AY64</f>
        <v>26740.592180057432</v>
      </c>
      <c r="BL64" s="48">
        <f>+L64-N64</f>
        <v>0</v>
      </c>
      <c r="BN64" s="49"/>
      <c r="BO64" s="49"/>
    </row>
    <row r="65" spans="1:67" s="18" customFormat="1" ht="27" customHeight="1">
      <c r="A65" s="50" t="s">
        <v>125</v>
      </c>
      <c r="B65" s="51" t="s">
        <v>308</v>
      </c>
      <c r="C65" s="52"/>
      <c r="D65" s="53" t="s">
        <v>309</v>
      </c>
      <c r="E65" s="54">
        <v>42037</v>
      </c>
      <c r="F65" s="25">
        <v>42369</v>
      </c>
      <c r="G65" s="54" t="s">
        <v>310</v>
      </c>
      <c r="H65" s="55" t="s">
        <v>173</v>
      </c>
      <c r="I65" s="29">
        <v>701510</v>
      </c>
      <c r="J65" s="28">
        <v>42368</v>
      </c>
      <c r="K65" s="29">
        <v>0</v>
      </c>
      <c r="L65" s="29">
        <v>0</v>
      </c>
      <c r="M65" s="56">
        <v>0</v>
      </c>
      <c r="N65" s="33">
        <v>0</v>
      </c>
      <c r="O65" s="31">
        <v>4047.2509086713203</v>
      </c>
      <c r="P65" s="32">
        <v>0</v>
      </c>
      <c r="Q65" s="33">
        <v>0</v>
      </c>
      <c r="R65" s="32">
        <v>0</v>
      </c>
      <c r="S65" s="33">
        <v>0</v>
      </c>
      <c r="T65" s="32">
        <v>0</v>
      </c>
      <c r="U65" s="33">
        <v>0</v>
      </c>
      <c r="V65" s="32">
        <v>0</v>
      </c>
      <c r="W65" s="33">
        <v>0</v>
      </c>
      <c r="X65" s="32">
        <v>0</v>
      </c>
      <c r="Y65" s="33">
        <v>0</v>
      </c>
      <c r="Z65" s="33">
        <v>0</v>
      </c>
      <c r="AA65" s="31">
        <v>0</v>
      </c>
      <c r="AB65" s="31">
        <v>0</v>
      </c>
      <c r="AC65" s="33">
        <v>0</v>
      </c>
      <c r="AD65" s="35"/>
      <c r="AE65" s="33">
        <v>0</v>
      </c>
      <c r="AF65" s="31">
        <v>6.6666666666666643</v>
      </c>
      <c r="AG65" s="33">
        <v>138634.83070855652</v>
      </c>
      <c r="AH65" s="31">
        <v>0</v>
      </c>
      <c r="AI65" s="31">
        <v>0</v>
      </c>
      <c r="AJ65" s="36">
        <v>138634.83070855652</v>
      </c>
      <c r="AK65" s="33">
        <f>IF(ISNA(VLOOKUP(A65,[2]AVANTAGE!$A$5:$T$118,19,0))=TRUE,0,VLOOKUP(A65,[2]AVANTAGE!$A$5:$T$118,19,0))</f>
        <v>0</v>
      </c>
      <c r="AL65" s="33">
        <f>IF(ISNA(VLOOKUP(A65,[2]AVANTAGE!$A$5:$T$118,20,0))=TRUE,0,VLOOKUP(A65,[2]AVANTAGE!$A$5:$T$118,20,0))</f>
        <v>0</v>
      </c>
      <c r="AM65" s="37">
        <f>+AJ65+AL65</f>
        <v>138634.83070855652</v>
      </c>
      <c r="AN65" s="38">
        <f>IF(D65=0,0,(IF((AM65)*1%&gt;10641.07,10641.07,(AM65)*1%)))</f>
        <v>1386.3483070855652</v>
      </c>
      <c r="AO65" s="33">
        <f>IF(D65=0,0,(IF((AM65)*1%&gt;10641.07,10641.07,(AM65)*1%)))</f>
        <v>1386.3483070855652</v>
      </c>
      <c r="AP65" s="38"/>
      <c r="AQ65" s="38">
        <f>+INT((AJ65+AL65-AO65-AN65-AP65)/100)*100</f>
        <v>135800</v>
      </c>
      <c r="AR65" s="39">
        <f>IF(AQ65=0,0,IF(AQ65&lt;=250000,0,(AQ65-250000)*20%))</f>
        <v>0</v>
      </c>
      <c r="AS65" s="40">
        <f>VLOOKUP(A65,'[2]Liste personnel'!$B$3:$R$187,16,0)</f>
        <v>0</v>
      </c>
      <c r="AT65" s="38">
        <f>+AS65*2000</f>
        <v>0</v>
      </c>
      <c r="AU65" s="38">
        <f>+IF(AR65=0,0,IF(AR65-AT65&lt;200,200,AR65-AT65))</f>
        <v>0</v>
      </c>
      <c r="AV65" s="38">
        <f>IF(ISNA(VLOOKUP(A65,[2]AVANCE!$A$6:$E$122,4,0))=TRUE,0,VLOOKUP(A65,[2]AVANCE!$A$6:$E$122,4,0))</f>
        <v>0</v>
      </c>
      <c r="AW65" s="38">
        <f>IF(ISNA(VLOOKUP(A65,[2]AVANCE!$A$6:$E$122,5,0))=TRUE,0,VLOOKUP(A65,[2]AVANCE!$A$6:$E$122,5,0))</f>
        <v>0</v>
      </c>
      <c r="AX65" s="38">
        <f>+AV65+AW65</f>
        <v>0</v>
      </c>
      <c r="AY65" s="57"/>
      <c r="AZ65" s="58">
        <f>+AO65+AN65+AU65+AX65+AY65</f>
        <v>2772.6966141711305</v>
      </c>
      <c r="BA65" s="38">
        <f>+AJ65-AZ65</f>
        <v>135862.1340943854</v>
      </c>
      <c r="BB65" s="117"/>
      <c r="BC65" s="118"/>
      <c r="BD65" s="59">
        <f>+BA65+BB65+BC65</f>
        <v>135862.1340943854</v>
      </c>
      <c r="BE65" s="60">
        <f>IF(BD65-INT(BD65/100)*100&gt;0,INT(BD65/100)*100+100,INT(BD65/100)*100)</f>
        <v>135900</v>
      </c>
      <c r="BF65" s="61"/>
      <c r="BG65" s="61"/>
      <c r="BH65" s="62">
        <f>IF(BF65=0,0,I65/2)</f>
        <v>0</v>
      </c>
      <c r="BI65" s="62">
        <f>IF(BF65=0,0,+IF(BF65-J65&lt;30,J65-BF65,30))</f>
        <v>0</v>
      </c>
      <c r="BJ65" s="62">
        <f>+BI65*BH65/30</f>
        <v>0</v>
      </c>
      <c r="BK65" s="63">
        <f>+BD65+AX65+AY65</f>
        <v>135862.1340943854</v>
      </c>
      <c r="BL65" s="48">
        <f>+L65-N65</f>
        <v>0</v>
      </c>
      <c r="BN65" s="49"/>
      <c r="BO65" s="49"/>
    </row>
    <row r="66" spans="1:67" s="18" customFormat="1" ht="27" customHeight="1">
      <c r="A66" s="50" t="s">
        <v>126</v>
      </c>
      <c r="B66" s="51" t="s">
        <v>311</v>
      </c>
      <c r="C66" s="52"/>
      <c r="D66" s="53" t="s">
        <v>290</v>
      </c>
      <c r="E66" s="54">
        <v>42066</v>
      </c>
      <c r="F66" s="25">
        <v>42369</v>
      </c>
      <c r="G66" s="54" t="s">
        <v>260</v>
      </c>
      <c r="H66" s="55" t="s">
        <v>187</v>
      </c>
      <c r="I66" s="29">
        <v>133100</v>
      </c>
      <c r="J66" s="28">
        <v>42368</v>
      </c>
      <c r="K66" s="29">
        <v>0</v>
      </c>
      <c r="L66" s="29">
        <v>0</v>
      </c>
      <c r="M66" s="56">
        <v>0</v>
      </c>
      <c r="N66" s="33">
        <v>0</v>
      </c>
      <c r="O66" s="31">
        <v>0</v>
      </c>
      <c r="P66" s="32">
        <v>0</v>
      </c>
      <c r="Q66" s="33">
        <v>0</v>
      </c>
      <c r="R66" s="32">
        <v>0</v>
      </c>
      <c r="S66" s="33">
        <v>0</v>
      </c>
      <c r="T66" s="32">
        <v>0</v>
      </c>
      <c r="U66" s="33">
        <v>0</v>
      </c>
      <c r="V66" s="32">
        <v>0</v>
      </c>
      <c r="W66" s="33">
        <v>0</v>
      </c>
      <c r="X66" s="32">
        <v>0</v>
      </c>
      <c r="Y66" s="33">
        <v>0</v>
      </c>
      <c r="Z66" s="33">
        <v>0</v>
      </c>
      <c r="AA66" s="31">
        <v>0</v>
      </c>
      <c r="AB66" s="31">
        <v>0</v>
      </c>
      <c r="AC66" s="33">
        <v>0</v>
      </c>
      <c r="AD66" s="35"/>
      <c r="AE66" s="33">
        <v>0</v>
      </c>
      <c r="AF66" s="31">
        <v>12.25</v>
      </c>
      <c r="AG66" s="33">
        <v>59240.457370370372</v>
      </c>
      <c r="AH66" s="31">
        <v>0</v>
      </c>
      <c r="AI66" s="31">
        <v>0</v>
      </c>
      <c r="AJ66" s="36">
        <v>59240.457370370372</v>
      </c>
      <c r="AK66" s="33">
        <f>IF(ISNA(VLOOKUP(A66,[2]AVANTAGE!$A$5:$T$118,19,0))=TRUE,0,VLOOKUP(A66,[2]AVANTAGE!$A$5:$T$118,19,0))</f>
        <v>0</v>
      </c>
      <c r="AL66" s="33">
        <f>IF(ISNA(VLOOKUP(A66,[2]AVANTAGE!$A$5:$T$118,20,0))=TRUE,0,VLOOKUP(A66,[2]AVANTAGE!$A$5:$T$118,20,0))</f>
        <v>0</v>
      </c>
      <c r="AM66" s="37">
        <f>+AJ66+AL66</f>
        <v>59240.457370370372</v>
      </c>
      <c r="AN66" s="38">
        <f>IF(D66=0,0,(IF((AM66)*1%&gt;10641.07,10641.07,(AM66)*1%)))</f>
        <v>592.4045737037037</v>
      </c>
      <c r="AO66" s="33">
        <f>IF(D66=0,0,(IF((AM66)*1%&gt;10641.07,10641.07,(AM66)*1%)))</f>
        <v>592.4045737037037</v>
      </c>
      <c r="AP66" s="38"/>
      <c r="AQ66" s="38">
        <f>+INT((AJ66+AL66-AO66-AN66-AP66)/100)*100</f>
        <v>58000</v>
      </c>
      <c r="AR66" s="39">
        <f>IF(AQ66=0,0,IF(AQ66&lt;=250000,0,(AQ66-250000)*20%))</f>
        <v>0</v>
      </c>
      <c r="AS66" s="40">
        <f>VLOOKUP(A66,'[2]Liste personnel'!$B$3:$R$187,16,0)</f>
        <v>0</v>
      </c>
      <c r="AT66" s="38">
        <f>+AS66*2000</f>
        <v>0</v>
      </c>
      <c r="AU66" s="38">
        <f>+IF(AR66=0,0,IF(AR66-AT66&lt;200,200,AR66-AT66))</f>
        <v>0</v>
      </c>
      <c r="AV66" s="38">
        <f>IF(ISNA(VLOOKUP(A66,[2]AVANCE!$A$6:$E$122,4,0))=TRUE,0,VLOOKUP(A66,[2]AVANCE!$A$6:$E$122,4,0))</f>
        <v>0</v>
      </c>
      <c r="AW66" s="38">
        <f>IF(ISNA(VLOOKUP(A66,[2]AVANCE!$A$6:$E$122,5,0))=TRUE,0,VLOOKUP(A66,[2]AVANCE!$A$6:$E$122,5,0))</f>
        <v>0</v>
      </c>
      <c r="AX66" s="38">
        <f>+AV66+AW66</f>
        <v>0</v>
      </c>
      <c r="AY66" s="57"/>
      <c r="AZ66" s="58">
        <f>+AO66+AN66+AU66+AX66+AY66</f>
        <v>1184.8091474074074</v>
      </c>
      <c r="BA66" s="38">
        <f>+AJ66-AZ66</f>
        <v>58055.648222962962</v>
      </c>
      <c r="BB66" s="117"/>
      <c r="BC66" s="118"/>
      <c r="BD66" s="59">
        <f>+BA66+BB66+BC66</f>
        <v>58055.648222962962</v>
      </c>
      <c r="BE66" s="60">
        <f>IF(BD66-INT(BD66/100)*100&gt;0,INT(BD66/100)*100+100,INT(BD66/100)*100)</f>
        <v>58100</v>
      </c>
      <c r="BF66" s="61"/>
      <c r="BG66" s="61"/>
      <c r="BH66" s="62">
        <f>IF(BF66=0,0,I66/2)</f>
        <v>0</v>
      </c>
      <c r="BI66" s="62">
        <f>IF(BF66=0,0,+IF(BF66-J66&lt;30,J66-BF66,30))</f>
        <v>0</v>
      </c>
      <c r="BJ66" s="62">
        <f>+BI66*BH66/30</f>
        <v>0</v>
      </c>
      <c r="BK66" s="63">
        <f>+BD66+AX66+AY66</f>
        <v>58055.648222962962</v>
      </c>
      <c r="BL66" s="48">
        <f>+L66-N66</f>
        <v>0</v>
      </c>
      <c r="BM66" s="157"/>
      <c r="BN66" s="156"/>
      <c r="BO66" s="49"/>
    </row>
    <row r="67" spans="1:67" s="18" customFormat="1" ht="27" customHeight="1">
      <c r="A67" s="50" t="s">
        <v>127</v>
      </c>
      <c r="B67" s="51" t="s">
        <v>312</v>
      </c>
      <c r="C67" s="52"/>
      <c r="D67" s="53" t="s">
        <v>301</v>
      </c>
      <c r="E67" s="54">
        <v>42110</v>
      </c>
      <c r="F67" s="25">
        <v>42369</v>
      </c>
      <c r="G67" s="54" t="s">
        <v>215</v>
      </c>
      <c r="H67" s="55" t="s">
        <v>187</v>
      </c>
      <c r="I67" s="29">
        <v>133100</v>
      </c>
      <c r="J67" s="28">
        <v>42368</v>
      </c>
      <c r="K67" s="29">
        <v>0</v>
      </c>
      <c r="L67" s="29">
        <v>0</v>
      </c>
      <c r="M67" s="56">
        <v>0</v>
      </c>
      <c r="N67" s="33">
        <v>0</v>
      </c>
      <c r="O67" s="31">
        <v>767.89938268043613</v>
      </c>
      <c r="P67" s="32">
        <v>0</v>
      </c>
      <c r="Q67" s="33">
        <v>0</v>
      </c>
      <c r="R67" s="32">
        <v>0</v>
      </c>
      <c r="S67" s="33">
        <v>0</v>
      </c>
      <c r="T67" s="32">
        <v>0</v>
      </c>
      <c r="U67" s="33">
        <v>0</v>
      </c>
      <c r="V67" s="32">
        <v>0</v>
      </c>
      <c r="W67" s="33">
        <v>0</v>
      </c>
      <c r="X67" s="32">
        <v>0</v>
      </c>
      <c r="Y67" s="33">
        <v>0</v>
      </c>
      <c r="Z67" s="33">
        <v>0</v>
      </c>
      <c r="AA67" s="31">
        <v>0</v>
      </c>
      <c r="AB67" s="31">
        <v>0</v>
      </c>
      <c r="AC67" s="33">
        <v>0</v>
      </c>
      <c r="AD67" s="35"/>
      <c r="AE67" s="33">
        <v>0</v>
      </c>
      <c r="AF67" s="31">
        <v>0.58333333333333215</v>
      </c>
      <c r="AG67" s="33">
        <v>3131.6328640981919</v>
      </c>
      <c r="AH67" s="31">
        <v>0</v>
      </c>
      <c r="AI67" s="31">
        <v>0</v>
      </c>
      <c r="AJ67" s="36">
        <v>3131.6328640981919</v>
      </c>
      <c r="AK67" s="33">
        <f>IF(ISNA(VLOOKUP(A67,[2]AVANTAGE!$A$5:$T$118,19,0))=TRUE,0,VLOOKUP(A67,[2]AVANTAGE!$A$5:$T$118,19,0))</f>
        <v>0</v>
      </c>
      <c r="AL67" s="33">
        <f>IF(ISNA(VLOOKUP(A67,[2]AVANTAGE!$A$5:$T$118,20,0))=TRUE,0,VLOOKUP(A67,[2]AVANTAGE!$A$5:$T$118,20,0))</f>
        <v>0</v>
      </c>
      <c r="AM67" s="37">
        <f>+AJ67+AL67</f>
        <v>3131.6328640981919</v>
      </c>
      <c r="AN67" s="38">
        <f>IF(D67=0,0,(IF((AM67)*1%&gt;10641.07,10641.07,(AM67)*1%)))</f>
        <v>31.316328640981919</v>
      </c>
      <c r="AO67" s="33">
        <f>IF(D67=0,0,(IF((AM67)*1%&gt;10641.07,10641.07,(AM67)*1%)))</f>
        <v>31.316328640981919</v>
      </c>
      <c r="AP67" s="38"/>
      <c r="AQ67" s="38">
        <f>+INT((AJ67+AL67-AO67-AN67-AP67)/100)*100</f>
        <v>3000</v>
      </c>
      <c r="AR67" s="39">
        <f>IF(AQ67=0,0,IF(AQ67&lt;=250000,0,(AQ67-250000)*20%))</f>
        <v>0</v>
      </c>
      <c r="AS67" s="40">
        <f>VLOOKUP(A67,'[2]Liste personnel'!$B$3:$R$187,16,0)</f>
        <v>0</v>
      </c>
      <c r="AT67" s="38">
        <f>+AS67*2000</f>
        <v>0</v>
      </c>
      <c r="AU67" s="38">
        <f>+IF(AR67=0,0,IF(AR67-AT67&lt;200,200,AR67-AT67))</f>
        <v>0</v>
      </c>
      <c r="AV67" s="38">
        <f>IF(ISNA(VLOOKUP(A67,[2]AVANCE!$A$6:$E$122,4,0))=TRUE,0,VLOOKUP(A67,[2]AVANCE!$A$6:$E$122,4,0))</f>
        <v>0</v>
      </c>
      <c r="AW67" s="38">
        <f>IF(ISNA(VLOOKUP(A67,[2]AVANCE!$A$6:$E$122,5,0))=TRUE,0,VLOOKUP(A67,[2]AVANCE!$A$6:$E$122,5,0))</f>
        <v>0</v>
      </c>
      <c r="AX67" s="38">
        <f>+AV67+AW67</f>
        <v>0</v>
      </c>
      <c r="AY67" s="57"/>
      <c r="AZ67" s="58">
        <f>+AO67+AN67+AU67+AX67+AY67</f>
        <v>62.632657281963837</v>
      </c>
      <c r="BA67" s="38">
        <f>+AJ67-AZ67</f>
        <v>3069.000206816228</v>
      </c>
      <c r="BB67" s="117"/>
      <c r="BC67" s="118"/>
      <c r="BD67" s="59">
        <f>+BA67+BB67+BC67</f>
        <v>3069.000206816228</v>
      </c>
      <c r="BE67" s="60">
        <f>IF(BD67-INT(BD67/100)*100&gt;0,INT(BD67/100)*100+100,INT(BD67/100)*100)</f>
        <v>3100</v>
      </c>
      <c r="BF67" s="61"/>
      <c r="BG67" s="61"/>
      <c r="BH67" s="62">
        <f>IF(BF67=0,0,I67/2)</f>
        <v>0</v>
      </c>
      <c r="BI67" s="62">
        <f>IF(BF67=0,0,+IF(BF67-J67&lt;30,J67-BF67,30))</f>
        <v>0</v>
      </c>
      <c r="BJ67" s="62">
        <f>+BI67*BH67/30</f>
        <v>0</v>
      </c>
      <c r="BK67" s="63">
        <f>+BD67+AX67+AY67</f>
        <v>3069.000206816228</v>
      </c>
      <c r="BL67" s="48">
        <f>+L67-N67</f>
        <v>0</v>
      </c>
      <c r="BN67" s="49"/>
      <c r="BO67" s="49"/>
    </row>
    <row r="68" spans="1:67" s="18" customFormat="1" ht="27" customHeight="1">
      <c r="A68" s="50" t="s">
        <v>128</v>
      </c>
      <c r="B68" s="51" t="s">
        <v>313</v>
      </c>
      <c r="C68" s="52"/>
      <c r="D68" s="53" t="s">
        <v>301</v>
      </c>
      <c r="E68" s="54">
        <v>42109</v>
      </c>
      <c r="F68" s="25">
        <v>42369</v>
      </c>
      <c r="G68" s="54" t="s">
        <v>215</v>
      </c>
      <c r="H68" s="55" t="s">
        <v>187</v>
      </c>
      <c r="I68" s="29">
        <v>133100</v>
      </c>
      <c r="J68" s="28">
        <v>42368</v>
      </c>
      <c r="K68" s="29">
        <v>0</v>
      </c>
      <c r="L68" s="29">
        <v>0</v>
      </c>
      <c r="M68" s="56">
        <v>0</v>
      </c>
      <c r="N68" s="33">
        <v>0</v>
      </c>
      <c r="O68" s="31">
        <v>767.89938268043613</v>
      </c>
      <c r="P68" s="32">
        <v>0</v>
      </c>
      <c r="Q68" s="33">
        <v>0</v>
      </c>
      <c r="R68" s="32">
        <v>0</v>
      </c>
      <c r="S68" s="33">
        <v>0</v>
      </c>
      <c r="T68" s="32">
        <v>0</v>
      </c>
      <c r="U68" s="33">
        <v>0</v>
      </c>
      <c r="V68" s="32">
        <v>0</v>
      </c>
      <c r="W68" s="33">
        <v>0</v>
      </c>
      <c r="X68" s="32">
        <v>0</v>
      </c>
      <c r="Y68" s="33">
        <v>0</v>
      </c>
      <c r="Z68" s="33">
        <v>0</v>
      </c>
      <c r="AA68" s="31">
        <v>0</v>
      </c>
      <c r="AB68" s="31">
        <v>0</v>
      </c>
      <c r="AC68" s="33">
        <v>0</v>
      </c>
      <c r="AD68" s="35"/>
      <c r="AE68" s="33">
        <v>0</v>
      </c>
      <c r="AF68" s="31">
        <v>0.6666666666666643</v>
      </c>
      <c r="AG68" s="33">
        <v>3736.479386242991</v>
      </c>
      <c r="AH68" s="31">
        <v>0</v>
      </c>
      <c r="AI68" s="31">
        <v>0</v>
      </c>
      <c r="AJ68" s="36">
        <v>3736.479386242991</v>
      </c>
      <c r="AK68" s="33">
        <f>IF(ISNA(VLOOKUP(A68,[2]AVANTAGE!$A$5:$T$118,19,0))=TRUE,0,VLOOKUP(A68,[2]AVANTAGE!$A$5:$T$118,19,0))</f>
        <v>0</v>
      </c>
      <c r="AL68" s="33">
        <f>IF(ISNA(VLOOKUP(A68,[2]AVANTAGE!$A$5:$T$118,20,0))=TRUE,0,VLOOKUP(A68,[2]AVANTAGE!$A$5:$T$118,20,0))</f>
        <v>0</v>
      </c>
      <c r="AM68" s="37">
        <f>+AJ68+AL68</f>
        <v>3736.479386242991</v>
      </c>
      <c r="AN68" s="38">
        <f>IF(D68=0,0,(IF((AM68)*1%&gt;10641.07,10641.07,(AM68)*1%)))</f>
        <v>37.364793862429913</v>
      </c>
      <c r="AO68" s="33">
        <f>IF(D68=0,0,(IF((AM68)*1%&gt;10641.07,10641.07,(AM68)*1%)))</f>
        <v>37.364793862429913</v>
      </c>
      <c r="AP68" s="38"/>
      <c r="AQ68" s="38">
        <f>+INT((AJ68+AL68-AO68-AN68-AP68)/100)*100</f>
        <v>3600</v>
      </c>
      <c r="AR68" s="39">
        <f>IF(AQ68=0,0,IF(AQ68&lt;=250000,0,(AQ68-250000)*20%))</f>
        <v>0</v>
      </c>
      <c r="AS68" s="40">
        <f>VLOOKUP(A68,'[2]Liste personnel'!$B$3:$R$187,16,0)</f>
        <v>0</v>
      </c>
      <c r="AT68" s="38">
        <f>+AS68*2000</f>
        <v>0</v>
      </c>
      <c r="AU68" s="38">
        <f>+IF(AR68=0,0,IF(AR68-AT68&lt;200,200,AR68-AT68))</f>
        <v>0</v>
      </c>
      <c r="AV68" s="38">
        <f>IF(ISNA(VLOOKUP(A68,[2]AVANCE!$A$6:$E$122,4,0))=TRUE,0,VLOOKUP(A68,[2]AVANCE!$A$6:$E$122,4,0))</f>
        <v>0</v>
      </c>
      <c r="AW68" s="38">
        <f>IF(ISNA(VLOOKUP(A68,[2]AVANCE!$A$6:$E$122,5,0))=TRUE,0,VLOOKUP(A68,[2]AVANCE!$A$6:$E$122,5,0))</f>
        <v>0</v>
      </c>
      <c r="AX68" s="38">
        <f>+AV68+AW68</f>
        <v>0</v>
      </c>
      <c r="AY68" s="57"/>
      <c r="AZ68" s="58">
        <f>+AO68+AN68+AU68+AX68+AY68</f>
        <v>74.729587724859826</v>
      </c>
      <c r="BA68" s="38">
        <f>+AJ68-AZ68</f>
        <v>3661.7497985181312</v>
      </c>
      <c r="BB68" s="117"/>
      <c r="BC68" s="118"/>
      <c r="BD68" s="59">
        <f>+BA68+BB68+BC68</f>
        <v>3661.7497985181312</v>
      </c>
      <c r="BE68" s="60">
        <f>IF(BD68-INT(BD68/100)*100&gt;0,INT(BD68/100)*100+100,INT(BD68/100)*100)</f>
        <v>3700</v>
      </c>
      <c r="BF68" s="61"/>
      <c r="BG68" s="61"/>
      <c r="BH68" s="62">
        <f>IF(BF68=0,0,I68/2)</f>
        <v>0</v>
      </c>
      <c r="BI68" s="62">
        <f>IF(BF68=0,0,+IF(BF68-J68&lt;30,J68-BF68,30))</f>
        <v>0</v>
      </c>
      <c r="BJ68" s="62">
        <f>+BI68*BH68/30</f>
        <v>0</v>
      </c>
      <c r="BK68" s="63">
        <f>+BD68+AX68+AY68</f>
        <v>3661.7497985181312</v>
      </c>
      <c r="BL68" s="48">
        <f>+L68-N68</f>
        <v>0</v>
      </c>
      <c r="BN68" s="49"/>
      <c r="BO68" s="49"/>
    </row>
    <row r="69" spans="1:67" s="18" customFormat="1" ht="27" customHeight="1">
      <c r="A69" s="50" t="s">
        <v>129</v>
      </c>
      <c r="B69" s="51" t="s">
        <v>314</v>
      </c>
      <c r="C69" s="52"/>
      <c r="D69" s="53" t="s">
        <v>301</v>
      </c>
      <c r="E69" s="54">
        <v>42117</v>
      </c>
      <c r="F69" s="25">
        <v>42369</v>
      </c>
      <c r="G69" s="54" t="s">
        <v>215</v>
      </c>
      <c r="H69" s="55" t="s">
        <v>187</v>
      </c>
      <c r="I69" s="29">
        <v>133100</v>
      </c>
      <c r="J69" s="28">
        <v>42368</v>
      </c>
      <c r="K69" s="29">
        <v>0</v>
      </c>
      <c r="L69" s="29">
        <v>0</v>
      </c>
      <c r="M69" s="56">
        <v>0</v>
      </c>
      <c r="N69" s="33">
        <v>0</v>
      </c>
      <c r="O69" s="31">
        <v>767.89938268043613</v>
      </c>
      <c r="P69" s="32">
        <v>0</v>
      </c>
      <c r="Q69" s="33">
        <v>0</v>
      </c>
      <c r="R69" s="32">
        <v>0</v>
      </c>
      <c r="S69" s="33">
        <v>0</v>
      </c>
      <c r="T69" s="32">
        <v>0</v>
      </c>
      <c r="U69" s="33">
        <v>0</v>
      </c>
      <c r="V69" s="32">
        <v>0</v>
      </c>
      <c r="W69" s="33">
        <v>0</v>
      </c>
      <c r="X69" s="32">
        <v>0</v>
      </c>
      <c r="Y69" s="33">
        <v>0</v>
      </c>
      <c r="Z69" s="33">
        <v>0</v>
      </c>
      <c r="AA69" s="31">
        <v>0</v>
      </c>
      <c r="AB69" s="31">
        <v>0</v>
      </c>
      <c r="AC69" s="33">
        <v>0</v>
      </c>
      <c r="AD69" s="35"/>
      <c r="AE69" s="33">
        <v>0</v>
      </c>
      <c r="AF69" s="31">
        <v>0</v>
      </c>
      <c r="AG69" s="33">
        <v>0</v>
      </c>
      <c r="AH69" s="31">
        <v>0</v>
      </c>
      <c r="AI69" s="31">
        <v>0</v>
      </c>
      <c r="AJ69" s="36">
        <v>0</v>
      </c>
      <c r="AK69" s="33">
        <f>IF(ISNA(VLOOKUP(A69,[2]AVANTAGE!$A$5:$T$118,19,0))=TRUE,0,VLOOKUP(A69,[2]AVANTAGE!$A$5:$T$118,19,0))</f>
        <v>0</v>
      </c>
      <c r="AL69" s="33">
        <f>IF(ISNA(VLOOKUP(A69,[2]AVANTAGE!$A$5:$T$118,20,0))=TRUE,0,VLOOKUP(A69,[2]AVANTAGE!$A$5:$T$118,20,0))</f>
        <v>0</v>
      </c>
      <c r="AM69" s="37">
        <f>+AJ69+AL69</f>
        <v>0</v>
      </c>
      <c r="AN69" s="38">
        <f>IF(D69=0,0,(IF((AM69)*1%&gt;10641.07,10641.07,(AM69)*1%)))</f>
        <v>0</v>
      </c>
      <c r="AO69" s="33">
        <f>IF(D69=0,0,(IF((AM69)*1%&gt;10641.07,10641.07,(AM69)*1%)))</f>
        <v>0</v>
      </c>
      <c r="AP69" s="38"/>
      <c r="AQ69" s="38">
        <f>+INT((AJ69+AL69-AO69-AN69-AP69)/100)*100</f>
        <v>0</v>
      </c>
      <c r="AR69" s="39">
        <f>IF(AQ69=0,0,IF(AQ69&lt;=250000,0,(AQ69-250000)*20%))</f>
        <v>0</v>
      </c>
      <c r="AS69" s="40">
        <f>VLOOKUP(A69,'[2]Liste personnel'!$B$3:$R$187,16,0)</f>
        <v>0</v>
      </c>
      <c r="AT69" s="38">
        <f>+AS69*2000</f>
        <v>0</v>
      </c>
      <c r="AU69" s="38">
        <f>+IF(AR69=0,0,IF(AR69-AT69&lt;200,200,AR69-AT69))</f>
        <v>0</v>
      </c>
      <c r="AV69" s="38">
        <f>IF(ISNA(VLOOKUP(A69,[2]AVANCE!$A$6:$E$122,4,0))=TRUE,0,VLOOKUP(A69,[2]AVANCE!$A$6:$E$122,4,0))</f>
        <v>0</v>
      </c>
      <c r="AW69" s="38">
        <f>IF(ISNA(VLOOKUP(A69,[2]AVANCE!$A$6:$E$122,5,0))=TRUE,0,VLOOKUP(A69,[2]AVANCE!$A$6:$E$122,5,0))</f>
        <v>0</v>
      </c>
      <c r="AX69" s="38">
        <f>+AV69+AW69</f>
        <v>0</v>
      </c>
      <c r="AY69" s="57"/>
      <c r="AZ69" s="58">
        <f>+AO69+AN69+AU69+AX69+AY69</f>
        <v>0</v>
      </c>
      <c r="BA69" s="38">
        <f>+AJ69-AZ69</f>
        <v>0</v>
      </c>
      <c r="BB69" s="117"/>
      <c r="BC69" s="118"/>
      <c r="BD69" s="59">
        <f>+BA69+BB69+BC69</f>
        <v>0</v>
      </c>
      <c r="BE69" s="60">
        <f>IF(BD69-INT(BD69/100)*100&gt;0,INT(BD69/100)*100+100,INT(BD69/100)*100)</f>
        <v>0</v>
      </c>
      <c r="BF69" s="61"/>
      <c r="BG69" s="61"/>
      <c r="BH69" s="62">
        <f>IF(BF69=0,0,I69/2)</f>
        <v>0</v>
      </c>
      <c r="BI69" s="62">
        <f>IF(BF69=0,0,+IF(BF69-J69&lt;30,J69-BF69,30))</f>
        <v>0</v>
      </c>
      <c r="BJ69" s="62">
        <f>+BI69*BH69/30</f>
        <v>0</v>
      </c>
      <c r="BK69" s="63">
        <f>+BD69+AX69+AY69</f>
        <v>0</v>
      </c>
      <c r="BL69" s="48">
        <f>+L69-N69</f>
        <v>0</v>
      </c>
      <c r="BN69" s="49"/>
      <c r="BO69" s="49"/>
    </row>
    <row r="70" spans="1:67" s="18" customFormat="1" ht="27" customHeight="1">
      <c r="A70" s="50" t="s">
        <v>130</v>
      </c>
      <c r="B70" s="51" t="s">
        <v>315</v>
      </c>
      <c r="C70" s="52"/>
      <c r="D70" s="53" t="s">
        <v>316</v>
      </c>
      <c r="E70" s="54">
        <v>42129</v>
      </c>
      <c r="F70" s="25">
        <v>42369</v>
      </c>
      <c r="G70" s="54" t="s">
        <v>215</v>
      </c>
      <c r="H70" s="55" t="s">
        <v>187</v>
      </c>
      <c r="I70" s="29">
        <v>133100</v>
      </c>
      <c r="J70" s="28">
        <v>42368</v>
      </c>
      <c r="K70" s="29">
        <v>0</v>
      </c>
      <c r="L70" s="29">
        <v>0</v>
      </c>
      <c r="M70" s="56">
        <v>0</v>
      </c>
      <c r="N70" s="33">
        <v>0</v>
      </c>
      <c r="O70" s="31">
        <v>767.89938268043613</v>
      </c>
      <c r="P70" s="32">
        <v>0</v>
      </c>
      <c r="Q70" s="33">
        <v>0</v>
      </c>
      <c r="R70" s="32">
        <v>0</v>
      </c>
      <c r="S70" s="33">
        <v>0</v>
      </c>
      <c r="T70" s="32">
        <v>0</v>
      </c>
      <c r="U70" s="33">
        <v>0</v>
      </c>
      <c r="V70" s="32">
        <v>0</v>
      </c>
      <c r="W70" s="33">
        <v>0</v>
      </c>
      <c r="X70" s="32">
        <v>0</v>
      </c>
      <c r="Y70" s="33">
        <v>0</v>
      </c>
      <c r="Z70" s="33">
        <v>0</v>
      </c>
      <c r="AA70" s="31">
        <v>0</v>
      </c>
      <c r="AB70" s="31">
        <v>0</v>
      </c>
      <c r="AC70" s="33">
        <v>0</v>
      </c>
      <c r="AD70" s="35"/>
      <c r="AE70" s="33">
        <v>0</v>
      </c>
      <c r="AF70" s="31">
        <v>-0.33666666666666956</v>
      </c>
      <c r="AG70" s="33">
        <v>-1845.9736230318103</v>
      </c>
      <c r="AH70" s="31">
        <v>0</v>
      </c>
      <c r="AI70" s="31">
        <v>0</v>
      </c>
      <c r="AJ70" s="36">
        <v>-1845.9736230318103</v>
      </c>
      <c r="AK70" s="33">
        <f>IF(ISNA(VLOOKUP(A70,[2]AVANTAGE!$A$5:$T$118,19,0))=TRUE,0,VLOOKUP(A70,[2]AVANTAGE!$A$5:$T$118,19,0))</f>
        <v>0</v>
      </c>
      <c r="AL70" s="33">
        <f>IF(ISNA(VLOOKUP(A70,[2]AVANTAGE!$A$5:$T$118,20,0))=TRUE,0,VLOOKUP(A70,[2]AVANTAGE!$A$5:$T$118,20,0))</f>
        <v>0</v>
      </c>
      <c r="AM70" s="37">
        <f>+AJ70+AL70</f>
        <v>-1845.9736230318103</v>
      </c>
      <c r="AN70" s="38">
        <f>IF(D70=0,0,(IF((AM70)*1%&gt;10641.07,10641.07,(AM70)*1%)))</f>
        <v>-18.459736230318104</v>
      </c>
      <c r="AO70" s="33">
        <f>IF(D70=0,0,(IF((AM70)*1%&gt;10641.07,10641.07,(AM70)*1%)))</f>
        <v>-18.459736230318104</v>
      </c>
      <c r="AP70" s="38"/>
      <c r="AQ70" s="38">
        <f>+INT((AJ70+AL70-AO70-AN70-AP70)/100)*100</f>
        <v>-1900</v>
      </c>
      <c r="AR70" s="39">
        <f>IF(AQ70=0,0,IF(AQ70&lt;=250000,0,(AQ70-250000)*20%))</f>
        <v>0</v>
      </c>
      <c r="AS70" s="40">
        <f>VLOOKUP(A70,'[2]Liste personnel'!$B$3:$R$187,16,0)</f>
        <v>0</v>
      </c>
      <c r="AT70" s="38">
        <f>+AS70*2000</f>
        <v>0</v>
      </c>
      <c r="AU70" s="38">
        <f>+IF(AR70=0,0,IF(AR70-AT70&lt;200,200,AR70-AT70))</f>
        <v>0</v>
      </c>
      <c r="AV70" s="38">
        <f>IF(ISNA(VLOOKUP(A70,[2]AVANCE!$A$6:$E$122,4,0))=TRUE,0,VLOOKUP(A70,[2]AVANCE!$A$6:$E$122,4,0))</f>
        <v>0</v>
      </c>
      <c r="AW70" s="38">
        <f>IF(ISNA(VLOOKUP(A70,[2]AVANCE!$A$6:$E$122,5,0))=TRUE,0,VLOOKUP(A70,[2]AVANCE!$A$6:$E$122,5,0))</f>
        <v>0</v>
      </c>
      <c r="AX70" s="38">
        <f>+AV70+AW70</f>
        <v>0</v>
      </c>
      <c r="AY70" s="57"/>
      <c r="AZ70" s="58">
        <f>+AO70+AN70+AU70+AX70+AY70</f>
        <v>-36.919472460636207</v>
      </c>
      <c r="BA70" s="38">
        <f>+AJ70-AZ70</f>
        <v>-1809.0541505711742</v>
      </c>
      <c r="BB70" s="117"/>
      <c r="BC70" s="118"/>
      <c r="BD70" s="59">
        <f>+BA70+BB70+BC70</f>
        <v>-1809.0541505711742</v>
      </c>
      <c r="BE70" s="60">
        <f>IF(BD70-INT(BD70/100)*100&gt;0,INT(BD70/100)*100+100,INT(BD70/100)*100)</f>
        <v>-1800</v>
      </c>
      <c r="BF70" s="61"/>
      <c r="BG70" s="61"/>
      <c r="BH70" s="62">
        <f>IF(BF70=0,0,I70/2)</f>
        <v>0</v>
      </c>
      <c r="BI70" s="62">
        <f>IF(BF70=0,0,+IF(BF70-J70&lt;30,J70-BF70,30))</f>
        <v>0</v>
      </c>
      <c r="BJ70" s="62">
        <f>+BI70*BH70/30</f>
        <v>0</v>
      </c>
      <c r="BK70" s="63">
        <f>+BD70+AX70+AY70</f>
        <v>-1809.0541505711742</v>
      </c>
      <c r="BL70" s="48">
        <f>+L70-N70</f>
        <v>0</v>
      </c>
      <c r="BN70" s="49"/>
      <c r="BO70" s="49"/>
    </row>
    <row r="71" spans="1:67" s="18" customFormat="1" ht="27" customHeight="1">
      <c r="A71" s="50" t="s">
        <v>131</v>
      </c>
      <c r="B71" s="51" t="s">
        <v>317</v>
      </c>
      <c r="C71" s="52"/>
      <c r="D71" s="53" t="s">
        <v>318</v>
      </c>
      <c r="E71" s="54">
        <v>42129</v>
      </c>
      <c r="F71" s="25">
        <v>42369</v>
      </c>
      <c r="G71" s="54" t="s">
        <v>215</v>
      </c>
      <c r="H71" s="55" t="s">
        <v>187</v>
      </c>
      <c r="I71" s="29">
        <v>133100</v>
      </c>
      <c r="J71" s="28">
        <v>42368</v>
      </c>
      <c r="K71" s="29">
        <v>0</v>
      </c>
      <c r="L71" s="29">
        <v>0</v>
      </c>
      <c r="M71" s="56">
        <v>0</v>
      </c>
      <c r="N71" s="33">
        <v>0</v>
      </c>
      <c r="O71" s="31">
        <v>767.89938268043613</v>
      </c>
      <c r="P71" s="32">
        <v>0</v>
      </c>
      <c r="Q71" s="33">
        <v>0</v>
      </c>
      <c r="R71" s="32">
        <v>0</v>
      </c>
      <c r="S71" s="33">
        <v>0</v>
      </c>
      <c r="T71" s="32">
        <v>0</v>
      </c>
      <c r="U71" s="33">
        <v>0</v>
      </c>
      <c r="V71" s="32">
        <v>0</v>
      </c>
      <c r="W71" s="33">
        <v>0</v>
      </c>
      <c r="X71" s="32">
        <v>0</v>
      </c>
      <c r="Y71" s="33">
        <v>0</v>
      </c>
      <c r="Z71" s="33">
        <v>0</v>
      </c>
      <c r="AA71" s="31">
        <v>0</v>
      </c>
      <c r="AB71" s="31">
        <v>0</v>
      </c>
      <c r="AC71" s="33">
        <v>0</v>
      </c>
      <c r="AD71" s="35"/>
      <c r="AE71" s="33">
        <v>0</v>
      </c>
      <c r="AF71" s="31">
        <v>-2.3299999999999983</v>
      </c>
      <c r="AG71" s="33">
        <v>-13414.832336757294</v>
      </c>
      <c r="AH71" s="31">
        <v>0</v>
      </c>
      <c r="AI71" s="31">
        <v>0</v>
      </c>
      <c r="AJ71" s="36">
        <v>-13414.832336757294</v>
      </c>
      <c r="AK71" s="33">
        <f>IF(ISNA(VLOOKUP(A71,[2]AVANTAGE!$A$5:$T$118,19,0))=TRUE,0,VLOOKUP(A71,[2]AVANTAGE!$A$5:$T$118,19,0))</f>
        <v>0</v>
      </c>
      <c r="AL71" s="33">
        <f>IF(ISNA(VLOOKUP(A71,[2]AVANTAGE!$A$5:$T$118,20,0))=TRUE,0,VLOOKUP(A71,[2]AVANTAGE!$A$5:$T$118,20,0))</f>
        <v>0</v>
      </c>
      <c r="AM71" s="37">
        <f>+AJ71+AL71</f>
        <v>-13414.832336757294</v>
      </c>
      <c r="AN71" s="38">
        <f>IF(D71=0,0,(IF((AM71)*1%&gt;10641.07,10641.07,(AM71)*1%)))</f>
        <v>-134.14832336757294</v>
      </c>
      <c r="AO71" s="33">
        <f>IF(D71=0,0,(IF((AM71)*1%&gt;10641.07,10641.07,(AM71)*1%)))</f>
        <v>-134.14832336757294</v>
      </c>
      <c r="AP71" s="38"/>
      <c r="AQ71" s="38">
        <f>+INT((AJ71+AL71-AO71-AN71-AP71)/100)*100</f>
        <v>-13200</v>
      </c>
      <c r="AR71" s="39">
        <f>IF(AQ71=0,0,IF(AQ71&lt;=250000,0,(AQ71-250000)*20%))</f>
        <v>0</v>
      </c>
      <c r="AS71" s="40">
        <f>VLOOKUP(A71,'[2]Liste personnel'!$B$3:$R$187,16,0)</f>
        <v>0</v>
      </c>
      <c r="AT71" s="38">
        <f>+AS71*2000</f>
        <v>0</v>
      </c>
      <c r="AU71" s="38">
        <f>+IF(AR71=0,0,IF(AR71-AT71&lt;200,200,AR71-AT71))</f>
        <v>0</v>
      </c>
      <c r="AV71" s="38">
        <f>IF(ISNA(VLOOKUP(A71,[2]AVANCE!$A$6:$E$122,4,0))=TRUE,0,VLOOKUP(A71,[2]AVANCE!$A$6:$E$122,4,0))</f>
        <v>0</v>
      </c>
      <c r="AW71" s="38">
        <f>IF(ISNA(VLOOKUP(A71,[2]AVANCE!$A$6:$E$122,5,0))=TRUE,0,VLOOKUP(A71,[2]AVANCE!$A$6:$E$122,5,0))</f>
        <v>0</v>
      </c>
      <c r="AX71" s="38">
        <f>+AV71+AW71</f>
        <v>0</v>
      </c>
      <c r="AY71" s="57"/>
      <c r="AZ71" s="58">
        <f>+AO71+AN71+AU71+AX71+AY71</f>
        <v>-268.29664673514588</v>
      </c>
      <c r="BA71" s="38">
        <f>+AJ71-AZ71</f>
        <v>-13146.535690022149</v>
      </c>
      <c r="BB71" s="117"/>
      <c r="BC71" s="118"/>
      <c r="BD71" s="59">
        <f>+BA71+BB71+BC71</f>
        <v>-13146.535690022149</v>
      </c>
      <c r="BE71" s="60">
        <f>IF(BD71-INT(BD71/100)*100&gt;0,INT(BD71/100)*100+100,INT(BD71/100)*100)</f>
        <v>-13100</v>
      </c>
      <c r="BF71" s="61"/>
      <c r="BG71" s="61"/>
      <c r="BH71" s="62">
        <f>IF(BF71=0,0,I71/2)</f>
        <v>0</v>
      </c>
      <c r="BI71" s="62">
        <f>IF(BF71=0,0,+IF(BF71-J71&lt;30,J71-BF71,30))</f>
        <v>0</v>
      </c>
      <c r="BJ71" s="62">
        <f>+BI71*BH71/30</f>
        <v>0</v>
      </c>
      <c r="BK71" s="63">
        <f>+BD71+AX71+AY71</f>
        <v>-13146.535690022149</v>
      </c>
      <c r="BL71" s="48">
        <f>+L71-N71</f>
        <v>0</v>
      </c>
      <c r="BN71" s="49"/>
      <c r="BO71" s="49"/>
    </row>
    <row r="72" spans="1:67" s="18" customFormat="1" ht="27" customHeight="1">
      <c r="A72" s="50" t="s">
        <v>132</v>
      </c>
      <c r="B72" s="51" t="s">
        <v>319</v>
      </c>
      <c r="C72" s="52"/>
      <c r="D72" s="53" t="s">
        <v>301</v>
      </c>
      <c r="E72" s="54">
        <v>42129</v>
      </c>
      <c r="F72" s="25">
        <v>42369</v>
      </c>
      <c r="G72" s="54" t="s">
        <v>215</v>
      </c>
      <c r="H72" s="55" t="s">
        <v>187</v>
      </c>
      <c r="I72" s="29">
        <v>133100</v>
      </c>
      <c r="J72" s="28">
        <v>42368</v>
      </c>
      <c r="K72" s="29">
        <v>0</v>
      </c>
      <c r="L72" s="29">
        <v>0</v>
      </c>
      <c r="M72" s="56">
        <v>0</v>
      </c>
      <c r="N72" s="33">
        <v>0</v>
      </c>
      <c r="O72" s="31">
        <v>767.89938268043613</v>
      </c>
      <c r="P72" s="32">
        <v>0</v>
      </c>
      <c r="Q72" s="33">
        <v>0</v>
      </c>
      <c r="R72" s="32">
        <v>0</v>
      </c>
      <c r="S72" s="33">
        <v>0</v>
      </c>
      <c r="T72" s="32">
        <v>0</v>
      </c>
      <c r="U72" s="33">
        <v>0</v>
      </c>
      <c r="V72" s="32">
        <v>0</v>
      </c>
      <c r="W72" s="33">
        <v>0</v>
      </c>
      <c r="X72" s="32">
        <v>0</v>
      </c>
      <c r="Y72" s="33">
        <v>0</v>
      </c>
      <c r="Z72" s="33">
        <v>0</v>
      </c>
      <c r="AA72" s="31">
        <v>0</v>
      </c>
      <c r="AB72" s="31">
        <v>0</v>
      </c>
      <c r="AC72" s="33">
        <v>0</v>
      </c>
      <c r="AD72" s="35"/>
      <c r="AE72" s="33">
        <v>0</v>
      </c>
      <c r="AF72" s="31">
        <v>-0.32999999999999829</v>
      </c>
      <c r="AG72" s="33">
        <v>-1987.2381869323542</v>
      </c>
      <c r="AH72" s="31">
        <v>0</v>
      </c>
      <c r="AI72" s="31">
        <v>0</v>
      </c>
      <c r="AJ72" s="36">
        <v>-1987.2381869323542</v>
      </c>
      <c r="AK72" s="33">
        <f>IF(ISNA(VLOOKUP(A72,[2]AVANTAGE!$A$5:$T$118,19,0))=TRUE,0,VLOOKUP(A72,[2]AVANTAGE!$A$5:$T$118,19,0))</f>
        <v>0</v>
      </c>
      <c r="AL72" s="33">
        <f>IF(ISNA(VLOOKUP(A72,[2]AVANTAGE!$A$5:$T$118,20,0))=TRUE,0,VLOOKUP(A72,[2]AVANTAGE!$A$5:$T$118,20,0))</f>
        <v>0</v>
      </c>
      <c r="AM72" s="37">
        <f>+AJ72+AL72</f>
        <v>-1987.2381869323542</v>
      </c>
      <c r="AN72" s="38">
        <f>IF(D72=0,0,(IF((AM72)*1%&gt;10641.07,10641.07,(AM72)*1%)))</f>
        <v>-19.872381869323544</v>
      </c>
      <c r="AO72" s="33">
        <f>IF(D72=0,0,(IF((AM72)*1%&gt;10641.07,10641.07,(AM72)*1%)))</f>
        <v>-19.872381869323544</v>
      </c>
      <c r="AP72" s="38"/>
      <c r="AQ72" s="38">
        <f>+INT((AJ72+AL72-AO72-AN72-AP72)/100)*100</f>
        <v>-2000</v>
      </c>
      <c r="AR72" s="39">
        <f>IF(AQ72=0,0,IF(AQ72&lt;=250000,0,(AQ72-250000)*20%))</f>
        <v>0</v>
      </c>
      <c r="AS72" s="40">
        <f>VLOOKUP(A72,'[2]Liste personnel'!$B$3:$R$187,16,0)</f>
        <v>0</v>
      </c>
      <c r="AT72" s="38">
        <f>+AS72*2000</f>
        <v>0</v>
      </c>
      <c r="AU72" s="38">
        <f>+IF(AR72=0,0,IF(AR72-AT72&lt;200,200,AR72-AT72))</f>
        <v>0</v>
      </c>
      <c r="AV72" s="38">
        <f>IF(ISNA(VLOOKUP(A72,[2]AVANCE!$A$6:$E$122,4,0))=TRUE,0,VLOOKUP(A72,[2]AVANCE!$A$6:$E$122,4,0))</f>
        <v>0</v>
      </c>
      <c r="AW72" s="38">
        <f>IF(ISNA(VLOOKUP(A72,[2]AVANCE!$A$6:$E$122,5,0))=TRUE,0,VLOOKUP(A72,[2]AVANCE!$A$6:$E$122,5,0))</f>
        <v>0</v>
      </c>
      <c r="AX72" s="38">
        <f>+AV72+AW72</f>
        <v>0</v>
      </c>
      <c r="AY72" s="57"/>
      <c r="AZ72" s="58">
        <f>+AO72+AN72+AU72+AX72+AY72</f>
        <v>-39.744763738647087</v>
      </c>
      <c r="BA72" s="38">
        <f>+AJ72-AZ72</f>
        <v>-1947.493423193707</v>
      </c>
      <c r="BB72" s="117"/>
      <c r="BC72" s="118"/>
      <c r="BD72" s="59">
        <f>+BA72+BB72+BC72</f>
        <v>-1947.493423193707</v>
      </c>
      <c r="BE72" s="60">
        <f>IF(BD72-INT(BD72/100)*100&gt;0,INT(BD72/100)*100+100,INT(BD72/100)*100)</f>
        <v>-1900</v>
      </c>
      <c r="BF72" s="61"/>
      <c r="BG72" s="61"/>
      <c r="BH72" s="62">
        <f>IF(BF72=0,0,I72/2)</f>
        <v>0</v>
      </c>
      <c r="BI72" s="62">
        <f>IF(BF72=0,0,+IF(BF72-J72&lt;30,J72-BF72,30))</f>
        <v>0</v>
      </c>
      <c r="BJ72" s="62">
        <f>+BI72*BH72/30</f>
        <v>0</v>
      </c>
      <c r="BK72" s="63">
        <f>+BD72+AX72+AY72</f>
        <v>-1947.493423193707</v>
      </c>
      <c r="BL72" s="48">
        <f>+L72-N72</f>
        <v>0</v>
      </c>
      <c r="BN72" s="49"/>
      <c r="BO72" s="49"/>
    </row>
    <row r="73" spans="1:67" s="18" customFormat="1" ht="27" customHeight="1">
      <c r="A73" s="50" t="s">
        <v>133</v>
      </c>
      <c r="B73" s="51" t="s">
        <v>320</v>
      </c>
      <c r="C73" s="52"/>
      <c r="D73" s="53" t="s">
        <v>301</v>
      </c>
      <c r="E73" s="54">
        <v>42139</v>
      </c>
      <c r="F73" s="25">
        <v>42369</v>
      </c>
      <c r="G73" s="54" t="s">
        <v>215</v>
      </c>
      <c r="H73" s="55" t="s">
        <v>187</v>
      </c>
      <c r="I73" s="29">
        <v>133100</v>
      </c>
      <c r="J73" s="28">
        <v>42368</v>
      </c>
      <c r="K73" s="29">
        <v>0</v>
      </c>
      <c r="L73" s="29">
        <v>0</v>
      </c>
      <c r="M73" s="56">
        <v>0</v>
      </c>
      <c r="N73" s="33">
        <v>0</v>
      </c>
      <c r="O73" s="31">
        <v>767.89938268043613</v>
      </c>
      <c r="P73" s="32">
        <v>0</v>
      </c>
      <c r="Q73" s="33">
        <v>0</v>
      </c>
      <c r="R73" s="32">
        <v>0</v>
      </c>
      <c r="S73" s="33">
        <v>0</v>
      </c>
      <c r="T73" s="32">
        <v>0</v>
      </c>
      <c r="U73" s="33">
        <v>0</v>
      </c>
      <c r="V73" s="32">
        <v>0</v>
      </c>
      <c r="W73" s="33">
        <v>0</v>
      </c>
      <c r="X73" s="32">
        <v>0</v>
      </c>
      <c r="Y73" s="33">
        <v>0</v>
      </c>
      <c r="Z73" s="33">
        <v>0</v>
      </c>
      <c r="AA73" s="31">
        <v>0</v>
      </c>
      <c r="AB73" s="31">
        <v>0</v>
      </c>
      <c r="AC73" s="33">
        <v>0</v>
      </c>
      <c r="AD73" s="35"/>
      <c r="AE73" s="33">
        <v>0</v>
      </c>
      <c r="AF73" s="31">
        <v>-0.33333333333333215</v>
      </c>
      <c r="AG73" s="33">
        <v>-1773.4365425488568</v>
      </c>
      <c r="AH73" s="31">
        <v>0</v>
      </c>
      <c r="AI73" s="31">
        <v>0</v>
      </c>
      <c r="AJ73" s="36">
        <v>-1773.4365425488568</v>
      </c>
      <c r="AK73" s="33">
        <f>IF(ISNA(VLOOKUP(A73,[2]AVANTAGE!$A$5:$T$118,19,0))=TRUE,0,VLOOKUP(A73,[2]AVANTAGE!$A$5:$T$118,19,0))</f>
        <v>0</v>
      </c>
      <c r="AL73" s="33">
        <f>IF(ISNA(VLOOKUP(A73,[2]AVANTAGE!$A$5:$T$118,20,0))=TRUE,0,VLOOKUP(A73,[2]AVANTAGE!$A$5:$T$118,20,0))</f>
        <v>0</v>
      </c>
      <c r="AM73" s="37">
        <f>+AJ73+AL73</f>
        <v>-1773.4365425488568</v>
      </c>
      <c r="AN73" s="38">
        <f>IF(D73=0,0,(IF((AM73)*1%&gt;10641.07,10641.07,(AM73)*1%)))</f>
        <v>-17.734365425488569</v>
      </c>
      <c r="AO73" s="33">
        <f>IF(D73=0,0,(IF((AM73)*1%&gt;10641.07,10641.07,(AM73)*1%)))</f>
        <v>-17.734365425488569</v>
      </c>
      <c r="AP73" s="38"/>
      <c r="AQ73" s="38">
        <f>+INT((AJ73+AL73-AO73-AN73-AP73)/100)*100</f>
        <v>-1800</v>
      </c>
      <c r="AR73" s="39">
        <f>IF(AQ73=0,0,IF(AQ73&lt;=250000,0,(AQ73-250000)*20%))</f>
        <v>0</v>
      </c>
      <c r="AS73" s="40">
        <f>VLOOKUP(A73,'[2]Liste personnel'!$B$3:$R$187,16,0)</f>
        <v>0</v>
      </c>
      <c r="AT73" s="38">
        <f>+AS73*2000</f>
        <v>0</v>
      </c>
      <c r="AU73" s="38">
        <f>+IF(AR73=0,0,IF(AR73-AT73&lt;200,200,AR73-AT73))</f>
        <v>0</v>
      </c>
      <c r="AV73" s="38">
        <f>IF(ISNA(VLOOKUP(A73,[2]AVANCE!$A$6:$E$122,4,0))=TRUE,0,VLOOKUP(A73,[2]AVANCE!$A$6:$E$122,4,0))</f>
        <v>0</v>
      </c>
      <c r="AW73" s="38">
        <f>IF(ISNA(VLOOKUP(A73,[2]AVANCE!$A$6:$E$122,5,0))=TRUE,0,VLOOKUP(A73,[2]AVANCE!$A$6:$E$122,5,0))</f>
        <v>0</v>
      </c>
      <c r="AX73" s="38">
        <f>+AV73+AW73</f>
        <v>0</v>
      </c>
      <c r="AY73" s="57"/>
      <c r="AZ73" s="58">
        <f>+AO73+AN73+AU73+AX73+AY73</f>
        <v>-35.468730850977138</v>
      </c>
      <c r="BA73" s="38">
        <f>+AJ73-AZ73</f>
        <v>-1737.9678116978796</v>
      </c>
      <c r="BB73" s="117"/>
      <c r="BC73" s="118"/>
      <c r="BD73" s="59">
        <f>+BA73+BB73+BC73</f>
        <v>-1737.9678116978796</v>
      </c>
      <c r="BE73" s="60">
        <f>IF(BD73-INT(BD73/100)*100&gt;0,INT(BD73/100)*100+100,INT(BD73/100)*100)</f>
        <v>-1700</v>
      </c>
      <c r="BF73" s="61"/>
      <c r="BG73" s="61"/>
      <c r="BH73" s="62">
        <f>IF(BF73=0,0,I73/2)</f>
        <v>0</v>
      </c>
      <c r="BI73" s="62">
        <f>IF(BF73=0,0,+IF(BF73-J73&lt;30,J73-BF73,30))</f>
        <v>0</v>
      </c>
      <c r="BJ73" s="62">
        <f>+BI73*BH73/30</f>
        <v>0</v>
      </c>
      <c r="BK73" s="63">
        <f>+BD73+AX73+AY73</f>
        <v>-1737.9678116978796</v>
      </c>
      <c r="BL73" s="48">
        <f>+L73-N73</f>
        <v>0</v>
      </c>
      <c r="BN73" s="49"/>
      <c r="BO73" s="49"/>
    </row>
    <row r="74" spans="1:67" s="18" customFormat="1" ht="27" customHeight="1">
      <c r="A74" s="50" t="s">
        <v>134</v>
      </c>
      <c r="B74" s="51" t="s">
        <v>321</v>
      </c>
      <c r="C74" s="52"/>
      <c r="D74" s="53" t="s">
        <v>301</v>
      </c>
      <c r="E74" s="54">
        <v>42135</v>
      </c>
      <c r="F74" s="25">
        <v>42369</v>
      </c>
      <c r="G74" s="54" t="s">
        <v>260</v>
      </c>
      <c r="H74" s="55" t="s">
        <v>187</v>
      </c>
      <c r="I74" s="29">
        <v>133100</v>
      </c>
      <c r="J74" s="28">
        <v>42368</v>
      </c>
      <c r="K74" s="29">
        <v>0</v>
      </c>
      <c r="L74" s="29">
        <v>0</v>
      </c>
      <c r="M74" s="56">
        <v>0</v>
      </c>
      <c r="N74" s="33">
        <v>0</v>
      </c>
      <c r="O74" s="31">
        <v>767.89938268043613</v>
      </c>
      <c r="P74" s="32">
        <v>0</v>
      </c>
      <c r="Q74" s="33">
        <v>0</v>
      </c>
      <c r="R74" s="32">
        <v>0</v>
      </c>
      <c r="S74" s="33">
        <v>0</v>
      </c>
      <c r="T74" s="32">
        <v>0</v>
      </c>
      <c r="U74" s="33">
        <v>0</v>
      </c>
      <c r="V74" s="32">
        <v>0</v>
      </c>
      <c r="W74" s="33">
        <v>0</v>
      </c>
      <c r="X74" s="32">
        <v>0</v>
      </c>
      <c r="Y74" s="33">
        <v>0</v>
      </c>
      <c r="Z74" s="33">
        <v>0</v>
      </c>
      <c r="AA74" s="31">
        <v>0</v>
      </c>
      <c r="AB74" s="31">
        <v>0</v>
      </c>
      <c r="AC74" s="33">
        <v>0</v>
      </c>
      <c r="AD74" s="35"/>
      <c r="AE74" s="33">
        <v>0</v>
      </c>
      <c r="AF74" s="31">
        <v>-0.32999999999999829</v>
      </c>
      <c r="AG74" s="33">
        <v>-1757.5197768511825</v>
      </c>
      <c r="AH74" s="31">
        <v>0</v>
      </c>
      <c r="AI74" s="31">
        <v>0</v>
      </c>
      <c r="AJ74" s="36">
        <v>-1757.5197768511825</v>
      </c>
      <c r="AK74" s="33">
        <f>IF(ISNA(VLOOKUP(A74,[2]AVANTAGE!$A$5:$T$118,19,0))=TRUE,0,VLOOKUP(A74,[2]AVANTAGE!$A$5:$T$118,19,0))</f>
        <v>0</v>
      </c>
      <c r="AL74" s="33">
        <f>IF(ISNA(VLOOKUP(A74,[2]AVANTAGE!$A$5:$T$118,20,0))=TRUE,0,VLOOKUP(A74,[2]AVANTAGE!$A$5:$T$118,20,0))</f>
        <v>0</v>
      </c>
      <c r="AM74" s="37">
        <f>+AJ74+AL74</f>
        <v>-1757.5197768511825</v>
      </c>
      <c r="AN74" s="38">
        <f>IF(D74=0,0,(IF((AM74)*1%&gt;10641.07,10641.07,(AM74)*1%)))</f>
        <v>-17.575197768511824</v>
      </c>
      <c r="AO74" s="33">
        <f>IF(D74=0,0,(IF((AM74)*1%&gt;10641.07,10641.07,(AM74)*1%)))</f>
        <v>-17.575197768511824</v>
      </c>
      <c r="AP74" s="38"/>
      <c r="AQ74" s="38">
        <f>+INT((AJ74+AL74-AO74-AN74-AP74)/100)*100</f>
        <v>-1800</v>
      </c>
      <c r="AR74" s="39">
        <f>IF(AQ74=0,0,IF(AQ74&lt;=250000,0,(AQ74-250000)*20%))</f>
        <v>0</v>
      </c>
      <c r="AS74" s="40">
        <f>VLOOKUP(A74,'[2]Liste personnel'!$B$3:$R$187,16,0)</f>
        <v>0</v>
      </c>
      <c r="AT74" s="38">
        <f>+AS74*2000</f>
        <v>0</v>
      </c>
      <c r="AU74" s="38">
        <f>+IF(AR74=0,0,IF(AR74-AT74&lt;200,200,AR74-AT74))</f>
        <v>0</v>
      </c>
      <c r="AV74" s="38">
        <f>IF(ISNA(VLOOKUP(A74,[2]AVANCE!$A$6:$E$122,4,0))=TRUE,0,VLOOKUP(A74,[2]AVANCE!$A$6:$E$122,4,0))</f>
        <v>0</v>
      </c>
      <c r="AW74" s="38">
        <f>IF(ISNA(VLOOKUP(A74,[2]AVANCE!$A$6:$E$122,5,0))=TRUE,0,VLOOKUP(A74,[2]AVANCE!$A$6:$E$122,5,0))</f>
        <v>0</v>
      </c>
      <c r="AX74" s="38">
        <f>+AV74+AW74</f>
        <v>0</v>
      </c>
      <c r="AY74" s="57"/>
      <c r="AZ74" s="58">
        <f>+AO74+AN74+AU74+AX74+AY74</f>
        <v>-35.150395537023648</v>
      </c>
      <c r="BA74" s="38">
        <f>+AJ74-AZ74</f>
        <v>-1722.369381314159</v>
      </c>
      <c r="BB74" s="117"/>
      <c r="BC74" s="118"/>
      <c r="BD74" s="59">
        <f>+BA74+BB74+BC74</f>
        <v>-1722.369381314159</v>
      </c>
      <c r="BE74" s="60">
        <f>IF(BD74-INT(BD74/100)*100&gt;0,INT(BD74/100)*100+100,INT(BD74/100)*100)</f>
        <v>-1700</v>
      </c>
      <c r="BF74" s="61"/>
      <c r="BG74" s="61"/>
      <c r="BH74" s="62">
        <f>IF(BF74=0,0,I74/2)</f>
        <v>0</v>
      </c>
      <c r="BI74" s="62">
        <f>IF(BF74=0,0,+IF(BF74-J74&lt;30,J74-BF74,30))</f>
        <v>0</v>
      </c>
      <c r="BJ74" s="62">
        <f>+BI74*BH74/30</f>
        <v>0</v>
      </c>
      <c r="BK74" s="63">
        <f>+BD74+AX74+AY74</f>
        <v>-1722.369381314159</v>
      </c>
      <c r="BL74" s="48">
        <f>+L74-N74</f>
        <v>0</v>
      </c>
      <c r="BN74" s="49"/>
      <c r="BO74" s="49"/>
    </row>
    <row r="75" spans="1:67" s="18" customFormat="1" ht="27" customHeight="1">
      <c r="A75" s="50" t="s">
        <v>135</v>
      </c>
      <c r="B75" s="51" t="s">
        <v>322</v>
      </c>
      <c r="C75" s="52"/>
      <c r="D75" s="53" t="s">
        <v>323</v>
      </c>
      <c r="E75" s="54">
        <v>42135</v>
      </c>
      <c r="F75" s="25">
        <v>42369</v>
      </c>
      <c r="G75" s="54" t="s">
        <v>310</v>
      </c>
      <c r="H75" s="55" t="s">
        <v>173</v>
      </c>
      <c r="I75" s="29">
        <v>446408</v>
      </c>
      <c r="J75" s="28">
        <v>42368</v>
      </c>
      <c r="K75" s="29">
        <v>0</v>
      </c>
      <c r="L75" s="29">
        <v>0</v>
      </c>
      <c r="M75" s="56">
        <v>0</v>
      </c>
      <c r="N75" s="33">
        <v>0</v>
      </c>
      <c r="O75" s="31">
        <v>2575.4802976980322</v>
      </c>
      <c r="P75" s="32">
        <v>0</v>
      </c>
      <c r="Q75" s="33">
        <v>0</v>
      </c>
      <c r="R75" s="32">
        <v>0</v>
      </c>
      <c r="S75" s="33">
        <v>0</v>
      </c>
      <c r="T75" s="32">
        <v>0</v>
      </c>
      <c r="U75" s="33">
        <v>0</v>
      </c>
      <c r="V75" s="32">
        <v>0</v>
      </c>
      <c r="W75" s="33">
        <v>0</v>
      </c>
      <c r="X75" s="32">
        <v>0</v>
      </c>
      <c r="Y75" s="33">
        <v>0</v>
      </c>
      <c r="Z75" s="33">
        <v>0</v>
      </c>
      <c r="AA75" s="31">
        <v>0</v>
      </c>
      <c r="AB75" s="31">
        <v>0</v>
      </c>
      <c r="AC75" s="33">
        <v>0</v>
      </c>
      <c r="AD75" s="35"/>
      <c r="AE75" s="33">
        <v>0</v>
      </c>
      <c r="AF75" s="31">
        <v>-0.32999999999999829</v>
      </c>
      <c r="AG75" s="33">
        <v>-5267.0562264420696</v>
      </c>
      <c r="AH75" s="31">
        <v>0</v>
      </c>
      <c r="AI75" s="31">
        <v>0</v>
      </c>
      <c r="AJ75" s="36">
        <v>-5267.0562264420696</v>
      </c>
      <c r="AK75" s="33">
        <f>IF(ISNA(VLOOKUP(A75,[2]AVANTAGE!$A$5:$T$118,19,0))=TRUE,0,VLOOKUP(A75,[2]AVANTAGE!$A$5:$T$118,19,0))</f>
        <v>0</v>
      </c>
      <c r="AL75" s="33">
        <f>IF(ISNA(VLOOKUP(A75,[2]AVANTAGE!$A$5:$T$118,20,0))=TRUE,0,VLOOKUP(A75,[2]AVANTAGE!$A$5:$T$118,20,0))</f>
        <v>0</v>
      </c>
      <c r="AM75" s="37">
        <f>+AJ75+AL75</f>
        <v>-5267.0562264420696</v>
      </c>
      <c r="AN75" s="38">
        <f>IF(D75=0,0,(IF((AM75)*1%&gt;10641.07,10641.07,(AM75)*1%)))</f>
        <v>-52.670562264420695</v>
      </c>
      <c r="AO75" s="33">
        <f>IF(D75=0,0,(IF((AM75)*1%&gt;10641.07,10641.07,(AM75)*1%)))</f>
        <v>-52.670562264420695</v>
      </c>
      <c r="AP75" s="38"/>
      <c r="AQ75" s="38">
        <f>+INT((AJ75+AL75-AO75-AN75-AP75)/100)*100</f>
        <v>-5200</v>
      </c>
      <c r="AR75" s="39">
        <f>IF(AQ75=0,0,IF(AQ75&lt;=250000,0,(AQ75-250000)*20%))</f>
        <v>0</v>
      </c>
      <c r="AS75" s="40">
        <f>VLOOKUP(A75,'[2]Liste personnel'!$B$3:$R$187,16,0)</f>
        <v>0</v>
      </c>
      <c r="AT75" s="38">
        <f>+AS75*2000</f>
        <v>0</v>
      </c>
      <c r="AU75" s="38">
        <f>+IF(AR75=0,0,IF(AR75-AT75&lt;200,200,AR75-AT75))</f>
        <v>0</v>
      </c>
      <c r="AV75" s="38">
        <f>IF(ISNA(VLOOKUP(A75,[2]AVANCE!$A$6:$E$122,4,0))=TRUE,0,VLOOKUP(A75,[2]AVANCE!$A$6:$E$122,4,0))</f>
        <v>0</v>
      </c>
      <c r="AW75" s="38">
        <f>IF(ISNA(VLOOKUP(A75,[2]AVANCE!$A$6:$E$122,5,0))=TRUE,0,VLOOKUP(A75,[2]AVANCE!$A$6:$E$122,5,0))</f>
        <v>0</v>
      </c>
      <c r="AX75" s="38">
        <f>+AV75+AW75</f>
        <v>0</v>
      </c>
      <c r="AY75" s="57"/>
      <c r="AZ75" s="58">
        <f>+AO75+AN75+AU75+AX75+AY75</f>
        <v>-105.34112452884139</v>
      </c>
      <c r="BA75" s="38">
        <f>+AJ75-AZ75</f>
        <v>-5161.715101913228</v>
      </c>
      <c r="BB75" s="117"/>
      <c r="BC75" s="118"/>
      <c r="BD75" s="59">
        <f>+BA75+BB75+BC75</f>
        <v>-5161.715101913228</v>
      </c>
      <c r="BE75" s="60">
        <f>IF(BD75-INT(BD75/100)*100&gt;0,INT(BD75/100)*100+100,INT(BD75/100)*100)</f>
        <v>-5100</v>
      </c>
      <c r="BF75" s="61"/>
      <c r="BG75" s="61"/>
      <c r="BH75" s="62">
        <f>IF(BF75=0,0,I75/2)</f>
        <v>0</v>
      </c>
      <c r="BI75" s="62">
        <f>IF(BF75=0,0,+IF(BF75-J75&lt;30,J75-BF75,30))</f>
        <v>0</v>
      </c>
      <c r="BJ75" s="62">
        <f>+BI75*BH75/30</f>
        <v>0</v>
      </c>
      <c r="BK75" s="63">
        <f>+BD75+AX75+AY75</f>
        <v>-5161.715101913228</v>
      </c>
      <c r="BL75" s="48">
        <f>+L75-N75</f>
        <v>0</v>
      </c>
      <c r="BN75" s="49"/>
      <c r="BO75" s="49"/>
    </row>
    <row r="76" spans="1:67" s="18" customFormat="1" ht="27" customHeight="1">
      <c r="A76" s="50" t="s">
        <v>136</v>
      </c>
      <c r="B76" s="51" t="s">
        <v>324</v>
      </c>
      <c r="C76" s="52"/>
      <c r="D76" s="53" t="s">
        <v>325</v>
      </c>
      <c r="E76" s="54">
        <v>42143</v>
      </c>
      <c r="F76" s="25">
        <v>42369</v>
      </c>
      <c r="G76" s="54" t="s">
        <v>269</v>
      </c>
      <c r="H76" s="55" t="s">
        <v>187</v>
      </c>
      <c r="I76" s="29">
        <v>133100</v>
      </c>
      <c r="J76" s="28">
        <v>42368</v>
      </c>
      <c r="K76" s="29">
        <v>0</v>
      </c>
      <c r="L76" s="29">
        <v>0</v>
      </c>
      <c r="M76" s="56">
        <v>0</v>
      </c>
      <c r="N76" s="33">
        <v>0</v>
      </c>
      <c r="O76" s="31">
        <v>767.89938268043613</v>
      </c>
      <c r="P76" s="32">
        <v>0</v>
      </c>
      <c r="Q76" s="33">
        <v>0</v>
      </c>
      <c r="R76" s="32">
        <v>0</v>
      </c>
      <c r="S76" s="33">
        <v>0</v>
      </c>
      <c r="T76" s="32">
        <v>0</v>
      </c>
      <c r="U76" s="33">
        <v>0</v>
      </c>
      <c r="V76" s="32">
        <v>0</v>
      </c>
      <c r="W76" s="33">
        <v>0</v>
      </c>
      <c r="X76" s="32">
        <v>0</v>
      </c>
      <c r="Y76" s="33">
        <v>0</v>
      </c>
      <c r="Z76" s="33">
        <v>0</v>
      </c>
      <c r="AA76" s="31">
        <v>0</v>
      </c>
      <c r="AB76" s="31">
        <v>0</v>
      </c>
      <c r="AC76" s="33">
        <v>0</v>
      </c>
      <c r="AD76" s="35"/>
      <c r="AE76" s="33">
        <v>0</v>
      </c>
      <c r="AF76" s="31">
        <v>18.833333333333332</v>
      </c>
      <c r="AG76" s="33">
        <v>116776.45544456741</v>
      </c>
      <c r="AH76" s="31">
        <v>0</v>
      </c>
      <c r="AI76" s="31">
        <v>0</v>
      </c>
      <c r="AJ76" s="36">
        <v>116776.45544456741</v>
      </c>
      <c r="AK76" s="33">
        <f>IF(ISNA(VLOOKUP(A76,[2]AVANTAGE!$A$5:$T$118,19,0))=TRUE,0,VLOOKUP(A76,[2]AVANTAGE!$A$5:$T$118,19,0))</f>
        <v>0</v>
      </c>
      <c r="AL76" s="33">
        <f>IF(ISNA(VLOOKUP(A76,[2]AVANTAGE!$A$5:$T$118,20,0))=TRUE,0,VLOOKUP(A76,[2]AVANTAGE!$A$5:$T$118,20,0))</f>
        <v>0</v>
      </c>
      <c r="AM76" s="37">
        <f>+AJ76+AL76</f>
        <v>116776.45544456741</v>
      </c>
      <c r="AN76" s="38">
        <f>IF(D76=0,0,(IF((AM76)*1%&gt;10641.07,10641.07,(AM76)*1%)))</f>
        <v>1167.7645544456741</v>
      </c>
      <c r="AO76" s="33">
        <f>IF(D76=0,0,(IF((AM76)*1%&gt;10641.07,10641.07,(AM76)*1%)))</f>
        <v>1167.7645544456741</v>
      </c>
      <c r="AP76" s="38"/>
      <c r="AQ76" s="38">
        <f>+INT((AJ76+AL76-AO76-AN76-AP76)/100)*100</f>
        <v>114400</v>
      </c>
      <c r="AR76" s="39">
        <f>IF(AQ76=0,0,IF(AQ76&lt;=250000,0,(AQ76-250000)*20%))</f>
        <v>0</v>
      </c>
      <c r="AS76" s="40">
        <f>VLOOKUP(A76,'[2]Liste personnel'!$B$3:$R$187,16,0)</f>
        <v>0</v>
      </c>
      <c r="AT76" s="38">
        <f>+AS76*2000</f>
        <v>0</v>
      </c>
      <c r="AU76" s="38">
        <f>+IF(AR76=0,0,IF(AR76-AT76&lt;200,200,AR76-AT76))</f>
        <v>0</v>
      </c>
      <c r="AV76" s="38">
        <f>IF(ISNA(VLOOKUP(A76,[2]AVANCE!$A$6:$E$122,4,0))=TRUE,0,VLOOKUP(A76,[2]AVANCE!$A$6:$E$122,4,0))</f>
        <v>0</v>
      </c>
      <c r="AW76" s="38">
        <f>IF(ISNA(VLOOKUP(A76,[2]AVANCE!$A$6:$E$122,5,0))=TRUE,0,VLOOKUP(A76,[2]AVANCE!$A$6:$E$122,5,0))</f>
        <v>0</v>
      </c>
      <c r="AX76" s="38">
        <f>+AV76+AW76</f>
        <v>0</v>
      </c>
      <c r="AY76" s="57"/>
      <c r="AZ76" s="58">
        <f>+AO76+AN76+AU76+AX76+AY76</f>
        <v>2335.5291088913482</v>
      </c>
      <c r="BA76" s="38">
        <f>+AJ76-AZ76</f>
        <v>114440.92633567606</v>
      </c>
      <c r="BB76" s="117"/>
      <c r="BC76" s="118"/>
      <c r="BD76" s="59">
        <f>+BA76+BB76+BC76</f>
        <v>114440.92633567606</v>
      </c>
      <c r="BE76" s="60">
        <f>IF(BD76-INT(BD76/100)*100&gt;0,INT(BD76/100)*100+100,INT(BD76/100)*100)</f>
        <v>114500</v>
      </c>
      <c r="BF76" s="61"/>
      <c r="BG76" s="61"/>
      <c r="BH76" s="62">
        <f>IF(BF76=0,0,I76/2)</f>
        <v>0</v>
      </c>
      <c r="BI76" s="62">
        <f>IF(BF76=0,0,+IF(BF76-J76&lt;30,J76-BF76,30))</f>
        <v>0</v>
      </c>
      <c r="BJ76" s="62">
        <f>+BI76*BH76/30</f>
        <v>0</v>
      </c>
      <c r="BK76" s="63">
        <f>+BD76+AX76+AY76</f>
        <v>114440.92633567606</v>
      </c>
      <c r="BL76" s="48">
        <f>+L76-N76</f>
        <v>0</v>
      </c>
      <c r="BN76" s="49"/>
      <c r="BO76" s="49"/>
    </row>
    <row r="77" spans="1:67" s="18" customFormat="1" ht="27" customHeight="1">
      <c r="A77" s="50" t="s">
        <v>137</v>
      </c>
      <c r="B77" s="51" t="s">
        <v>326</v>
      </c>
      <c r="C77" s="52"/>
      <c r="D77" s="53" t="s">
        <v>327</v>
      </c>
      <c r="E77" s="54">
        <v>42156</v>
      </c>
      <c r="F77" s="25">
        <v>42369</v>
      </c>
      <c r="G77" s="54" t="s">
        <v>192</v>
      </c>
      <c r="H77" s="55" t="s">
        <v>169</v>
      </c>
      <c r="I77" s="29">
        <v>446408</v>
      </c>
      <c r="J77" s="28">
        <v>42368</v>
      </c>
      <c r="K77" s="29">
        <v>0</v>
      </c>
      <c r="L77" s="29">
        <v>0</v>
      </c>
      <c r="M77" s="56">
        <v>0</v>
      </c>
      <c r="N77" s="33">
        <v>0</v>
      </c>
      <c r="O77" s="31">
        <v>2575.4802976980322</v>
      </c>
      <c r="P77" s="32">
        <v>0</v>
      </c>
      <c r="Q77" s="33">
        <v>0</v>
      </c>
      <c r="R77" s="32">
        <v>0</v>
      </c>
      <c r="S77" s="33">
        <v>0</v>
      </c>
      <c r="T77" s="32">
        <v>0</v>
      </c>
      <c r="U77" s="33">
        <v>0</v>
      </c>
      <c r="V77" s="32">
        <v>0</v>
      </c>
      <c r="W77" s="33">
        <v>0</v>
      </c>
      <c r="X77" s="32">
        <v>0</v>
      </c>
      <c r="Y77" s="33">
        <v>0</v>
      </c>
      <c r="Z77" s="33">
        <v>0</v>
      </c>
      <c r="AA77" s="31">
        <v>0</v>
      </c>
      <c r="AB77" s="31">
        <v>0</v>
      </c>
      <c r="AC77" s="33">
        <v>0</v>
      </c>
      <c r="AD77" s="35"/>
      <c r="AE77" s="33">
        <v>0</v>
      </c>
      <c r="AF77" s="31">
        <v>-2.9200000000000017</v>
      </c>
      <c r="AG77" s="33">
        <v>-44340.669361412933</v>
      </c>
      <c r="AH77" s="31">
        <v>0</v>
      </c>
      <c r="AI77" s="31">
        <v>0</v>
      </c>
      <c r="AJ77" s="36">
        <v>-44340.669361412933</v>
      </c>
      <c r="AK77" s="33">
        <f>IF(ISNA(VLOOKUP(A77,[2]AVANTAGE!$A$5:$T$118,19,0))=TRUE,0,VLOOKUP(A77,[2]AVANTAGE!$A$5:$T$118,19,0))</f>
        <v>0</v>
      </c>
      <c r="AL77" s="33">
        <f>IF(ISNA(VLOOKUP(A77,[2]AVANTAGE!$A$5:$T$118,20,0))=TRUE,0,VLOOKUP(A77,[2]AVANTAGE!$A$5:$T$118,20,0))</f>
        <v>0</v>
      </c>
      <c r="AM77" s="37">
        <f>+AJ77+AL77</f>
        <v>-44340.669361412933</v>
      </c>
      <c r="AN77" s="38">
        <f>IF(D77=0,0,(IF((AM77)*1%&gt;10641.07,10641.07,(AM77)*1%)))</f>
        <v>-443.40669361412932</v>
      </c>
      <c r="AO77" s="33">
        <f>IF(D77=0,0,(IF((AM77)*1%&gt;10641.07,10641.07,(AM77)*1%)))</f>
        <v>-443.40669361412932</v>
      </c>
      <c r="AP77" s="38"/>
      <c r="AQ77" s="38">
        <f>+INT((AJ77+AL77-AO77-AN77-AP77)/100)*100</f>
        <v>-43500</v>
      </c>
      <c r="AR77" s="39">
        <f>IF(AQ77=0,0,IF(AQ77&lt;=250000,0,(AQ77-250000)*20%))</f>
        <v>0</v>
      </c>
      <c r="AS77" s="40">
        <f>VLOOKUP(A77,'[2]Liste personnel'!$B$3:$R$187,16,0)</f>
        <v>0</v>
      </c>
      <c r="AT77" s="38">
        <f>+AS77*2000</f>
        <v>0</v>
      </c>
      <c r="AU77" s="38">
        <f>+IF(AR77=0,0,IF(AR77-AT77&lt;200,200,AR77-AT77))</f>
        <v>0</v>
      </c>
      <c r="AV77" s="38">
        <f>IF(ISNA(VLOOKUP(A77,[2]AVANCE!$A$6:$E$122,4,0))=TRUE,0,VLOOKUP(A77,[2]AVANCE!$A$6:$E$122,4,0))</f>
        <v>0</v>
      </c>
      <c r="AW77" s="38">
        <f>IF(ISNA(VLOOKUP(A77,[2]AVANCE!$A$6:$E$122,5,0))=TRUE,0,VLOOKUP(A77,[2]AVANCE!$A$6:$E$122,5,0))</f>
        <v>0</v>
      </c>
      <c r="AX77" s="38">
        <f>+AV77+AW77</f>
        <v>0</v>
      </c>
      <c r="AY77" s="57"/>
      <c r="AZ77" s="58">
        <f>+AO77+AN77+AU77+AX77+AY77</f>
        <v>-886.81338722825865</v>
      </c>
      <c r="BA77" s="38">
        <f>+AJ77-AZ77</f>
        <v>-43453.855974184677</v>
      </c>
      <c r="BB77" s="117"/>
      <c r="BC77" s="118"/>
      <c r="BD77" s="59">
        <f>+BA77+BB77+BC77</f>
        <v>-43453.855974184677</v>
      </c>
      <c r="BE77" s="60">
        <f>IF(BD77-INT(BD77/100)*100&gt;0,INT(BD77/100)*100+100,INT(BD77/100)*100)</f>
        <v>-43400</v>
      </c>
      <c r="BF77" s="61"/>
      <c r="BG77" s="61"/>
      <c r="BH77" s="62">
        <f>IF(BF77=0,0,I77/2)</f>
        <v>0</v>
      </c>
      <c r="BI77" s="62">
        <f>IF(BF77=0,0,+IF(BF77-J77&lt;30,J77-BF77,30))</f>
        <v>0</v>
      </c>
      <c r="BJ77" s="62">
        <f>+BI77*BH77/30</f>
        <v>0</v>
      </c>
      <c r="BK77" s="63">
        <f>+BD77+AX77+AY77</f>
        <v>-43453.855974184677</v>
      </c>
      <c r="BL77" s="48">
        <f>+L77-N77</f>
        <v>0</v>
      </c>
      <c r="BN77" s="49"/>
      <c r="BO77" s="49"/>
    </row>
    <row r="78" spans="1:67" s="18" customFormat="1" ht="27" customHeight="1">
      <c r="A78" s="50" t="s">
        <v>138</v>
      </c>
      <c r="B78" s="51" t="s">
        <v>328</v>
      </c>
      <c r="C78" s="52"/>
      <c r="D78" s="53" t="s">
        <v>329</v>
      </c>
      <c r="E78" s="54">
        <v>42156</v>
      </c>
      <c r="F78" s="25">
        <v>42369</v>
      </c>
      <c r="G78" s="54" t="s">
        <v>269</v>
      </c>
      <c r="H78" s="55" t="s">
        <v>187</v>
      </c>
      <c r="I78" s="29">
        <v>133100</v>
      </c>
      <c r="J78" s="28">
        <v>42368</v>
      </c>
      <c r="K78" s="29">
        <v>0</v>
      </c>
      <c r="L78" s="29">
        <v>0</v>
      </c>
      <c r="M78" s="56">
        <v>0</v>
      </c>
      <c r="N78" s="33">
        <v>0</v>
      </c>
      <c r="O78" s="31">
        <v>767.89938268043613</v>
      </c>
      <c r="P78" s="32">
        <v>0</v>
      </c>
      <c r="Q78" s="33">
        <v>0</v>
      </c>
      <c r="R78" s="32">
        <v>0</v>
      </c>
      <c r="S78" s="33">
        <v>0</v>
      </c>
      <c r="T78" s="32">
        <v>0</v>
      </c>
      <c r="U78" s="33">
        <v>0</v>
      </c>
      <c r="V78" s="32">
        <v>0</v>
      </c>
      <c r="W78" s="33">
        <v>0</v>
      </c>
      <c r="X78" s="32">
        <v>0</v>
      </c>
      <c r="Y78" s="33">
        <v>0</v>
      </c>
      <c r="Z78" s="33">
        <v>0</v>
      </c>
      <c r="AA78" s="31">
        <v>0</v>
      </c>
      <c r="AB78" s="31">
        <v>0</v>
      </c>
      <c r="AC78" s="33">
        <v>0</v>
      </c>
      <c r="AD78" s="35"/>
      <c r="AE78" s="33">
        <v>0</v>
      </c>
      <c r="AF78" s="31">
        <v>17.75</v>
      </c>
      <c r="AG78" s="33">
        <v>118989.27077444291</v>
      </c>
      <c r="AH78" s="31">
        <v>0</v>
      </c>
      <c r="AI78" s="31">
        <v>0</v>
      </c>
      <c r="AJ78" s="36">
        <v>118989.27077444291</v>
      </c>
      <c r="AK78" s="33">
        <f>IF(ISNA(VLOOKUP(A78,[2]AVANTAGE!$A$5:$T$118,19,0))=TRUE,0,VLOOKUP(A78,[2]AVANTAGE!$A$5:$T$118,19,0))</f>
        <v>0</v>
      </c>
      <c r="AL78" s="33">
        <f>IF(ISNA(VLOOKUP(A78,[2]AVANTAGE!$A$5:$T$118,20,0))=TRUE,0,VLOOKUP(A78,[2]AVANTAGE!$A$5:$T$118,20,0))</f>
        <v>0</v>
      </c>
      <c r="AM78" s="37">
        <f>+AJ78+AL78</f>
        <v>118989.27077444291</v>
      </c>
      <c r="AN78" s="38">
        <f>IF(D78=0,0,(IF((AM78)*1%&gt;10641.07,10641.07,(AM78)*1%)))</f>
        <v>1189.8927077444291</v>
      </c>
      <c r="AO78" s="33">
        <f>IF(D78=0,0,(IF((AM78)*1%&gt;10641.07,10641.07,(AM78)*1%)))</f>
        <v>1189.8927077444291</v>
      </c>
      <c r="AP78" s="38"/>
      <c r="AQ78" s="38">
        <f>+INT((AJ78+AL78-AO78-AN78-AP78)/100)*100</f>
        <v>116600</v>
      </c>
      <c r="AR78" s="39">
        <f>IF(AQ78=0,0,IF(AQ78&lt;=250000,0,(AQ78-250000)*20%))</f>
        <v>0</v>
      </c>
      <c r="AS78" s="40">
        <f>VLOOKUP(A78,'[2]Liste personnel'!$B$3:$R$187,16,0)</f>
        <v>0</v>
      </c>
      <c r="AT78" s="38">
        <f>+AS78*2000</f>
        <v>0</v>
      </c>
      <c r="AU78" s="38">
        <f>+IF(AR78=0,0,IF(AR78-AT78&lt;200,200,AR78-AT78))</f>
        <v>0</v>
      </c>
      <c r="AV78" s="38">
        <f>IF(ISNA(VLOOKUP(A78,[2]AVANCE!$A$6:$E$122,4,0))=TRUE,0,VLOOKUP(A78,[2]AVANCE!$A$6:$E$122,4,0))</f>
        <v>0</v>
      </c>
      <c r="AW78" s="38">
        <f>IF(ISNA(VLOOKUP(A78,[2]AVANCE!$A$6:$E$122,5,0))=TRUE,0,VLOOKUP(A78,[2]AVANCE!$A$6:$E$122,5,0))</f>
        <v>0</v>
      </c>
      <c r="AX78" s="38">
        <f>+AV78+AW78</f>
        <v>0</v>
      </c>
      <c r="AY78" s="57"/>
      <c r="AZ78" s="58">
        <f>+AO78+AN78+AU78+AX78+AY78</f>
        <v>2379.7854154888582</v>
      </c>
      <c r="BA78" s="38">
        <f>+AJ78-AZ78</f>
        <v>116609.48535895404</v>
      </c>
      <c r="BB78" s="117"/>
      <c r="BC78" s="118"/>
      <c r="BD78" s="59">
        <f>+BA78+BB78+BC78</f>
        <v>116609.48535895404</v>
      </c>
      <c r="BE78" s="60">
        <f>IF(BD78-INT(BD78/100)*100&gt;0,INT(BD78/100)*100+100,INT(BD78/100)*100)</f>
        <v>116700</v>
      </c>
      <c r="BF78" s="61"/>
      <c r="BG78" s="61"/>
      <c r="BH78" s="62">
        <f>IF(BF78=0,0,I78/2)</f>
        <v>0</v>
      </c>
      <c r="BI78" s="62">
        <f>IF(BF78=0,0,+IF(BF78-J78&lt;30,J78-BF78,30))</f>
        <v>0</v>
      </c>
      <c r="BJ78" s="62">
        <f>+BI78*BH78/30</f>
        <v>0</v>
      </c>
      <c r="BK78" s="63">
        <f>+BD78+AX78+AY78</f>
        <v>116609.48535895404</v>
      </c>
      <c r="BL78" s="48">
        <f>+L78-N78</f>
        <v>0</v>
      </c>
      <c r="BM78" s="19"/>
      <c r="BN78" s="87"/>
      <c r="BO78" s="49"/>
    </row>
    <row r="79" spans="1:67" s="18" customFormat="1" ht="27" customHeight="1">
      <c r="A79" s="50" t="s">
        <v>139</v>
      </c>
      <c r="B79" s="51" t="s">
        <v>330</v>
      </c>
      <c r="C79" s="52"/>
      <c r="D79" s="53" t="s">
        <v>331</v>
      </c>
      <c r="E79" s="54">
        <v>42258</v>
      </c>
      <c r="F79" s="25">
        <v>42369</v>
      </c>
      <c r="G79" s="54" t="s">
        <v>192</v>
      </c>
      <c r="H79" s="55" t="s">
        <v>169</v>
      </c>
      <c r="I79" s="29">
        <v>255306</v>
      </c>
      <c r="J79" s="28">
        <v>42368</v>
      </c>
      <c r="K79" s="29">
        <v>0</v>
      </c>
      <c r="L79" s="29">
        <v>0</v>
      </c>
      <c r="M79" s="56">
        <v>0</v>
      </c>
      <c r="N79" s="33">
        <v>0</v>
      </c>
      <c r="O79" s="31">
        <v>1472.9475566837823</v>
      </c>
      <c r="P79" s="32">
        <v>0</v>
      </c>
      <c r="Q79" s="33">
        <v>0</v>
      </c>
      <c r="R79" s="32">
        <v>0</v>
      </c>
      <c r="S79" s="33">
        <v>0</v>
      </c>
      <c r="T79" s="32">
        <v>0</v>
      </c>
      <c r="U79" s="33">
        <v>0</v>
      </c>
      <c r="V79" s="32">
        <v>0</v>
      </c>
      <c r="W79" s="33">
        <v>0</v>
      </c>
      <c r="X79" s="32">
        <v>0</v>
      </c>
      <c r="Y79" s="33">
        <v>0</v>
      </c>
      <c r="Z79" s="33">
        <v>0</v>
      </c>
      <c r="AA79" s="31">
        <v>0</v>
      </c>
      <c r="AB79" s="31">
        <v>0</v>
      </c>
      <c r="AC79" s="33">
        <v>0</v>
      </c>
      <c r="AD79" s="35"/>
      <c r="AE79" s="33">
        <v>0</v>
      </c>
      <c r="AF79" s="31">
        <v>1.25</v>
      </c>
      <c r="AG79" s="33">
        <v>16667.615574337971</v>
      </c>
      <c r="AH79" s="31">
        <v>0</v>
      </c>
      <c r="AI79" s="31">
        <v>0</v>
      </c>
      <c r="AJ79" s="36">
        <v>16667.615574337971</v>
      </c>
      <c r="AK79" s="33">
        <f>IF(ISNA(VLOOKUP(A79,[2]AVANTAGE!$A$5:$T$118,19,0))=TRUE,0,VLOOKUP(A79,[2]AVANTAGE!$A$5:$T$118,19,0))</f>
        <v>0</v>
      </c>
      <c r="AL79" s="33">
        <f>IF(ISNA(VLOOKUP(A79,[2]AVANTAGE!$A$5:$T$118,20,0))=TRUE,0,VLOOKUP(A79,[2]AVANTAGE!$A$5:$T$118,20,0))</f>
        <v>0</v>
      </c>
      <c r="AM79" s="37">
        <f>+AJ79+AL79</f>
        <v>16667.615574337971</v>
      </c>
      <c r="AN79" s="38">
        <f>IF(D79=0,0,(IF((AM79)*1%&gt;10641.07,10641.07,(AM79)*1%)))</f>
        <v>166.67615574337972</v>
      </c>
      <c r="AO79" s="33">
        <f>IF(D79=0,0,(IF((AM79)*1%&gt;10641.07,10641.07,(AM79)*1%)))</f>
        <v>166.67615574337972</v>
      </c>
      <c r="AP79" s="38"/>
      <c r="AQ79" s="38">
        <f>+INT((AJ79+AL79-AO79-AN79-AP79)/100)*100</f>
        <v>16300</v>
      </c>
      <c r="AR79" s="39">
        <f>IF(AQ79=0,0,IF(AQ79&lt;=250000,0,(AQ79-250000)*20%))</f>
        <v>0</v>
      </c>
      <c r="AS79" s="40">
        <f>VLOOKUP(A79,'[2]Liste personnel'!$B$3:$R$187,16,0)</f>
        <v>0</v>
      </c>
      <c r="AT79" s="38">
        <f>+AS79*2000</f>
        <v>0</v>
      </c>
      <c r="AU79" s="38">
        <f>+IF(AR79=0,0,IF(AR79-AT79&lt;200,200,AR79-AT79))</f>
        <v>0</v>
      </c>
      <c r="AV79" s="38">
        <f>IF(ISNA(VLOOKUP(A79,[2]AVANCE!$A$6:$E$122,4,0))=TRUE,0,VLOOKUP(A79,[2]AVANCE!$A$6:$E$122,4,0))</f>
        <v>0</v>
      </c>
      <c r="AW79" s="38">
        <f>IF(ISNA(VLOOKUP(A79,[2]AVANCE!$A$6:$E$122,5,0))=TRUE,0,VLOOKUP(A79,[2]AVANCE!$A$6:$E$122,5,0))</f>
        <v>0</v>
      </c>
      <c r="AX79" s="38">
        <f>+AV79+AW79</f>
        <v>0</v>
      </c>
      <c r="AY79" s="57"/>
      <c r="AZ79" s="58">
        <f>+AO79+AN79+AU79+AX79+AY79</f>
        <v>333.35231148675945</v>
      </c>
      <c r="BA79" s="38">
        <f>+AJ79-AZ79</f>
        <v>16334.263262851211</v>
      </c>
      <c r="BB79" s="117"/>
      <c r="BC79" s="118"/>
      <c r="BD79" s="59">
        <f>+BA79+BB79+BC79</f>
        <v>16334.263262851211</v>
      </c>
      <c r="BE79" s="60">
        <f>IF(BD79-INT(BD79/100)*100&gt;0,INT(BD79/100)*100+100,INT(BD79/100)*100)</f>
        <v>16400</v>
      </c>
      <c r="BF79" s="61"/>
      <c r="BG79" s="61"/>
      <c r="BH79" s="62">
        <f>IF(BF79=0,0,I79/2)</f>
        <v>0</v>
      </c>
      <c r="BI79" s="62">
        <f>IF(BF79=0,0,+IF(BF79-J79&lt;30,J79-BF79,30))</f>
        <v>0</v>
      </c>
      <c r="BJ79" s="62">
        <f>+BI79*BH79/30</f>
        <v>0</v>
      </c>
      <c r="BK79" s="63">
        <f>+BD79+AX79+AY79</f>
        <v>16334.263262851211</v>
      </c>
      <c r="BL79" s="48">
        <f>+L79-N79</f>
        <v>0</v>
      </c>
      <c r="BM79" s="64"/>
      <c r="BN79" s="64"/>
      <c r="BO79" s="49"/>
    </row>
    <row r="80" spans="1:67" s="18" customFormat="1" ht="27" customHeight="1">
      <c r="A80" s="50" t="s">
        <v>140</v>
      </c>
      <c r="B80" s="51" t="s">
        <v>332</v>
      </c>
      <c r="C80" s="52"/>
      <c r="D80" s="53" t="s">
        <v>333</v>
      </c>
      <c r="E80" s="54">
        <v>42268</v>
      </c>
      <c r="F80" s="25">
        <v>42369</v>
      </c>
      <c r="G80" s="54" t="s">
        <v>334</v>
      </c>
      <c r="H80" s="55" t="s">
        <v>207</v>
      </c>
      <c r="I80" s="29">
        <v>701510</v>
      </c>
      <c r="J80" s="28">
        <v>42368</v>
      </c>
      <c r="K80" s="29">
        <v>0</v>
      </c>
      <c r="L80" s="29">
        <v>0</v>
      </c>
      <c r="M80" s="56">
        <v>0</v>
      </c>
      <c r="N80" s="33">
        <v>0</v>
      </c>
      <c r="O80" s="31">
        <v>0</v>
      </c>
      <c r="P80" s="32">
        <v>0</v>
      </c>
      <c r="Q80" s="33">
        <v>0</v>
      </c>
      <c r="R80" s="32">
        <v>0</v>
      </c>
      <c r="S80" s="33">
        <v>0</v>
      </c>
      <c r="T80" s="32">
        <v>0</v>
      </c>
      <c r="U80" s="33">
        <v>0</v>
      </c>
      <c r="V80" s="32">
        <v>0</v>
      </c>
      <c r="W80" s="33">
        <v>0</v>
      </c>
      <c r="X80" s="32">
        <v>0</v>
      </c>
      <c r="Y80" s="33">
        <v>0</v>
      </c>
      <c r="Z80" s="33">
        <v>0</v>
      </c>
      <c r="AA80" s="31">
        <v>0</v>
      </c>
      <c r="AB80" s="31">
        <v>0</v>
      </c>
      <c r="AC80" s="33">
        <v>0</v>
      </c>
      <c r="AD80" s="35"/>
      <c r="AE80" s="33">
        <v>0</v>
      </c>
      <c r="AF80" s="31">
        <v>8.4166666666666661</v>
      </c>
      <c r="AG80" s="33">
        <v>161027.38611111112</v>
      </c>
      <c r="AH80" s="31">
        <v>0</v>
      </c>
      <c r="AI80" s="31">
        <v>0</v>
      </c>
      <c r="AJ80" s="36">
        <v>161027.38611111112</v>
      </c>
      <c r="AK80" s="33">
        <f>IF(ISNA(VLOOKUP(A80,[2]AVANTAGE!$A$5:$T$118,19,0))=TRUE,0,VLOOKUP(A80,[2]AVANTAGE!$A$5:$T$118,19,0))</f>
        <v>0</v>
      </c>
      <c r="AL80" s="33">
        <f>IF(ISNA(VLOOKUP(A80,[2]AVANTAGE!$A$5:$T$118,20,0))=TRUE,0,VLOOKUP(A80,[2]AVANTAGE!$A$5:$T$118,20,0))</f>
        <v>0</v>
      </c>
      <c r="AM80" s="37">
        <f>+AJ80+AL80</f>
        <v>161027.38611111112</v>
      </c>
      <c r="AN80" s="38">
        <f>IF(D80=0,0,(IF((AM80)*1%&gt;10641.07,10641.07,(AM80)*1%)))</f>
        <v>1610.2738611111113</v>
      </c>
      <c r="AO80" s="33">
        <f>IF(D80=0,0,(IF((AM80)*1%&gt;10641.07,10641.07,(AM80)*1%)))</f>
        <v>1610.2738611111113</v>
      </c>
      <c r="AP80" s="38"/>
      <c r="AQ80" s="38">
        <f>+INT((AJ80+AL80-AO80-AN80-AP80)/100)*100</f>
        <v>157800</v>
      </c>
      <c r="AR80" s="39">
        <f>IF(AQ80=0,0,IF(AQ80&lt;=250000,0,(AQ80-250000)*20%))</f>
        <v>0</v>
      </c>
      <c r="AS80" s="40">
        <f>VLOOKUP(A80,'[2]Liste personnel'!$B$3:$R$187,16,0)</f>
        <v>0</v>
      </c>
      <c r="AT80" s="38">
        <f>+AS80*2000</f>
        <v>0</v>
      </c>
      <c r="AU80" s="38">
        <f>+IF(AR80=0,0,IF(AR80-AT80&lt;200,200,AR80-AT80))</f>
        <v>0</v>
      </c>
      <c r="AV80" s="38">
        <f>IF(ISNA(VLOOKUP(A80,[2]AVANCE!$A$6:$E$122,4,0))=TRUE,0,VLOOKUP(A80,[2]AVANCE!$A$6:$E$122,4,0))</f>
        <v>0</v>
      </c>
      <c r="AW80" s="38">
        <f>IF(ISNA(VLOOKUP(A80,[2]AVANCE!$A$6:$E$122,5,0))=TRUE,0,VLOOKUP(A80,[2]AVANCE!$A$6:$E$122,5,0))</f>
        <v>0</v>
      </c>
      <c r="AX80" s="38">
        <f>+AV80+AW80</f>
        <v>0</v>
      </c>
      <c r="AY80" s="57"/>
      <c r="AZ80" s="58">
        <f>+AO80+AN80+AU80+AX80+AY80</f>
        <v>3220.5477222222225</v>
      </c>
      <c r="BA80" s="38">
        <f>+AJ80-AZ80</f>
        <v>157806.83838888889</v>
      </c>
      <c r="BB80" s="117"/>
      <c r="BC80" s="118"/>
      <c r="BD80" s="59">
        <f>+BA80+BB80+BC80</f>
        <v>157806.83838888889</v>
      </c>
      <c r="BE80" s="60">
        <f>IF(BD80-INT(BD80/100)*100&gt;0,INT(BD80/100)*100+100,INT(BD80/100)*100)</f>
        <v>157900</v>
      </c>
      <c r="BF80" s="61"/>
      <c r="BG80" s="61"/>
      <c r="BH80" s="62">
        <f>IF(BF80=0,0,I80/2)</f>
        <v>0</v>
      </c>
      <c r="BI80" s="62">
        <f>IF(BF80=0,0,+IF(BF80-J80&lt;30,J80-BF80,30))</f>
        <v>0</v>
      </c>
      <c r="BJ80" s="62">
        <f>+BI80*BH80/30</f>
        <v>0</v>
      </c>
      <c r="BK80" s="63">
        <f>+BD80+AX80+AY80</f>
        <v>157806.83838888889</v>
      </c>
      <c r="BL80" s="48">
        <f>+L80-N80</f>
        <v>0</v>
      </c>
      <c r="BM80" s="64"/>
      <c r="BN80" s="64"/>
      <c r="BO80" s="49"/>
    </row>
    <row r="81" spans="1:67" s="18" customFormat="1" ht="27" customHeight="1">
      <c r="A81" s="50" t="s">
        <v>141</v>
      </c>
      <c r="B81" s="51" t="s">
        <v>335</v>
      </c>
      <c r="C81" s="52"/>
      <c r="D81" s="53" t="s">
        <v>336</v>
      </c>
      <c r="E81" s="54">
        <v>42268</v>
      </c>
      <c r="F81" s="25">
        <v>42369</v>
      </c>
      <c r="G81" s="54" t="s">
        <v>299</v>
      </c>
      <c r="H81" s="55" t="s">
        <v>187</v>
      </c>
      <c r="I81" s="29">
        <v>133100</v>
      </c>
      <c r="J81" s="28">
        <v>42368</v>
      </c>
      <c r="K81" s="29">
        <v>0</v>
      </c>
      <c r="L81" s="29">
        <v>0</v>
      </c>
      <c r="M81" s="56">
        <v>0</v>
      </c>
      <c r="N81" s="33">
        <v>0</v>
      </c>
      <c r="O81" s="31">
        <v>767.89938268043613</v>
      </c>
      <c r="P81" s="32">
        <v>0</v>
      </c>
      <c r="Q81" s="33">
        <v>0</v>
      </c>
      <c r="R81" s="32">
        <v>0</v>
      </c>
      <c r="S81" s="33">
        <v>0</v>
      </c>
      <c r="T81" s="32">
        <v>0</v>
      </c>
      <c r="U81" s="33">
        <v>0</v>
      </c>
      <c r="V81" s="32">
        <v>0</v>
      </c>
      <c r="W81" s="33">
        <v>0</v>
      </c>
      <c r="X81" s="32">
        <v>0</v>
      </c>
      <c r="Y81" s="33">
        <v>0</v>
      </c>
      <c r="Z81" s="33">
        <v>0</v>
      </c>
      <c r="AA81" s="31">
        <v>0</v>
      </c>
      <c r="AB81" s="31">
        <v>0</v>
      </c>
      <c r="AC81" s="33">
        <v>0</v>
      </c>
      <c r="AD81" s="35"/>
      <c r="AE81" s="33">
        <v>0</v>
      </c>
      <c r="AF81" s="31">
        <v>1.8333333333333321</v>
      </c>
      <c r="AG81" s="33">
        <v>12539.392837682768</v>
      </c>
      <c r="AH81" s="31">
        <v>0</v>
      </c>
      <c r="AI81" s="31">
        <v>0</v>
      </c>
      <c r="AJ81" s="36">
        <v>12539.392837682768</v>
      </c>
      <c r="AK81" s="33">
        <f>IF(ISNA(VLOOKUP(A81,[2]AVANTAGE!$A$5:$T$118,19,0))=TRUE,0,VLOOKUP(A81,[2]AVANTAGE!$A$5:$T$118,19,0))</f>
        <v>0</v>
      </c>
      <c r="AL81" s="33">
        <f>IF(ISNA(VLOOKUP(A81,[2]AVANTAGE!$A$5:$T$118,20,0))=TRUE,0,VLOOKUP(A81,[2]AVANTAGE!$A$5:$T$118,20,0))</f>
        <v>0</v>
      </c>
      <c r="AM81" s="37">
        <f>+AJ81+AL81</f>
        <v>12539.392837682768</v>
      </c>
      <c r="AN81" s="38">
        <f>IF(D81=0,0,(IF((AM81)*1%&gt;10641.07,10641.07,(AM81)*1%)))</f>
        <v>125.39392837682769</v>
      </c>
      <c r="AO81" s="33">
        <f>IF(D81=0,0,(IF((AM81)*1%&gt;10641.07,10641.07,(AM81)*1%)))</f>
        <v>125.39392837682769</v>
      </c>
      <c r="AP81" s="38"/>
      <c r="AQ81" s="38">
        <f>+INT((AJ81+AL81-AO81-AN81-AP81)/100)*100</f>
        <v>12200</v>
      </c>
      <c r="AR81" s="39">
        <f>IF(AQ81=0,0,IF(AQ81&lt;=250000,0,(AQ81-250000)*20%))</f>
        <v>0</v>
      </c>
      <c r="AS81" s="40">
        <f>VLOOKUP(A81,'[2]Liste personnel'!$B$3:$R$187,16,0)</f>
        <v>0</v>
      </c>
      <c r="AT81" s="38">
        <f>+AS81*2000</f>
        <v>0</v>
      </c>
      <c r="AU81" s="38">
        <f>+IF(AR81=0,0,IF(AR81-AT81&lt;200,200,AR81-AT81))</f>
        <v>0</v>
      </c>
      <c r="AV81" s="38">
        <f>IF(ISNA(VLOOKUP(A81,[2]AVANCE!$A$6:$E$122,4,0))=TRUE,0,VLOOKUP(A81,[2]AVANCE!$A$6:$E$122,4,0))</f>
        <v>0</v>
      </c>
      <c r="AW81" s="38">
        <f>IF(ISNA(VLOOKUP(A81,[2]AVANCE!$A$6:$E$122,5,0))=TRUE,0,VLOOKUP(A81,[2]AVANCE!$A$6:$E$122,5,0))</f>
        <v>0</v>
      </c>
      <c r="AX81" s="38">
        <f>+AV81+AW81</f>
        <v>0</v>
      </c>
      <c r="AY81" s="57"/>
      <c r="AZ81" s="58">
        <f>+AO81+AN81+AU81+AX81+AY81</f>
        <v>250.78785675365538</v>
      </c>
      <c r="BA81" s="38">
        <f>+AJ81-AZ81</f>
        <v>12288.604980929113</v>
      </c>
      <c r="BB81" s="117"/>
      <c r="BC81" s="118"/>
      <c r="BD81" s="59">
        <f>+BA81+BB81+BC81</f>
        <v>12288.604980929113</v>
      </c>
      <c r="BE81" s="60">
        <f>IF(BD81-INT(BD81/100)*100&gt;0,INT(BD81/100)*100+100,INT(BD81/100)*100)</f>
        <v>12300</v>
      </c>
      <c r="BF81" s="61"/>
      <c r="BG81" s="61"/>
      <c r="BH81" s="62">
        <f>IF(BF81=0,0,I81/2)</f>
        <v>0</v>
      </c>
      <c r="BI81" s="62">
        <f>IF(BF81=0,0,+IF(BF81-J81&lt;30,J81-BF81,30))</f>
        <v>0</v>
      </c>
      <c r="BJ81" s="62">
        <f>+BI81*BH81/30</f>
        <v>0</v>
      </c>
      <c r="BK81" s="63">
        <f>+BD81+AX81+AY81</f>
        <v>12288.604980929113</v>
      </c>
      <c r="BL81" s="48">
        <f>+L81-N81</f>
        <v>0</v>
      </c>
      <c r="BM81" s="64"/>
      <c r="BN81" s="64"/>
      <c r="BO81" s="49"/>
    </row>
    <row r="82" spans="1:67" s="18" customFormat="1" ht="27" customHeight="1">
      <c r="A82" s="50" t="s">
        <v>142</v>
      </c>
      <c r="B82" s="51" t="s">
        <v>337</v>
      </c>
      <c r="C82" s="52"/>
      <c r="D82" s="53" t="s">
        <v>336</v>
      </c>
      <c r="E82" s="54">
        <v>42268</v>
      </c>
      <c r="F82" s="25">
        <v>42369</v>
      </c>
      <c r="G82" s="54" t="s">
        <v>299</v>
      </c>
      <c r="H82" s="55" t="s">
        <v>187</v>
      </c>
      <c r="I82" s="29">
        <v>133100</v>
      </c>
      <c r="J82" s="28">
        <v>42368</v>
      </c>
      <c r="K82" s="29">
        <v>0</v>
      </c>
      <c r="L82" s="29">
        <v>0</v>
      </c>
      <c r="M82" s="56">
        <v>0</v>
      </c>
      <c r="N82" s="33">
        <v>0</v>
      </c>
      <c r="O82" s="31">
        <v>767.89938268043613</v>
      </c>
      <c r="P82" s="32">
        <v>0</v>
      </c>
      <c r="Q82" s="33">
        <v>0</v>
      </c>
      <c r="R82" s="32">
        <v>0</v>
      </c>
      <c r="S82" s="33">
        <v>0</v>
      </c>
      <c r="T82" s="32">
        <v>0</v>
      </c>
      <c r="U82" s="33">
        <v>0</v>
      </c>
      <c r="V82" s="32">
        <v>0</v>
      </c>
      <c r="W82" s="33">
        <v>0</v>
      </c>
      <c r="X82" s="32">
        <v>0</v>
      </c>
      <c r="Y82" s="33">
        <v>0</v>
      </c>
      <c r="Z82" s="33">
        <v>0</v>
      </c>
      <c r="AA82" s="31">
        <v>0</v>
      </c>
      <c r="AB82" s="31">
        <v>0</v>
      </c>
      <c r="AC82" s="33">
        <v>0</v>
      </c>
      <c r="AD82" s="35"/>
      <c r="AE82" s="33">
        <v>0</v>
      </c>
      <c r="AF82" s="31">
        <v>1.5833333333333339</v>
      </c>
      <c r="AG82" s="33">
        <v>11834.625730783289</v>
      </c>
      <c r="AH82" s="31">
        <v>0</v>
      </c>
      <c r="AI82" s="31">
        <v>0</v>
      </c>
      <c r="AJ82" s="36">
        <v>11834.625730783289</v>
      </c>
      <c r="AK82" s="33">
        <f>IF(ISNA(VLOOKUP(A82,[2]AVANTAGE!$A$5:$T$118,19,0))=TRUE,0,VLOOKUP(A82,[2]AVANTAGE!$A$5:$T$118,19,0))</f>
        <v>0</v>
      </c>
      <c r="AL82" s="33">
        <f>IF(ISNA(VLOOKUP(A82,[2]AVANTAGE!$A$5:$T$118,20,0))=TRUE,0,VLOOKUP(A82,[2]AVANTAGE!$A$5:$T$118,20,0))</f>
        <v>0</v>
      </c>
      <c r="AM82" s="37">
        <f>+AJ82+AL82</f>
        <v>11834.625730783289</v>
      </c>
      <c r="AN82" s="38">
        <f>IF(D82=0,0,(IF((AM82)*1%&gt;10641.07,10641.07,(AM82)*1%)))</f>
        <v>118.3462573078329</v>
      </c>
      <c r="AO82" s="33">
        <f>IF(D82=0,0,(IF((AM82)*1%&gt;10641.07,10641.07,(AM82)*1%)))</f>
        <v>118.3462573078329</v>
      </c>
      <c r="AP82" s="38"/>
      <c r="AQ82" s="38">
        <f>+INT((AJ82+AL82-AO82-AN82-AP82)/100)*100</f>
        <v>11500</v>
      </c>
      <c r="AR82" s="39">
        <f>IF(AQ82=0,0,IF(AQ82&lt;=250000,0,(AQ82-250000)*20%))</f>
        <v>0</v>
      </c>
      <c r="AS82" s="40">
        <f>VLOOKUP(A82,'[2]Liste personnel'!$B$3:$R$187,16,0)</f>
        <v>0</v>
      </c>
      <c r="AT82" s="38">
        <f>+AS82*2000</f>
        <v>0</v>
      </c>
      <c r="AU82" s="38">
        <f>+IF(AR82=0,0,IF(AR82-AT82&lt;200,200,AR82-AT82))</f>
        <v>0</v>
      </c>
      <c r="AV82" s="38">
        <f>IF(ISNA(VLOOKUP(A82,[2]AVANCE!$A$6:$E$122,4,0))=TRUE,0,VLOOKUP(A82,[2]AVANCE!$A$6:$E$122,4,0))</f>
        <v>0</v>
      </c>
      <c r="AW82" s="38">
        <f>IF(ISNA(VLOOKUP(A82,[2]AVANCE!$A$6:$E$122,5,0))=TRUE,0,VLOOKUP(A82,[2]AVANCE!$A$6:$E$122,5,0))</f>
        <v>0</v>
      </c>
      <c r="AX82" s="38">
        <f>+AV82+AW82</f>
        <v>0</v>
      </c>
      <c r="AY82" s="57"/>
      <c r="AZ82" s="58">
        <f>+AO82+AN82+AU82+AX82+AY82</f>
        <v>236.6925146156658</v>
      </c>
      <c r="BA82" s="38">
        <f>+AJ82-AZ82</f>
        <v>11597.933216167623</v>
      </c>
      <c r="BB82" s="117"/>
      <c r="BC82" s="118"/>
      <c r="BD82" s="59">
        <f>+BA82+BB82+BC82</f>
        <v>11597.933216167623</v>
      </c>
      <c r="BE82" s="60">
        <f>IF(BD82-INT(BD82/100)*100&gt;0,INT(BD82/100)*100+100,INT(BD82/100)*100)</f>
        <v>11600</v>
      </c>
      <c r="BF82" s="61"/>
      <c r="BG82" s="61"/>
      <c r="BH82" s="62">
        <f>IF(BF82=0,0,I82/2)</f>
        <v>0</v>
      </c>
      <c r="BI82" s="62">
        <f>IF(BF82=0,0,+IF(BF82-J82&lt;30,J82-BF82,30))</f>
        <v>0</v>
      </c>
      <c r="BJ82" s="62">
        <f>+BI82*BH82/30</f>
        <v>0</v>
      </c>
      <c r="BK82" s="63">
        <f>+BD82+AX82+AY82</f>
        <v>11597.933216167623</v>
      </c>
      <c r="BL82" s="48">
        <f>+L82-N82</f>
        <v>0</v>
      </c>
      <c r="BM82" s="64"/>
      <c r="BN82" s="64"/>
      <c r="BO82" s="49"/>
    </row>
    <row r="83" spans="1:67" s="18" customFormat="1" ht="27" customHeight="1">
      <c r="A83" s="50" t="s">
        <v>143</v>
      </c>
      <c r="B83" s="51" t="s">
        <v>338</v>
      </c>
      <c r="C83" s="52"/>
      <c r="D83" s="53" t="s">
        <v>281</v>
      </c>
      <c r="E83" s="54">
        <v>42279</v>
      </c>
      <c r="F83" s="25">
        <v>42369</v>
      </c>
      <c r="G83" s="54" t="s">
        <v>299</v>
      </c>
      <c r="H83" s="55" t="s">
        <v>187</v>
      </c>
      <c r="I83" s="29">
        <v>133100</v>
      </c>
      <c r="J83" s="28">
        <v>42368</v>
      </c>
      <c r="K83" s="29">
        <v>0</v>
      </c>
      <c r="L83" s="29">
        <v>0</v>
      </c>
      <c r="M83" s="56">
        <v>0</v>
      </c>
      <c r="N83" s="33">
        <v>0</v>
      </c>
      <c r="O83" s="31">
        <v>767.89938268043613</v>
      </c>
      <c r="P83" s="32">
        <v>0</v>
      </c>
      <c r="Q83" s="33">
        <v>0</v>
      </c>
      <c r="R83" s="32">
        <v>0</v>
      </c>
      <c r="S83" s="33">
        <v>0</v>
      </c>
      <c r="T83" s="32">
        <v>0</v>
      </c>
      <c r="U83" s="33">
        <v>0</v>
      </c>
      <c r="V83" s="32">
        <v>0</v>
      </c>
      <c r="W83" s="33">
        <v>0</v>
      </c>
      <c r="X83" s="32">
        <v>0</v>
      </c>
      <c r="Y83" s="33">
        <v>0</v>
      </c>
      <c r="Z83" s="33">
        <v>0</v>
      </c>
      <c r="AA83" s="31">
        <v>0</v>
      </c>
      <c r="AB83" s="31">
        <v>0</v>
      </c>
      <c r="AC83" s="33">
        <v>0</v>
      </c>
      <c r="AD83" s="35"/>
      <c r="AE83" s="33">
        <v>0</v>
      </c>
      <c r="AF83" s="31">
        <v>-0.5</v>
      </c>
      <c r="AG83" s="33">
        <v>-2902.8925908831579</v>
      </c>
      <c r="AH83" s="31">
        <v>0</v>
      </c>
      <c r="AI83" s="31">
        <v>0</v>
      </c>
      <c r="AJ83" s="36">
        <v>-2902.8925908831579</v>
      </c>
      <c r="AK83" s="33">
        <f>IF(ISNA(VLOOKUP(A83,[2]AVANTAGE!$A$5:$T$118,19,0))=TRUE,0,VLOOKUP(A83,[2]AVANTAGE!$A$5:$T$118,19,0))</f>
        <v>0</v>
      </c>
      <c r="AL83" s="33">
        <f>IF(ISNA(VLOOKUP(A83,[2]AVANTAGE!$A$5:$T$118,20,0))=TRUE,0,VLOOKUP(A83,[2]AVANTAGE!$A$5:$T$118,20,0))</f>
        <v>0</v>
      </c>
      <c r="AM83" s="37">
        <f>+AJ83+AL83</f>
        <v>-2902.8925908831579</v>
      </c>
      <c r="AN83" s="38">
        <f>IF(D83=0,0,(IF((AM83)*1%&gt;10641.07,10641.07,(AM83)*1%)))</f>
        <v>-29.028925908831582</v>
      </c>
      <c r="AO83" s="33">
        <f>IF(D83=0,0,(IF((AM83)*1%&gt;10641.07,10641.07,(AM83)*1%)))</f>
        <v>-29.028925908831582</v>
      </c>
      <c r="AP83" s="38"/>
      <c r="AQ83" s="38">
        <f>+INT((AJ83+AL83-AO83-AN83-AP83)/100)*100</f>
        <v>-2900</v>
      </c>
      <c r="AR83" s="39">
        <f>IF(AQ83=0,0,IF(AQ83&lt;=250000,0,(AQ83-250000)*20%))</f>
        <v>0</v>
      </c>
      <c r="AS83" s="40">
        <f>VLOOKUP(A83,'[2]Liste personnel'!$B$3:$R$187,16,0)</f>
        <v>0</v>
      </c>
      <c r="AT83" s="38">
        <f>+AS83*2000</f>
        <v>0</v>
      </c>
      <c r="AU83" s="38">
        <f>+IF(AR83=0,0,IF(AR83-AT83&lt;200,200,AR83-AT83))</f>
        <v>0</v>
      </c>
      <c r="AV83" s="38">
        <f>IF(ISNA(VLOOKUP(A83,[2]AVANCE!$A$6:$E$122,4,0))=TRUE,0,VLOOKUP(A83,[2]AVANCE!$A$6:$E$122,4,0))</f>
        <v>0</v>
      </c>
      <c r="AW83" s="38">
        <f>IF(ISNA(VLOOKUP(A83,[2]AVANCE!$A$6:$E$122,5,0))=TRUE,0,VLOOKUP(A83,[2]AVANCE!$A$6:$E$122,5,0))</f>
        <v>0</v>
      </c>
      <c r="AX83" s="38">
        <f>+AV83+AW83</f>
        <v>0</v>
      </c>
      <c r="AY83" s="57"/>
      <c r="AZ83" s="58">
        <f>+AO83+AN83+AU83+AX83+AY83</f>
        <v>-58.057851817663163</v>
      </c>
      <c r="BA83" s="38">
        <f>+AJ83-AZ83</f>
        <v>-2844.8347390654949</v>
      </c>
      <c r="BB83" s="117"/>
      <c r="BC83" s="118"/>
      <c r="BD83" s="59">
        <f>+BA83+BB83+BC83</f>
        <v>-2844.8347390654949</v>
      </c>
      <c r="BE83" s="60">
        <f>IF(BD83-INT(BD83/100)*100&gt;0,INT(BD83/100)*100+100,INT(BD83/100)*100)</f>
        <v>-2800</v>
      </c>
      <c r="BF83" s="61"/>
      <c r="BG83" s="61"/>
      <c r="BH83" s="62">
        <f>IF(BF83=0,0,I83/2)</f>
        <v>0</v>
      </c>
      <c r="BI83" s="62">
        <f>IF(BF83=0,0,+IF(BF83-J83&lt;30,J83-BF83,30))</f>
        <v>0</v>
      </c>
      <c r="BJ83" s="62">
        <f>+BI83*BH83/30</f>
        <v>0</v>
      </c>
      <c r="BK83" s="63">
        <f>+BD83+AX83+AY83</f>
        <v>-2844.8347390654949</v>
      </c>
      <c r="BL83" s="48">
        <f>+L83-N83</f>
        <v>0</v>
      </c>
      <c r="BM83" s="64"/>
      <c r="BN83" s="64"/>
      <c r="BO83" s="49"/>
    </row>
    <row r="84" spans="1:67" s="18" customFormat="1" ht="27" customHeight="1">
      <c r="A84" s="50" t="s">
        <v>144</v>
      </c>
      <c r="B84" s="51" t="s">
        <v>339</v>
      </c>
      <c r="C84" s="52"/>
      <c r="D84" s="53" t="s">
        <v>290</v>
      </c>
      <c r="E84" s="54">
        <v>42279</v>
      </c>
      <c r="F84" s="25">
        <v>42369</v>
      </c>
      <c r="G84" s="54" t="s">
        <v>299</v>
      </c>
      <c r="H84" s="55" t="s">
        <v>187</v>
      </c>
      <c r="I84" s="29">
        <v>133100</v>
      </c>
      <c r="J84" s="28">
        <v>42368</v>
      </c>
      <c r="K84" s="29">
        <v>0</v>
      </c>
      <c r="L84" s="29">
        <v>0</v>
      </c>
      <c r="M84" s="56">
        <v>0</v>
      </c>
      <c r="N84" s="33">
        <v>0</v>
      </c>
      <c r="O84" s="31">
        <v>767.89938268043613</v>
      </c>
      <c r="P84" s="32">
        <v>0</v>
      </c>
      <c r="Q84" s="33">
        <v>0</v>
      </c>
      <c r="R84" s="32">
        <v>0</v>
      </c>
      <c r="S84" s="33">
        <v>0</v>
      </c>
      <c r="T84" s="32">
        <v>0</v>
      </c>
      <c r="U84" s="33">
        <v>0</v>
      </c>
      <c r="V84" s="32">
        <v>0</v>
      </c>
      <c r="W84" s="33">
        <v>0</v>
      </c>
      <c r="X84" s="32">
        <v>0</v>
      </c>
      <c r="Y84" s="33">
        <v>0</v>
      </c>
      <c r="Z84" s="33">
        <v>0</v>
      </c>
      <c r="AA84" s="31">
        <v>0</v>
      </c>
      <c r="AB84" s="31">
        <v>0</v>
      </c>
      <c r="AC84" s="33">
        <v>0</v>
      </c>
      <c r="AD84" s="35"/>
      <c r="AE84" s="33">
        <v>0</v>
      </c>
      <c r="AF84" s="31">
        <v>-0.5</v>
      </c>
      <c r="AG84" s="33">
        <v>-2665.6961303743019</v>
      </c>
      <c r="AH84" s="31">
        <v>0</v>
      </c>
      <c r="AI84" s="31">
        <v>0</v>
      </c>
      <c r="AJ84" s="36">
        <v>-2665.6961303743019</v>
      </c>
      <c r="AK84" s="33">
        <f>IF(ISNA(VLOOKUP(A84,[2]AVANTAGE!$A$5:$T$118,19,0))=TRUE,0,VLOOKUP(A84,[2]AVANTAGE!$A$5:$T$118,19,0))</f>
        <v>0</v>
      </c>
      <c r="AL84" s="33">
        <f>IF(ISNA(VLOOKUP(A84,[2]AVANTAGE!$A$5:$T$118,20,0))=TRUE,0,VLOOKUP(A84,[2]AVANTAGE!$A$5:$T$118,20,0))</f>
        <v>0</v>
      </c>
      <c r="AM84" s="37">
        <f>+AJ84+AL84</f>
        <v>-2665.6961303743019</v>
      </c>
      <c r="AN84" s="38">
        <f>IF(D84=0,0,(IF((AM84)*1%&gt;10641.07,10641.07,(AM84)*1%)))</f>
        <v>-26.656961303743021</v>
      </c>
      <c r="AO84" s="33">
        <f>IF(D84=0,0,(IF((AM84)*1%&gt;10641.07,10641.07,(AM84)*1%)))</f>
        <v>-26.656961303743021</v>
      </c>
      <c r="AP84" s="38"/>
      <c r="AQ84" s="38">
        <f>+INT((AJ84+AL84-AO84-AN84-AP84)/100)*100</f>
        <v>-2700</v>
      </c>
      <c r="AR84" s="39">
        <f>IF(AQ84=0,0,IF(AQ84&lt;=250000,0,(AQ84-250000)*20%))</f>
        <v>0</v>
      </c>
      <c r="AS84" s="40">
        <f>VLOOKUP(A84,'[2]Liste personnel'!$B$3:$R$187,16,0)</f>
        <v>0</v>
      </c>
      <c r="AT84" s="38">
        <f>+AS84*2000</f>
        <v>0</v>
      </c>
      <c r="AU84" s="38">
        <f>+IF(AR84=0,0,IF(AR84-AT84&lt;200,200,AR84-AT84))</f>
        <v>0</v>
      </c>
      <c r="AV84" s="38">
        <f>IF(ISNA(VLOOKUP(A84,[2]AVANCE!$A$6:$E$122,4,0))=TRUE,0,VLOOKUP(A84,[2]AVANCE!$A$6:$E$122,4,0))</f>
        <v>0</v>
      </c>
      <c r="AW84" s="38">
        <f>IF(ISNA(VLOOKUP(A84,[2]AVANCE!$A$6:$E$122,5,0))=TRUE,0,VLOOKUP(A84,[2]AVANCE!$A$6:$E$122,5,0))</f>
        <v>0</v>
      </c>
      <c r="AX84" s="38">
        <f>+AV84+AW84</f>
        <v>0</v>
      </c>
      <c r="AY84" s="57"/>
      <c r="AZ84" s="58">
        <f>+AO84+AN84+AU84+AX84+AY84</f>
        <v>-53.313922607486042</v>
      </c>
      <c r="BA84" s="38">
        <f>+AJ84-AZ84</f>
        <v>-2612.382207766816</v>
      </c>
      <c r="BB84" s="117"/>
      <c r="BC84" s="118"/>
      <c r="BD84" s="59">
        <f>+BA84+BB84+BC84</f>
        <v>-2612.382207766816</v>
      </c>
      <c r="BE84" s="60">
        <f>IF(BD84-INT(BD84/100)*100&gt;0,INT(BD84/100)*100+100,INT(BD84/100)*100)</f>
        <v>-2600</v>
      </c>
      <c r="BF84" s="61"/>
      <c r="BG84" s="61"/>
      <c r="BH84" s="62">
        <f>IF(BF84=0,0,I84/2)</f>
        <v>0</v>
      </c>
      <c r="BI84" s="62">
        <f>IF(BF84=0,0,+IF(BF84-J84&lt;30,J84-BF84,30))</f>
        <v>0</v>
      </c>
      <c r="BJ84" s="62">
        <f>+BI84*BH84/30</f>
        <v>0</v>
      </c>
      <c r="BK84" s="63">
        <f>+BD84+AX84+AY84</f>
        <v>-2612.382207766816</v>
      </c>
      <c r="BL84" s="48">
        <f>+L84-N84</f>
        <v>0</v>
      </c>
      <c r="BM84" s="64"/>
      <c r="BN84" s="64"/>
      <c r="BO84" s="49"/>
    </row>
    <row r="85" spans="1:67" s="18" customFormat="1" ht="27" customHeight="1">
      <c r="A85" s="50" t="s">
        <v>145</v>
      </c>
      <c r="B85" s="51" t="s">
        <v>340</v>
      </c>
      <c r="C85" s="52"/>
      <c r="D85" s="53" t="s">
        <v>290</v>
      </c>
      <c r="E85" s="54">
        <v>42279</v>
      </c>
      <c r="F85" s="25">
        <v>42369</v>
      </c>
      <c r="G85" s="54" t="s">
        <v>299</v>
      </c>
      <c r="H85" s="55" t="s">
        <v>187</v>
      </c>
      <c r="I85" s="29">
        <v>133100</v>
      </c>
      <c r="J85" s="28">
        <v>42368</v>
      </c>
      <c r="K85" s="29">
        <v>0</v>
      </c>
      <c r="L85" s="29">
        <v>0</v>
      </c>
      <c r="M85" s="56">
        <v>0</v>
      </c>
      <c r="N85" s="33">
        <v>0</v>
      </c>
      <c r="O85" s="31">
        <v>767.89938268043613</v>
      </c>
      <c r="P85" s="32">
        <v>0</v>
      </c>
      <c r="Q85" s="33">
        <v>0</v>
      </c>
      <c r="R85" s="32">
        <v>0</v>
      </c>
      <c r="S85" s="33">
        <v>0</v>
      </c>
      <c r="T85" s="32">
        <v>0</v>
      </c>
      <c r="U85" s="33">
        <v>0</v>
      </c>
      <c r="V85" s="32">
        <v>0</v>
      </c>
      <c r="W85" s="33">
        <v>0</v>
      </c>
      <c r="X85" s="32">
        <v>0</v>
      </c>
      <c r="Y85" s="33">
        <v>0</v>
      </c>
      <c r="Z85" s="33">
        <v>0</v>
      </c>
      <c r="AA85" s="31">
        <v>0</v>
      </c>
      <c r="AB85" s="31">
        <v>0</v>
      </c>
      <c r="AC85" s="33">
        <v>0</v>
      </c>
      <c r="AD85" s="35"/>
      <c r="AE85" s="33">
        <v>0</v>
      </c>
      <c r="AF85" s="31">
        <v>-0.5</v>
      </c>
      <c r="AG85" s="33">
        <v>-3087.612047026545</v>
      </c>
      <c r="AH85" s="31">
        <v>0</v>
      </c>
      <c r="AI85" s="31">
        <v>0</v>
      </c>
      <c r="AJ85" s="36">
        <v>-3087.612047026545</v>
      </c>
      <c r="AK85" s="33">
        <f>IF(ISNA(VLOOKUP(A85,[2]AVANTAGE!$A$5:$T$118,19,0))=TRUE,0,VLOOKUP(A85,[2]AVANTAGE!$A$5:$T$118,19,0))</f>
        <v>0</v>
      </c>
      <c r="AL85" s="33">
        <f>IF(ISNA(VLOOKUP(A85,[2]AVANTAGE!$A$5:$T$118,20,0))=TRUE,0,VLOOKUP(A85,[2]AVANTAGE!$A$5:$T$118,20,0))</f>
        <v>0</v>
      </c>
      <c r="AM85" s="37">
        <f>+AJ85+AL85</f>
        <v>-3087.612047026545</v>
      </c>
      <c r="AN85" s="38">
        <f>IF(D85=0,0,(IF((AM85)*1%&gt;10641.07,10641.07,(AM85)*1%)))</f>
        <v>-30.876120470265452</v>
      </c>
      <c r="AO85" s="33">
        <f>IF(D85=0,0,(IF((AM85)*1%&gt;10641.07,10641.07,(AM85)*1%)))</f>
        <v>-30.876120470265452</v>
      </c>
      <c r="AP85" s="38"/>
      <c r="AQ85" s="38">
        <f>+INT((AJ85+AL85-AO85-AN85-AP85)/100)*100</f>
        <v>-3100</v>
      </c>
      <c r="AR85" s="39">
        <f>IF(AQ85=0,0,IF(AQ85&lt;=250000,0,(AQ85-250000)*20%))</f>
        <v>0</v>
      </c>
      <c r="AS85" s="40">
        <f>VLOOKUP(A85,'[2]Liste personnel'!$B$3:$R$187,16,0)</f>
        <v>0</v>
      </c>
      <c r="AT85" s="38">
        <f>+AS85*2000</f>
        <v>0</v>
      </c>
      <c r="AU85" s="38">
        <f>+IF(AR85=0,0,IF(AR85-AT85&lt;200,200,AR85-AT85))</f>
        <v>0</v>
      </c>
      <c r="AV85" s="38">
        <f>IF(ISNA(VLOOKUP(A85,[2]AVANCE!$A$6:$E$122,4,0))=TRUE,0,VLOOKUP(A85,[2]AVANCE!$A$6:$E$122,4,0))</f>
        <v>0</v>
      </c>
      <c r="AW85" s="38">
        <f>IF(ISNA(VLOOKUP(A85,[2]AVANCE!$A$6:$E$122,5,0))=TRUE,0,VLOOKUP(A85,[2]AVANCE!$A$6:$E$122,5,0))</f>
        <v>0</v>
      </c>
      <c r="AX85" s="38">
        <f>+AV85+AW85</f>
        <v>0</v>
      </c>
      <c r="AY85" s="57"/>
      <c r="AZ85" s="58">
        <f>+AO85+AN85+AU85+AX85+AY85</f>
        <v>-61.752240940530903</v>
      </c>
      <c r="BA85" s="38">
        <f>+AJ85-AZ85</f>
        <v>-3025.859806086014</v>
      </c>
      <c r="BB85" s="117"/>
      <c r="BC85" s="118"/>
      <c r="BD85" s="59">
        <f>+BA85+BB85+BC85</f>
        <v>-3025.859806086014</v>
      </c>
      <c r="BE85" s="60">
        <f>IF(BD85-INT(BD85/100)*100&gt;0,INT(BD85/100)*100+100,INT(BD85/100)*100)</f>
        <v>-3000</v>
      </c>
      <c r="BF85" s="61"/>
      <c r="BG85" s="61"/>
      <c r="BH85" s="62">
        <f>IF(BF85=0,0,I85/2)</f>
        <v>0</v>
      </c>
      <c r="BI85" s="62">
        <f>IF(BF85=0,0,+IF(BF85-J85&lt;30,J85-BF85,30))</f>
        <v>0</v>
      </c>
      <c r="BJ85" s="62">
        <f>+BI85*BH85/30</f>
        <v>0</v>
      </c>
      <c r="BK85" s="63">
        <f>+BD85+AX85+AY85</f>
        <v>-3025.859806086014</v>
      </c>
      <c r="BL85" s="48">
        <f>+L85-N85</f>
        <v>0</v>
      </c>
      <c r="BM85" s="64"/>
      <c r="BN85" s="64"/>
      <c r="BO85" s="49"/>
    </row>
    <row r="86" spans="1:67" s="18" customFormat="1" ht="27" customHeight="1">
      <c r="A86" s="50" t="s">
        <v>146</v>
      </c>
      <c r="B86" s="51" t="s">
        <v>341</v>
      </c>
      <c r="C86" s="52"/>
      <c r="D86" s="53" t="s">
        <v>290</v>
      </c>
      <c r="E86" s="54">
        <v>42283</v>
      </c>
      <c r="F86" s="25">
        <v>42369</v>
      </c>
      <c r="G86" s="54" t="s">
        <v>299</v>
      </c>
      <c r="H86" s="55" t="s">
        <v>187</v>
      </c>
      <c r="I86" s="29">
        <v>133100</v>
      </c>
      <c r="J86" s="28">
        <v>42368</v>
      </c>
      <c r="K86" s="29">
        <v>0</v>
      </c>
      <c r="L86" s="29">
        <v>0</v>
      </c>
      <c r="M86" s="56">
        <v>0</v>
      </c>
      <c r="N86" s="33">
        <v>0</v>
      </c>
      <c r="O86" s="31">
        <v>767.89938268043613</v>
      </c>
      <c r="P86" s="32">
        <v>0</v>
      </c>
      <c r="Q86" s="33">
        <v>0</v>
      </c>
      <c r="R86" s="32">
        <v>0</v>
      </c>
      <c r="S86" s="33">
        <v>0</v>
      </c>
      <c r="T86" s="32">
        <v>0</v>
      </c>
      <c r="U86" s="33">
        <v>0</v>
      </c>
      <c r="V86" s="32">
        <v>0</v>
      </c>
      <c r="W86" s="33">
        <v>0</v>
      </c>
      <c r="X86" s="32">
        <v>0</v>
      </c>
      <c r="Y86" s="33">
        <v>0</v>
      </c>
      <c r="Z86" s="33">
        <v>0</v>
      </c>
      <c r="AA86" s="31">
        <v>0</v>
      </c>
      <c r="AB86" s="31">
        <v>0</v>
      </c>
      <c r="AC86" s="33">
        <v>0</v>
      </c>
      <c r="AD86" s="35"/>
      <c r="AE86" s="33">
        <v>0</v>
      </c>
      <c r="AF86" s="31">
        <v>-0.83333333333333304</v>
      </c>
      <c r="AG86" s="33">
        <v>-4399.9602556459395</v>
      </c>
      <c r="AH86" s="31">
        <v>0</v>
      </c>
      <c r="AI86" s="31">
        <v>0</v>
      </c>
      <c r="AJ86" s="36">
        <v>-4399.9602556459395</v>
      </c>
      <c r="AK86" s="33">
        <f>IF(ISNA(VLOOKUP(A86,[2]AVANTAGE!$A$5:$T$118,19,0))=TRUE,0,VLOOKUP(A86,[2]AVANTAGE!$A$5:$T$118,19,0))</f>
        <v>0</v>
      </c>
      <c r="AL86" s="33">
        <f>IF(ISNA(VLOOKUP(A86,[2]AVANTAGE!$A$5:$T$118,20,0))=TRUE,0,VLOOKUP(A86,[2]AVANTAGE!$A$5:$T$118,20,0))</f>
        <v>0</v>
      </c>
      <c r="AM86" s="37">
        <f>+AJ86+AL86</f>
        <v>-4399.9602556459395</v>
      </c>
      <c r="AN86" s="38">
        <f>IF(D86=0,0,(IF((AM86)*1%&gt;10641.07,10641.07,(AM86)*1%)))</f>
        <v>-43.999602556459394</v>
      </c>
      <c r="AO86" s="33">
        <f>IF(D86=0,0,(IF((AM86)*1%&gt;10641.07,10641.07,(AM86)*1%)))</f>
        <v>-43.999602556459394</v>
      </c>
      <c r="AP86" s="38"/>
      <c r="AQ86" s="38">
        <f>+INT((AJ86+AL86-AO86-AN86-AP86)/100)*100</f>
        <v>-4400</v>
      </c>
      <c r="AR86" s="39">
        <f>IF(AQ86=0,0,IF(AQ86&lt;=250000,0,(AQ86-250000)*20%))</f>
        <v>0</v>
      </c>
      <c r="AS86" s="40">
        <f>VLOOKUP(A86,'[2]Liste personnel'!$B$3:$R$187,16,0)</f>
        <v>0</v>
      </c>
      <c r="AT86" s="38">
        <f>+AS86*2000</f>
        <v>0</v>
      </c>
      <c r="AU86" s="38">
        <f>+IF(AR86=0,0,IF(AR86-AT86&lt;200,200,AR86-AT86))</f>
        <v>0</v>
      </c>
      <c r="AV86" s="38">
        <f>IF(ISNA(VLOOKUP(A86,[2]AVANCE!$A$6:$E$122,4,0))=TRUE,0,VLOOKUP(A86,[2]AVANCE!$A$6:$E$122,4,0))</f>
        <v>0</v>
      </c>
      <c r="AW86" s="38">
        <f>IF(ISNA(VLOOKUP(A86,[2]AVANCE!$A$6:$E$122,5,0))=TRUE,0,VLOOKUP(A86,[2]AVANCE!$A$6:$E$122,5,0))</f>
        <v>0</v>
      </c>
      <c r="AX86" s="38">
        <f>+AV86+AW86</f>
        <v>0</v>
      </c>
      <c r="AY86" s="57"/>
      <c r="AZ86" s="58">
        <f>+AO86+AN86+AU86+AX86+AY86</f>
        <v>-87.999205112918787</v>
      </c>
      <c r="BA86" s="38">
        <f>+AJ86-AZ86</f>
        <v>-4311.9610505330211</v>
      </c>
      <c r="BB86" s="117"/>
      <c r="BC86" s="118"/>
      <c r="BD86" s="59">
        <f>+BA86+BB86+BC86</f>
        <v>-4311.9610505330211</v>
      </c>
      <c r="BE86" s="60">
        <f>IF(BD86-INT(BD86/100)*100&gt;0,INT(BD86/100)*100+100,INT(BD86/100)*100)</f>
        <v>-4300</v>
      </c>
      <c r="BF86" s="61"/>
      <c r="BG86" s="61"/>
      <c r="BH86" s="62">
        <f>IF(BF86=0,0,I86/2)</f>
        <v>0</v>
      </c>
      <c r="BI86" s="62">
        <f>IF(BF86=0,0,+IF(BF86-J86&lt;30,J86-BF86,30))</f>
        <v>0</v>
      </c>
      <c r="BJ86" s="62">
        <f>+BI86*BH86/30</f>
        <v>0</v>
      </c>
      <c r="BK86" s="63">
        <f>+BD86+AX86+AY86</f>
        <v>-4311.9610505330211</v>
      </c>
      <c r="BL86" s="48">
        <f>+L86-N86</f>
        <v>0</v>
      </c>
      <c r="BM86" s="64"/>
      <c r="BN86" s="64"/>
      <c r="BO86" s="49"/>
    </row>
    <row r="87" spans="1:67" s="18" customFormat="1" ht="27" customHeight="1">
      <c r="A87" s="50" t="s">
        <v>147</v>
      </c>
      <c r="B87" s="51" t="s">
        <v>342</v>
      </c>
      <c r="C87" s="52"/>
      <c r="D87" s="53" t="s">
        <v>290</v>
      </c>
      <c r="E87" s="54">
        <v>42283</v>
      </c>
      <c r="F87" s="25">
        <v>42369</v>
      </c>
      <c r="G87" s="54" t="s">
        <v>299</v>
      </c>
      <c r="H87" s="55" t="s">
        <v>187</v>
      </c>
      <c r="I87" s="29">
        <v>133100</v>
      </c>
      <c r="J87" s="28">
        <v>42368</v>
      </c>
      <c r="K87" s="29">
        <v>0</v>
      </c>
      <c r="L87" s="29">
        <v>0</v>
      </c>
      <c r="M87" s="56">
        <v>0</v>
      </c>
      <c r="N87" s="33">
        <v>0</v>
      </c>
      <c r="O87" s="31">
        <v>767.89938268043613</v>
      </c>
      <c r="P87" s="32">
        <v>0</v>
      </c>
      <c r="Q87" s="33">
        <v>0</v>
      </c>
      <c r="R87" s="32">
        <v>0</v>
      </c>
      <c r="S87" s="33">
        <v>0</v>
      </c>
      <c r="T87" s="32">
        <v>0</v>
      </c>
      <c r="U87" s="33">
        <v>0</v>
      </c>
      <c r="V87" s="32">
        <v>0</v>
      </c>
      <c r="W87" s="33">
        <v>0</v>
      </c>
      <c r="X87" s="32">
        <v>0</v>
      </c>
      <c r="Y87" s="33">
        <v>0</v>
      </c>
      <c r="Z87" s="33">
        <v>0</v>
      </c>
      <c r="AA87" s="31">
        <v>0</v>
      </c>
      <c r="AB87" s="31">
        <v>0</v>
      </c>
      <c r="AC87" s="33">
        <v>0</v>
      </c>
      <c r="AD87" s="35"/>
      <c r="AE87" s="33">
        <v>0</v>
      </c>
      <c r="AF87" s="31">
        <v>-0.83333333333333304</v>
      </c>
      <c r="AG87" s="33">
        <v>-4397.560570075063</v>
      </c>
      <c r="AH87" s="31">
        <v>0</v>
      </c>
      <c r="AI87" s="31">
        <v>0</v>
      </c>
      <c r="AJ87" s="36">
        <v>-4397.560570075063</v>
      </c>
      <c r="AK87" s="33">
        <f>IF(ISNA(VLOOKUP(A87,[2]AVANTAGE!$A$5:$T$118,19,0))=TRUE,0,VLOOKUP(A87,[2]AVANTAGE!$A$5:$T$118,19,0))</f>
        <v>0</v>
      </c>
      <c r="AL87" s="33">
        <f>IF(ISNA(VLOOKUP(A87,[2]AVANTAGE!$A$5:$T$118,20,0))=TRUE,0,VLOOKUP(A87,[2]AVANTAGE!$A$5:$T$118,20,0))</f>
        <v>0</v>
      </c>
      <c r="AM87" s="37">
        <f>+AJ87+AL87</f>
        <v>-4397.560570075063</v>
      </c>
      <c r="AN87" s="38">
        <f>IF(D87=0,0,(IF((AM87)*1%&gt;10641.07,10641.07,(AM87)*1%)))</f>
        <v>-43.975605700750627</v>
      </c>
      <c r="AO87" s="33">
        <f>IF(D87=0,0,(IF((AM87)*1%&gt;10641.07,10641.07,(AM87)*1%)))</f>
        <v>-43.975605700750627</v>
      </c>
      <c r="AP87" s="38"/>
      <c r="AQ87" s="38">
        <f>+INT((AJ87+AL87-AO87-AN87-AP87)/100)*100</f>
        <v>-4400</v>
      </c>
      <c r="AR87" s="39">
        <f>IF(AQ87=0,0,IF(AQ87&lt;=250000,0,(AQ87-250000)*20%))</f>
        <v>0</v>
      </c>
      <c r="AS87" s="40">
        <f>VLOOKUP(A87,'[2]Liste personnel'!$B$3:$R$187,16,0)</f>
        <v>0</v>
      </c>
      <c r="AT87" s="38">
        <f>+AS87*2000</f>
        <v>0</v>
      </c>
      <c r="AU87" s="38">
        <f>+IF(AR87=0,0,IF(AR87-AT87&lt;200,200,AR87-AT87))</f>
        <v>0</v>
      </c>
      <c r="AV87" s="38">
        <f>IF(ISNA(VLOOKUP(A87,[2]AVANCE!$A$6:$E$122,4,0))=TRUE,0,VLOOKUP(A87,[2]AVANCE!$A$6:$E$122,4,0))</f>
        <v>0</v>
      </c>
      <c r="AW87" s="38">
        <f>IF(ISNA(VLOOKUP(A87,[2]AVANCE!$A$6:$E$122,5,0))=TRUE,0,VLOOKUP(A87,[2]AVANCE!$A$6:$E$122,5,0))</f>
        <v>0</v>
      </c>
      <c r="AX87" s="38">
        <f>+AV87+AW87</f>
        <v>0</v>
      </c>
      <c r="AY87" s="57"/>
      <c r="AZ87" s="58">
        <f>+AO87+AN87+AU87+AX87+AY87</f>
        <v>-87.951211401501254</v>
      </c>
      <c r="BA87" s="38">
        <f>+AJ87-AZ87</f>
        <v>-4309.6093586735615</v>
      </c>
      <c r="BB87" s="117"/>
      <c r="BC87" s="118"/>
      <c r="BD87" s="59">
        <f>+BA87+BB87+BC87</f>
        <v>-4309.6093586735615</v>
      </c>
      <c r="BE87" s="60">
        <f>IF(BD87-INT(BD87/100)*100&gt;0,INT(BD87/100)*100+100,INT(BD87/100)*100)</f>
        <v>-4300</v>
      </c>
      <c r="BF87" s="61"/>
      <c r="BG87" s="61"/>
      <c r="BH87" s="62">
        <f>IF(BF87=0,0,I87/2)</f>
        <v>0</v>
      </c>
      <c r="BI87" s="62">
        <f>IF(BF87=0,0,+IF(BF87-J87&lt;30,J87-BF87,30))</f>
        <v>0</v>
      </c>
      <c r="BJ87" s="62">
        <f>+BI87*BH87/30</f>
        <v>0</v>
      </c>
      <c r="BK87" s="63">
        <f>+BD87+AX87+AY87</f>
        <v>-4309.6093586735615</v>
      </c>
      <c r="BL87" s="48">
        <f>+L87-N87</f>
        <v>0</v>
      </c>
      <c r="BM87" s="64"/>
      <c r="BN87" s="64"/>
      <c r="BO87" s="49"/>
    </row>
    <row r="88" spans="1:67" s="18" customFormat="1" ht="27" customHeight="1">
      <c r="A88" s="50" t="s">
        <v>148</v>
      </c>
      <c r="B88" s="51" t="s">
        <v>343</v>
      </c>
      <c r="C88" s="52"/>
      <c r="D88" s="53" t="s">
        <v>290</v>
      </c>
      <c r="E88" s="54">
        <v>42283</v>
      </c>
      <c r="F88" s="25">
        <v>42369</v>
      </c>
      <c r="G88" s="54" t="s">
        <v>299</v>
      </c>
      <c r="H88" s="55" t="s">
        <v>187</v>
      </c>
      <c r="I88" s="29">
        <v>133100</v>
      </c>
      <c r="J88" s="28">
        <v>42368</v>
      </c>
      <c r="K88" s="29">
        <v>0</v>
      </c>
      <c r="L88" s="29">
        <v>0</v>
      </c>
      <c r="M88" s="56">
        <v>0</v>
      </c>
      <c r="N88" s="33">
        <v>0</v>
      </c>
      <c r="O88" s="31">
        <v>767.89938268043613</v>
      </c>
      <c r="P88" s="32">
        <v>0</v>
      </c>
      <c r="Q88" s="33">
        <v>0</v>
      </c>
      <c r="R88" s="32">
        <v>0</v>
      </c>
      <c r="S88" s="33">
        <v>0</v>
      </c>
      <c r="T88" s="32">
        <v>0</v>
      </c>
      <c r="U88" s="33">
        <v>0</v>
      </c>
      <c r="V88" s="32">
        <v>0</v>
      </c>
      <c r="W88" s="33">
        <v>0</v>
      </c>
      <c r="X88" s="32">
        <v>0</v>
      </c>
      <c r="Y88" s="33">
        <v>0</v>
      </c>
      <c r="Z88" s="33">
        <v>0</v>
      </c>
      <c r="AA88" s="31">
        <v>0</v>
      </c>
      <c r="AB88" s="31">
        <v>0</v>
      </c>
      <c r="AC88" s="33">
        <v>0</v>
      </c>
      <c r="AD88" s="35"/>
      <c r="AE88" s="33">
        <v>0</v>
      </c>
      <c r="AF88" s="31">
        <v>-0.83333333333333304</v>
      </c>
      <c r="AG88" s="33">
        <v>-4876.5591405603936</v>
      </c>
      <c r="AH88" s="31">
        <v>0</v>
      </c>
      <c r="AI88" s="31">
        <v>0</v>
      </c>
      <c r="AJ88" s="36">
        <v>-4876.5591405603936</v>
      </c>
      <c r="AK88" s="33">
        <f>IF(ISNA(VLOOKUP(A88,[2]AVANTAGE!$A$5:$T$118,19,0))=TRUE,0,VLOOKUP(A88,[2]AVANTAGE!$A$5:$T$118,19,0))</f>
        <v>0</v>
      </c>
      <c r="AL88" s="33">
        <f>IF(ISNA(VLOOKUP(A88,[2]AVANTAGE!$A$5:$T$118,20,0))=TRUE,0,VLOOKUP(A88,[2]AVANTAGE!$A$5:$T$118,20,0))</f>
        <v>0</v>
      </c>
      <c r="AM88" s="37">
        <f>+AJ88+AL88</f>
        <v>-4876.5591405603936</v>
      </c>
      <c r="AN88" s="38">
        <f>IF(D88=0,0,(IF((AM88)*1%&gt;10641.07,10641.07,(AM88)*1%)))</f>
        <v>-48.765591405603935</v>
      </c>
      <c r="AO88" s="33">
        <f>IF(D88=0,0,(IF((AM88)*1%&gt;10641.07,10641.07,(AM88)*1%)))</f>
        <v>-48.765591405603935</v>
      </c>
      <c r="AP88" s="38"/>
      <c r="AQ88" s="38">
        <f>+INT((AJ88+AL88-AO88-AN88-AP88)/100)*100</f>
        <v>-4800</v>
      </c>
      <c r="AR88" s="39">
        <f>IF(AQ88=0,0,IF(AQ88&lt;=250000,0,(AQ88-250000)*20%))</f>
        <v>0</v>
      </c>
      <c r="AS88" s="40">
        <f>VLOOKUP(A88,'[2]Liste personnel'!$B$3:$R$187,16,0)</f>
        <v>0</v>
      </c>
      <c r="AT88" s="38">
        <f>+AS88*2000</f>
        <v>0</v>
      </c>
      <c r="AU88" s="38">
        <f>+IF(AR88=0,0,IF(AR88-AT88&lt;200,200,AR88-AT88))</f>
        <v>0</v>
      </c>
      <c r="AV88" s="38">
        <f>IF(ISNA(VLOOKUP(A88,[2]AVANCE!$A$6:$E$122,4,0))=TRUE,0,VLOOKUP(A88,[2]AVANCE!$A$6:$E$122,4,0))</f>
        <v>0</v>
      </c>
      <c r="AW88" s="38">
        <f>IF(ISNA(VLOOKUP(A88,[2]AVANCE!$A$6:$E$122,5,0))=TRUE,0,VLOOKUP(A88,[2]AVANCE!$A$6:$E$122,5,0))</f>
        <v>0</v>
      </c>
      <c r="AX88" s="38">
        <f>+AV88+AW88</f>
        <v>0</v>
      </c>
      <c r="AY88" s="57"/>
      <c r="AZ88" s="58">
        <f>+AO88+AN88+AU88+AX88+AY88</f>
        <v>-97.53118281120787</v>
      </c>
      <c r="BA88" s="38">
        <f>+AJ88-AZ88</f>
        <v>-4779.0279577491856</v>
      </c>
      <c r="BB88" s="117"/>
      <c r="BC88" s="118"/>
      <c r="BD88" s="59">
        <f>+BA88+BB88+BC88</f>
        <v>-4779.0279577491856</v>
      </c>
      <c r="BE88" s="60">
        <f>IF(BD88-INT(BD88/100)*100&gt;0,INT(BD88/100)*100+100,INT(BD88/100)*100)</f>
        <v>-4700</v>
      </c>
      <c r="BF88" s="61"/>
      <c r="BG88" s="61"/>
      <c r="BH88" s="62">
        <f>IF(BF88=0,0,I88/2)</f>
        <v>0</v>
      </c>
      <c r="BI88" s="62">
        <f>IF(BF88=0,0,+IF(BF88-J88&lt;30,J88-BF88,30))</f>
        <v>0</v>
      </c>
      <c r="BJ88" s="62">
        <f>+BI88*BH88/30</f>
        <v>0</v>
      </c>
      <c r="BK88" s="63">
        <f>+BD88+AX88+AY88</f>
        <v>-4779.0279577491856</v>
      </c>
      <c r="BL88" s="48">
        <f>+L88-N88</f>
        <v>0</v>
      </c>
      <c r="BM88" s="64"/>
      <c r="BN88" s="64"/>
      <c r="BO88" s="49"/>
    </row>
    <row r="89" spans="1:67" s="18" customFormat="1" ht="27" customHeight="1">
      <c r="A89" s="50" t="s">
        <v>149</v>
      </c>
      <c r="B89" s="51" t="s">
        <v>344</v>
      </c>
      <c r="C89" s="52"/>
      <c r="D89" s="53" t="s">
        <v>290</v>
      </c>
      <c r="E89" s="54">
        <v>42284</v>
      </c>
      <c r="F89" s="25">
        <v>42369</v>
      </c>
      <c r="G89" s="54" t="s">
        <v>299</v>
      </c>
      <c r="H89" s="55" t="s">
        <v>187</v>
      </c>
      <c r="I89" s="29">
        <v>133100</v>
      </c>
      <c r="J89" s="28">
        <v>42368</v>
      </c>
      <c r="K89" s="29">
        <v>0</v>
      </c>
      <c r="L89" s="29">
        <v>0</v>
      </c>
      <c r="M89" s="56">
        <v>0</v>
      </c>
      <c r="N89" s="33">
        <v>0</v>
      </c>
      <c r="O89" s="31">
        <v>767.89938268043613</v>
      </c>
      <c r="P89" s="32">
        <v>0</v>
      </c>
      <c r="Q89" s="33">
        <v>0</v>
      </c>
      <c r="R89" s="32">
        <v>0</v>
      </c>
      <c r="S89" s="33">
        <v>0</v>
      </c>
      <c r="T89" s="32">
        <v>0</v>
      </c>
      <c r="U89" s="33">
        <v>0</v>
      </c>
      <c r="V89" s="32">
        <v>0</v>
      </c>
      <c r="W89" s="33">
        <v>0</v>
      </c>
      <c r="X89" s="32">
        <v>0</v>
      </c>
      <c r="Y89" s="33">
        <v>0</v>
      </c>
      <c r="Z89" s="33">
        <v>0</v>
      </c>
      <c r="AA89" s="31">
        <v>0</v>
      </c>
      <c r="AB89" s="31">
        <v>0</v>
      </c>
      <c r="AC89" s="33">
        <v>0</v>
      </c>
      <c r="AD89" s="35"/>
      <c r="AE89" s="33">
        <v>0</v>
      </c>
      <c r="AF89" s="31">
        <v>-0.91666666666666607</v>
      </c>
      <c r="AG89" s="33">
        <v>-4736.7813542354415</v>
      </c>
      <c r="AH89" s="31">
        <v>0</v>
      </c>
      <c r="AI89" s="31">
        <v>0</v>
      </c>
      <c r="AJ89" s="36">
        <v>-4736.7813542354415</v>
      </c>
      <c r="AK89" s="33">
        <f>IF(ISNA(VLOOKUP(A89,[2]AVANTAGE!$A$5:$T$118,19,0))=TRUE,0,VLOOKUP(A89,[2]AVANTAGE!$A$5:$T$118,19,0))</f>
        <v>0</v>
      </c>
      <c r="AL89" s="33">
        <f>IF(ISNA(VLOOKUP(A89,[2]AVANTAGE!$A$5:$T$118,20,0))=TRUE,0,VLOOKUP(A89,[2]AVANTAGE!$A$5:$T$118,20,0))</f>
        <v>0</v>
      </c>
      <c r="AM89" s="37">
        <f>+AJ89+AL89</f>
        <v>-4736.7813542354415</v>
      </c>
      <c r="AN89" s="38">
        <f>IF(D89=0,0,(IF((AM89)*1%&gt;10641.07,10641.07,(AM89)*1%)))</f>
        <v>-47.367813542354419</v>
      </c>
      <c r="AO89" s="33">
        <f>IF(D89=0,0,(IF((AM89)*1%&gt;10641.07,10641.07,(AM89)*1%)))</f>
        <v>-47.367813542354419</v>
      </c>
      <c r="AP89" s="38"/>
      <c r="AQ89" s="38">
        <f>+INT((AJ89+AL89-AO89-AN89-AP89)/100)*100</f>
        <v>-4700</v>
      </c>
      <c r="AR89" s="39">
        <f>IF(AQ89=0,0,IF(AQ89&lt;=250000,0,(AQ89-250000)*20%))</f>
        <v>0</v>
      </c>
      <c r="AS89" s="40">
        <f>VLOOKUP(A89,'[2]Liste personnel'!$B$3:$R$187,16,0)</f>
        <v>0</v>
      </c>
      <c r="AT89" s="38">
        <f>+AS89*2000</f>
        <v>0</v>
      </c>
      <c r="AU89" s="38">
        <f>+IF(AR89=0,0,IF(AR89-AT89&lt;200,200,AR89-AT89))</f>
        <v>0</v>
      </c>
      <c r="AV89" s="38">
        <f>IF(ISNA(VLOOKUP(A89,[2]AVANCE!$A$6:$E$122,4,0))=TRUE,0,VLOOKUP(A89,[2]AVANCE!$A$6:$E$122,4,0))</f>
        <v>0</v>
      </c>
      <c r="AW89" s="38">
        <f>IF(ISNA(VLOOKUP(A89,[2]AVANCE!$A$6:$E$122,5,0))=TRUE,0,VLOOKUP(A89,[2]AVANCE!$A$6:$E$122,5,0))</f>
        <v>0</v>
      </c>
      <c r="AX89" s="38">
        <f>+AV89+AW89</f>
        <v>0</v>
      </c>
      <c r="AY89" s="57"/>
      <c r="AZ89" s="58">
        <f>+AO89+AN89+AU89+AX89+AY89</f>
        <v>-94.735627084708838</v>
      </c>
      <c r="BA89" s="38">
        <f>+AJ89-AZ89</f>
        <v>-4642.045727150733</v>
      </c>
      <c r="BB89" s="117"/>
      <c r="BC89" s="118"/>
      <c r="BD89" s="59">
        <f>+BA89+BB89+BC89</f>
        <v>-4642.045727150733</v>
      </c>
      <c r="BE89" s="60">
        <f>IF(BD89-INT(BD89/100)*100&gt;0,INT(BD89/100)*100+100,INT(BD89/100)*100)</f>
        <v>-4600</v>
      </c>
      <c r="BF89" s="61"/>
      <c r="BG89" s="61"/>
      <c r="BH89" s="62">
        <f>IF(BF89=0,0,I89/2)</f>
        <v>0</v>
      </c>
      <c r="BI89" s="62">
        <f>IF(BF89=0,0,+IF(BF89-J89&lt;30,J89-BF89,30))</f>
        <v>0</v>
      </c>
      <c r="BJ89" s="62">
        <f>+BI89*BH89/30</f>
        <v>0</v>
      </c>
      <c r="BK89" s="63">
        <f>+BD89+AX89+AY89</f>
        <v>-4642.045727150733</v>
      </c>
      <c r="BL89" s="48">
        <f>+L89-N89</f>
        <v>0</v>
      </c>
      <c r="BM89" s="64"/>
      <c r="BN89" s="64"/>
      <c r="BO89" s="49"/>
    </row>
    <row r="90" spans="1:67" s="18" customFormat="1" ht="27" customHeight="1">
      <c r="A90" s="50" t="s">
        <v>150</v>
      </c>
      <c r="B90" s="51" t="s">
        <v>345</v>
      </c>
      <c r="C90" s="52"/>
      <c r="D90" s="53" t="s">
        <v>290</v>
      </c>
      <c r="E90" s="54">
        <v>42289</v>
      </c>
      <c r="F90" s="25">
        <v>42369</v>
      </c>
      <c r="G90" s="54" t="s">
        <v>299</v>
      </c>
      <c r="H90" s="55" t="s">
        <v>187</v>
      </c>
      <c r="I90" s="29">
        <v>133100</v>
      </c>
      <c r="J90" s="28">
        <v>42368</v>
      </c>
      <c r="K90" s="29">
        <v>0</v>
      </c>
      <c r="L90" s="29">
        <v>0</v>
      </c>
      <c r="M90" s="56">
        <v>0</v>
      </c>
      <c r="N90" s="33">
        <v>0</v>
      </c>
      <c r="O90" s="31">
        <v>767.89938268043613</v>
      </c>
      <c r="P90" s="32">
        <v>0</v>
      </c>
      <c r="Q90" s="33">
        <v>0</v>
      </c>
      <c r="R90" s="32">
        <v>0</v>
      </c>
      <c r="S90" s="33">
        <v>0</v>
      </c>
      <c r="T90" s="32">
        <v>0</v>
      </c>
      <c r="U90" s="33">
        <v>0</v>
      </c>
      <c r="V90" s="32">
        <v>0</v>
      </c>
      <c r="W90" s="33">
        <v>0</v>
      </c>
      <c r="X90" s="32">
        <v>0</v>
      </c>
      <c r="Y90" s="33">
        <v>0</v>
      </c>
      <c r="Z90" s="33">
        <v>0</v>
      </c>
      <c r="AA90" s="31">
        <v>0</v>
      </c>
      <c r="AB90" s="31">
        <v>0</v>
      </c>
      <c r="AC90" s="33">
        <v>0</v>
      </c>
      <c r="AD90" s="35"/>
      <c r="AE90" s="33">
        <v>0</v>
      </c>
      <c r="AF90" s="31">
        <v>-1.3333333333333339</v>
      </c>
      <c r="AG90" s="33">
        <v>-7243.4261171689222</v>
      </c>
      <c r="AH90" s="31">
        <v>0</v>
      </c>
      <c r="AI90" s="31">
        <v>0</v>
      </c>
      <c r="AJ90" s="36">
        <v>-7243.4261171689222</v>
      </c>
      <c r="AK90" s="33">
        <f>IF(ISNA(VLOOKUP(A90,[2]AVANTAGE!$A$5:$T$118,19,0))=TRUE,0,VLOOKUP(A90,[2]AVANTAGE!$A$5:$T$118,19,0))</f>
        <v>0</v>
      </c>
      <c r="AL90" s="33">
        <f>IF(ISNA(VLOOKUP(A90,[2]AVANTAGE!$A$5:$T$118,20,0))=TRUE,0,VLOOKUP(A90,[2]AVANTAGE!$A$5:$T$118,20,0))</f>
        <v>0</v>
      </c>
      <c r="AM90" s="37">
        <f>+AJ90+AL90</f>
        <v>-7243.4261171689222</v>
      </c>
      <c r="AN90" s="38">
        <f>IF(D90=0,0,(IF((AM90)*1%&gt;10641.07,10641.07,(AM90)*1%)))</f>
        <v>-72.434261171689229</v>
      </c>
      <c r="AO90" s="33">
        <f>IF(D90=0,0,(IF((AM90)*1%&gt;10641.07,10641.07,(AM90)*1%)))</f>
        <v>-72.434261171689229</v>
      </c>
      <c r="AP90" s="38"/>
      <c r="AQ90" s="38">
        <f>+INT((AJ90+AL90-AO90-AN90-AP90)/100)*100</f>
        <v>-7100</v>
      </c>
      <c r="AR90" s="39">
        <f>IF(AQ90=0,0,IF(AQ90&lt;=250000,0,(AQ90-250000)*20%))</f>
        <v>0</v>
      </c>
      <c r="AS90" s="40">
        <f>VLOOKUP(A90,'[2]Liste personnel'!$B$3:$R$187,16,0)</f>
        <v>0</v>
      </c>
      <c r="AT90" s="38">
        <f>+AS90*2000</f>
        <v>0</v>
      </c>
      <c r="AU90" s="38">
        <f>+IF(AR90=0,0,IF(AR90-AT90&lt;200,200,AR90-AT90))</f>
        <v>0</v>
      </c>
      <c r="AV90" s="38">
        <f>IF(ISNA(VLOOKUP(A90,[2]AVANCE!$A$6:$E$122,4,0))=TRUE,0,VLOOKUP(A90,[2]AVANCE!$A$6:$E$122,4,0))</f>
        <v>0</v>
      </c>
      <c r="AW90" s="38">
        <f>IF(ISNA(VLOOKUP(A90,[2]AVANCE!$A$6:$E$122,5,0))=TRUE,0,VLOOKUP(A90,[2]AVANCE!$A$6:$E$122,5,0))</f>
        <v>0</v>
      </c>
      <c r="AX90" s="38">
        <f>+AV90+AW90</f>
        <v>0</v>
      </c>
      <c r="AY90" s="57"/>
      <c r="AZ90" s="58">
        <f>+AO90+AN90+AU90+AX90+AY90</f>
        <v>-144.86852234337846</v>
      </c>
      <c r="BA90" s="38">
        <f>+AJ90-AZ90</f>
        <v>-7098.5575948255437</v>
      </c>
      <c r="BB90" s="117"/>
      <c r="BC90" s="118"/>
      <c r="BD90" s="59">
        <f>+BA90+BB90+BC90</f>
        <v>-7098.5575948255437</v>
      </c>
      <c r="BE90" s="60">
        <f>IF(BD90-INT(BD90/100)*100&gt;0,INT(BD90/100)*100+100,INT(BD90/100)*100)</f>
        <v>-7000</v>
      </c>
      <c r="BF90" s="61"/>
      <c r="BG90" s="61"/>
      <c r="BH90" s="62">
        <f>IF(BF90=0,0,I90/2)</f>
        <v>0</v>
      </c>
      <c r="BI90" s="62">
        <f>IF(BF90=0,0,+IF(BF90-J90&lt;30,J90-BF90,30))</f>
        <v>0</v>
      </c>
      <c r="BJ90" s="62">
        <f>+BI90*BH90/30</f>
        <v>0</v>
      </c>
      <c r="BK90" s="63">
        <f>+BD90+AX90+AY90</f>
        <v>-7098.5575948255437</v>
      </c>
      <c r="BL90" s="48">
        <f>+L90-N90</f>
        <v>0</v>
      </c>
      <c r="BM90" s="64"/>
      <c r="BN90" s="64"/>
      <c r="BO90" s="49"/>
    </row>
    <row r="91" spans="1:67" s="18" customFormat="1" ht="27" customHeight="1">
      <c r="A91" s="50" t="s">
        <v>151</v>
      </c>
      <c r="B91" s="51" t="s">
        <v>346</v>
      </c>
      <c r="C91" s="52"/>
      <c r="D91" s="53" t="s">
        <v>290</v>
      </c>
      <c r="E91" s="54">
        <v>42289</v>
      </c>
      <c r="F91" s="25">
        <v>42369</v>
      </c>
      <c r="G91" s="54" t="s">
        <v>299</v>
      </c>
      <c r="H91" s="55" t="s">
        <v>187</v>
      </c>
      <c r="I91" s="29">
        <v>134600</v>
      </c>
      <c r="J91" s="28">
        <v>42368</v>
      </c>
      <c r="K91" s="29">
        <v>0</v>
      </c>
      <c r="L91" s="29">
        <v>0</v>
      </c>
      <c r="M91" s="56">
        <v>0</v>
      </c>
      <c r="N91" s="33">
        <v>0</v>
      </c>
      <c r="O91" s="31">
        <v>776.5533952576011</v>
      </c>
      <c r="P91" s="32">
        <v>0</v>
      </c>
      <c r="Q91" s="33">
        <v>0</v>
      </c>
      <c r="R91" s="32">
        <v>0</v>
      </c>
      <c r="S91" s="33">
        <v>0</v>
      </c>
      <c r="T91" s="32">
        <v>0</v>
      </c>
      <c r="U91" s="33">
        <v>0</v>
      </c>
      <c r="V91" s="32">
        <v>0</v>
      </c>
      <c r="W91" s="33">
        <v>0</v>
      </c>
      <c r="X91" s="32">
        <v>0</v>
      </c>
      <c r="Y91" s="33">
        <v>0</v>
      </c>
      <c r="Z91" s="33">
        <v>0</v>
      </c>
      <c r="AA91" s="31">
        <v>0</v>
      </c>
      <c r="AB91" s="31">
        <v>0</v>
      </c>
      <c r="AC91" s="33">
        <v>0</v>
      </c>
      <c r="AD91" s="35"/>
      <c r="AE91" s="33">
        <v>0</v>
      </c>
      <c r="AF91" s="31">
        <v>-1.3333333333333339</v>
      </c>
      <c r="AG91" s="33">
        <v>-5647.3649365051906</v>
      </c>
      <c r="AH91" s="31">
        <v>0</v>
      </c>
      <c r="AI91" s="31">
        <v>0</v>
      </c>
      <c r="AJ91" s="36">
        <v>-5647.3649365051906</v>
      </c>
      <c r="AK91" s="33">
        <f>IF(ISNA(VLOOKUP(A91,[2]AVANTAGE!$A$5:$T$118,19,0))=TRUE,0,VLOOKUP(A91,[2]AVANTAGE!$A$5:$T$118,19,0))</f>
        <v>0</v>
      </c>
      <c r="AL91" s="33">
        <f>IF(ISNA(VLOOKUP(A91,[2]AVANTAGE!$A$5:$T$118,20,0))=TRUE,0,VLOOKUP(A91,[2]AVANTAGE!$A$5:$T$118,20,0))</f>
        <v>0</v>
      </c>
      <c r="AM91" s="37">
        <f>+AJ91+AL91</f>
        <v>-5647.3649365051906</v>
      </c>
      <c r="AN91" s="38">
        <f>IF(D91=0,0,(IF((AM91)*1%&gt;10641.07,10641.07,(AM91)*1%)))</f>
        <v>-56.473649365051905</v>
      </c>
      <c r="AO91" s="33">
        <f>IF(D91=0,0,(IF((AM91)*1%&gt;10641.07,10641.07,(AM91)*1%)))</f>
        <v>-56.473649365051905</v>
      </c>
      <c r="AP91" s="38"/>
      <c r="AQ91" s="38">
        <f>+INT((AJ91+AL91-AO91-AN91-AP91)/100)*100</f>
        <v>-5600</v>
      </c>
      <c r="AR91" s="39">
        <f>IF(AQ91=0,0,IF(AQ91&lt;=250000,0,(AQ91-250000)*20%))</f>
        <v>0</v>
      </c>
      <c r="AS91" s="40">
        <f>VLOOKUP(A91,'[2]Liste personnel'!$B$3:$R$187,16,0)</f>
        <v>0</v>
      </c>
      <c r="AT91" s="38">
        <f>+AS91*2000</f>
        <v>0</v>
      </c>
      <c r="AU91" s="38">
        <f>+IF(AR91=0,0,IF(AR91-AT91&lt;200,200,AR91-AT91))</f>
        <v>0</v>
      </c>
      <c r="AV91" s="38">
        <f>IF(ISNA(VLOOKUP(A91,[2]AVANCE!$A$6:$E$122,4,0))=TRUE,0,VLOOKUP(A91,[2]AVANCE!$A$6:$E$122,4,0))</f>
        <v>0</v>
      </c>
      <c r="AW91" s="38">
        <f>IF(ISNA(VLOOKUP(A91,[2]AVANCE!$A$6:$E$122,5,0))=TRUE,0,VLOOKUP(A91,[2]AVANCE!$A$6:$E$122,5,0))</f>
        <v>0</v>
      </c>
      <c r="AX91" s="38">
        <f>+AV91+AW91</f>
        <v>0</v>
      </c>
      <c r="AY91" s="57"/>
      <c r="AZ91" s="58">
        <f>+AO91+AN91+AU91+AX91+AY91</f>
        <v>-112.94729873010381</v>
      </c>
      <c r="BA91" s="38">
        <f>+AJ91-AZ91</f>
        <v>-5534.4176377750864</v>
      </c>
      <c r="BB91" s="117"/>
      <c r="BC91" s="118"/>
      <c r="BD91" s="59">
        <f>+BA91+BB91+BC91</f>
        <v>-5534.4176377750864</v>
      </c>
      <c r="BE91" s="60">
        <f>IF(BD91-INT(BD91/100)*100&gt;0,INT(BD91/100)*100+100,INT(BD91/100)*100)</f>
        <v>-5500</v>
      </c>
      <c r="BF91" s="61"/>
      <c r="BG91" s="61"/>
      <c r="BH91" s="62">
        <f>IF(BF91=0,0,I91/2)</f>
        <v>0</v>
      </c>
      <c r="BI91" s="62">
        <f>IF(BF91=0,0,+IF(BF91-J91&lt;30,J91-BF91,30))</f>
        <v>0</v>
      </c>
      <c r="BJ91" s="62">
        <f>+BI91*BH91/30</f>
        <v>0</v>
      </c>
      <c r="BK91" s="63">
        <f>+BD91+AX91+AY91</f>
        <v>-5534.4176377750864</v>
      </c>
      <c r="BL91" s="48">
        <f>+L91-N91</f>
        <v>0</v>
      </c>
      <c r="BM91" s="64"/>
      <c r="BN91" s="64"/>
      <c r="BO91" s="49"/>
    </row>
    <row r="92" spans="1:67" s="18" customFormat="1" ht="27" customHeight="1">
      <c r="A92" s="50" t="s">
        <v>152</v>
      </c>
      <c r="B92" s="51" t="s">
        <v>347</v>
      </c>
      <c r="C92" s="52"/>
      <c r="D92" s="53" t="s">
        <v>290</v>
      </c>
      <c r="E92" s="54">
        <v>42289</v>
      </c>
      <c r="F92" s="25">
        <v>42369</v>
      </c>
      <c r="G92" s="54" t="s">
        <v>299</v>
      </c>
      <c r="H92" s="55" t="s">
        <v>187</v>
      </c>
      <c r="I92" s="29">
        <v>133100</v>
      </c>
      <c r="J92" s="28">
        <v>42368</v>
      </c>
      <c r="K92" s="29">
        <v>0</v>
      </c>
      <c r="L92" s="29">
        <v>0</v>
      </c>
      <c r="M92" s="56">
        <v>0</v>
      </c>
      <c r="N92" s="33">
        <v>0</v>
      </c>
      <c r="O92" s="31">
        <v>767.89938268043613</v>
      </c>
      <c r="P92" s="32">
        <v>0</v>
      </c>
      <c r="Q92" s="33">
        <v>0</v>
      </c>
      <c r="R92" s="32">
        <v>0</v>
      </c>
      <c r="S92" s="33">
        <v>0</v>
      </c>
      <c r="T92" s="32">
        <v>0</v>
      </c>
      <c r="U92" s="33">
        <v>0</v>
      </c>
      <c r="V92" s="32">
        <v>0</v>
      </c>
      <c r="W92" s="33">
        <v>0</v>
      </c>
      <c r="X92" s="32">
        <v>0</v>
      </c>
      <c r="Y92" s="33">
        <v>0</v>
      </c>
      <c r="Z92" s="33">
        <v>0</v>
      </c>
      <c r="AA92" s="31">
        <v>0</v>
      </c>
      <c r="AB92" s="31">
        <v>0</v>
      </c>
      <c r="AC92" s="33">
        <v>0</v>
      </c>
      <c r="AD92" s="35"/>
      <c r="AE92" s="33">
        <v>0</v>
      </c>
      <c r="AF92" s="31">
        <v>-1.3333333333333339</v>
      </c>
      <c r="AG92" s="33">
        <v>-6030.5750623409458</v>
      </c>
      <c r="AH92" s="31">
        <v>0</v>
      </c>
      <c r="AI92" s="31">
        <v>0</v>
      </c>
      <c r="AJ92" s="36">
        <v>-6030.5750623409458</v>
      </c>
      <c r="AK92" s="33">
        <f>IF(ISNA(VLOOKUP(A92,[2]AVANTAGE!$A$5:$T$118,19,0))=TRUE,0,VLOOKUP(A92,[2]AVANTAGE!$A$5:$T$118,19,0))</f>
        <v>0</v>
      </c>
      <c r="AL92" s="33">
        <f>IF(ISNA(VLOOKUP(A92,[2]AVANTAGE!$A$5:$T$118,20,0))=TRUE,0,VLOOKUP(A92,[2]AVANTAGE!$A$5:$T$118,20,0))</f>
        <v>0</v>
      </c>
      <c r="AM92" s="37">
        <f>+AJ92+AL92</f>
        <v>-6030.5750623409458</v>
      </c>
      <c r="AN92" s="38">
        <f>IF(D92=0,0,(IF((AM92)*1%&gt;10641.07,10641.07,(AM92)*1%)))</f>
        <v>-60.305750623409459</v>
      </c>
      <c r="AO92" s="33">
        <f>IF(D92=0,0,(IF((AM92)*1%&gt;10641.07,10641.07,(AM92)*1%)))</f>
        <v>-60.305750623409459</v>
      </c>
      <c r="AP92" s="38"/>
      <c r="AQ92" s="38">
        <f>+INT((AJ92+AL92-AO92-AN92-AP92)/100)*100</f>
        <v>-6000</v>
      </c>
      <c r="AR92" s="39">
        <f>IF(AQ92=0,0,IF(AQ92&lt;=250000,0,(AQ92-250000)*20%))</f>
        <v>0</v>
      </c>
      <c r="AS92" s="40">
        <f>VLOOKUP(A92,'[2]Liste personnel'!$B$3:$R$187,16,0)</f>
        <v>0</v>
      </c>
      <c r="AT92" s="38">
        <f>+AS92*2000</f>
        <v>0</v>
      </c>
      <c r="AU92" s="38">
        <f>+IF(AR92=0,0,IF(AR92-AT92&lt;200,200,AR92-AT92))</f>
        <v>0</v>
      </c>
      <c r="AV92" s="38">
        <f>IF(ISNA(VLOOKUP(A92,[2]AVANCE!$A$6:$E$122,4,0))=TRUE,0,VLOOKUP(A92,[2]AVANCE!$A$6:$E$122,4,0))</f>
        <v>0</v>
      </c>
      <c r="AW92" s="38">
        <f>IF(ISNA(VLOOKUP(A92,[2]AVANCE!$A$6:$E$122,5,0))=TRUE,0,VLOOKUP(A92,[2]AVANCE!$A$6:$E$122,5,0))</f>
        <v>0</v>
      </c>
      <c r="AX92" s="38">
        <f>+AV92+AW92</f>
        <v>0</v>
      </c>
      <c r="AY92" s="57"/>
      <c r="AZ92" s="58">
        <f>+AO92+AN92+AU92+AX92+AY92</f>
        <v>-120.61150124681892</v>
      </c>
      <c r="BA92" s="38">
        <f>+AJ92-AZ92</f>
        <v>-5909.9635610941268</v>
      </c>
      <c r="BB92" s="117"/>
      <c r="BC92" s="118"/>
      <c r="BD92" s="59">
        <f>+BA92+BB92+BC92</f>
        <v>-5909.9635610941268</v>
      </c>
      <c r="BE92" s="60">
        <f>IF(BD92-INT(BD92/100)*100&gt;0,INT(BD92/100)*100+100,INT(BD92/100)*100)</f>
        <v>-5900</v>
      </c>
      <c r="BF92" s="61"/>
      <c r="BG92" s="61"/>
      <c r="BH92" s="62">
        <f>IF(BF92=0,0,I92/2)</f>
        <v>0</v>
      </c>
      <c r="BI92" s="62">
        <f>IF(BF92=0,0,+IF(BF92-J92&lt;30,J92-BF92,30))</f>
        <v>0</v>
      </c>
      <c r="BJ92" s="62">
        <f>+BI92*BH92/30</f>
        <v>0</v>
      </c>
      <c r="BK92" s="63">
        <f>+BD92+AX92+AY92</f>
        <v>-5909.9635610941268</v>
      </c>
      <c r="BL92" s="48">
        <f>+L92-N92</f>
        <v>0</v>
      </c>
      <c r="BM92" s="64"/>
      <c r="BN92" s="64"/>
      <c r="BO92" s="49"/>
    </row>
    <row r="93" spans="1:67" s="18" customFormat="1" ht="27" customHeight="1">
      <c r="A93" s="50" t="s">
        <v>153</v>
      </c>
      <c r="B93" s="51" t="s">
        <v>348</v>
      </c>
      <c r="C93" s="52"/>
      <c r="D93" s="53" t="s">
        <v>290</v>
      </c>
      <c r="E93" s="54">
        <v>42289</v>
      </c>
      <c r="F93" s="25">
        <v>42369</v>
      </c>
      <c r="G93" s="54" t="s">
        <v>299</v>
      </c>
      <c r="H93" s="55" t="s">
        <v>187</v>
      </c>
      <c r="I93" s="29">
        <v>133100</v>
      </c>
      <c r="J93" s="28">
        <v>42368</v>
      </c>
      <c r="K93" s="29">
        <v>0</v>
      </c>
      <c r="L93" s="29">
        <v>0</v>
      </c>
      <c r="M93" s="56">
        <v>0</v>
      </c>
      <c r="N93" s="33">
        <v>0</v>
      </c>
      <c r="O93" s="31">
        <v>767.89938268043613</v>
      </c>
      <c r="P93" s="32">
        <v>0</v>
      </c>
      <c r="Q93" s="33">
        <v>0</v>
      </c>
      <c r="R93" s="32">
        <v>0</v>
      </c>
      <c r="S93" s="33">
        <v>0</v>
      </c>
      <c r="T93" s="32">
        <v>0</v>
      </c>
      <c r="U93" s="33">
        <v>0</v>
      </c>
      <c r="V93" s="32">
        <v>0</v>
      </c>
      <c r="W93" s="33">
        <v>0</v>
      </c>
      <c r="X93" s="32">
        <v>0</v>
      </c>
      <c r="Y93" s="33">
        <v>0</v>
      </c>
      <c r="Z93" s="33">
        <v>0</v>
      </c>
      <c r="AA93" s="31">
        <v>0</v>
      </c>
      <c r="AB93" s="31">
        <v>0</v>
      </c>
      <c r="AC93" s="33">
        <v>0</v>
      </c>
      <c r="AD93" s="35"/>
      <c r="AE93" s="33">
        <v>0</v>
      </c>
      <c r="AF93" s="31">
        <v>-1.3333333333333339</v>
      </c>
      <c r="AG93" s="33">
        <v>-5957.3003968025059</v>
      </c>
      <c r="AH93" s="31">
        <v>0</v>
      </c>
      <c r="AI93" s="31">
        <v>0</v>
      </c>
      <c r="AJ93" s="36">
        <v>-5957.3003968025059</v>
      </c>
      <c r="AK93" s="33">
        <f>IF(ISNA(VLOOKUP(A93,[2]AVANTAGE!$A$5:$T$118,19,0))=TRUE,0,VLOOKUP(A93,[2]AVANTAGE!$A$5:$T$118,19,0))</f>
        <v>0</v>
      </c>
      <c r="AL93" s="33">
        <f>IF(ISNA(VLOOKUP(A93,[2]AVANTAGE!$A$5:$T$118,20,0))=TRUE,0,VLOOKUP(A93,[2]AVANTAGE!$A$5:$T$118,20,0))</f>
        <v>0</v>
      </c>
      <c r="AM93" s="37">
        <f>+AJ93+AL93</f>
        <v>-5957.3003968025059</v>
      </c>
      <c r="AN93" s="38">
        <f>IF(D93=0,0,(IF((AM93)*1%&gt;10641.07,10641.07,(AM93)*1%)))</f>
        <v>-59.573003968025063</v>
      </c>
      <c r="AO93" s="33">
        <f>IF(D93=0,0,(IF((AM93)*1%&gt;10641.07,10641.07,(AM93)*1%)))</f>
        <v>-59.573003968025063</v>
      </c>
      <c r="AP93" s="38"/>
      <c r="AQ93" s="38">
        <f>+INT((AJ93+AL93-AO93-AN93-AP93)/100)*100</f>
        <v>-5900</v>
      </c>
      <c r="AR93" s="39">
        <f>IF(AQ93=0,0,IF(AQ93&lt;=250000,0,(AQ93-250000)*20%))</f>
        <v>0</v>
      </c>
      <c r="AS93" s="40">
        <f>VLOOKUP(A93,'[2]Liste personnel'!$B$3:$R$187,16,0)</f>
        <v>0</v>
      </c>
      <c r="AT93" s="38">
        <f>+AS93*2000</f>
        <v>0</v>
      </c>
      <c r="AU93" s="38">
        <f>+IF(AR93=0,0,IF(AR93-AT93&lt;200,200,AR93-AT93))</f>
        <v>0</v>
      </c>
      <c r="AV93" s="38">
        <f>IF(ISNA(VLOOKUP(A93,[2]AVANCE!$A$6:$E$122,4,0))=TRUE,0,VLOOKUP(A93,[2]AVANCE!$A$6:$E$122,4,0))</f>
        <v>0</v>
      </c>
      <c r="AW93" s="38">
        <f>IF(ISNA(VLOOKUP(A93,[2]AVANCE!$A$6:$E$122,5,0))=TRUE,0,VLOOKUP(A93,[2]AVANCE!$A$6:$E$122,5,0))</f>
        <v>0</v>
      </c>
      <c r="AX93" s="38">
        <f>+AV93+AW93</f>
        <v>0</v>
      </c>
      <c r="AY93" s="57"/>
      <c r="AZ93" s="58">
        <f>+AO93+AN93+AU93+AX93+AY93</f>
        <v>-119.14600793605013</v>
      </c>
      <c r="BA93" s="38">
        <f>+AJ93-AZ93</f>
        <v>-5838.1543888664555</v>
      </c>
      <c r="BB93" s="117"/>
      <c r="BC93" s="118"/>
      <c r="BD93" s="59">
        <f>+BA93+BB93+BC93</f>
        <v>-5838.1543888664555</v>
      </c>
      <c r="BE93" s="60">
        <f>IF(BD93-INT(BD93/100)*100&gt;0,INT(BD93/100)*100+100,INT(BD93/100)*100)</f>
        <v>-5800</v>
      </c>
      <c r="BF93" s="61"/>
      <c r="BG93" s="61"/>
      <c r="BH93" s="62">
        <f>IF(BF93=0,0,I93/2)</f>
        <v>0</v>
      </c>
      <c r="BI93" s="62">
        <f>IF(BF93=0,0,+IF(BF93-J93&lt;30,J93-BF93,30))</f>
        <v>0</v>
      </c>
      <c r="BJ93" s="62">
        <f>+BI93*BH93/30</f>
        <v>0</v>
      </c>
      <c r="BK93" s="63">
        <f>+BD93+AX93+AY93</f>
        <v>-5838.1543888664555</v>
      </c>
      <c r="BL93" s="48">
        <f>+L93-N93</f>
        <v>0</v>
      </c>
      <c r="BM93" s="64"/>
      <c r="BN93" s="64"/>
      <c r="BO93" s="49"/>
    </row>
    <row r="94" spans="1:67" s="18" customFormat="1" ht="27" customHeight="1">
      <c r="A94" s="50" t="s">
        <v>154</v>
      </c>
      <c r="B94" s="51" t="s">
        <v>349</v>
      </c>
      <c r="C94" s="52"/>
      <c r="D94" s="53" t="s">
        <v>290</v>
      </c>
      <c r="E94" s="54">
        <v>42289</v>
      </c>
      <c r="F94" s="25">
        <v>42369</v>
      </c>
      <c r="G94" s="54" t="s">
        <v>299</v>
      </c>
      <c r="H94" s="55" t="s">
        <v>187</v>
      </c>
      <c r="I94" s="29">
        <v>133100</v>
      </c>
      <c r="J94" s="28">
        <v>42368</v>
      </c>
      <c r="K94" s="29">
        <v>0</v>
      </c>
      <c r="L94" s="29">
        <v>0</v>
      </c>
      <c r="M94" s="56">
        <v>0</v>
      </c>
      <c r="N94" s="33">
        <v>0</v>
      </c>
      <c r="O94" s="31">
        <v>767.89938268043613</v>
      </c>
      <c r="P94" s="32">
        <v>0</v>
      </c>
      <c r="Q94" s="33">
        <v>0</v>
      </c>
      <c r="R94" s="32">
        <v>0</v>
      </c>
      <c r="S94" s="33">
        <v>0</v>
      </c>
      <c r="T94" s="32">
        <v>0</v>
      </c>
      <c r="U94" s="33">
        <v>0</v>
      </c>
      <c r="V94" s="32">
        <v>0</v>
      </c>
      <c r="W94" s="33">
        <v>0</v>
      </c>
      <c r="X94" s="32">
        <v>0</v>
      </c>
      <c r="Y94" s="33">
        <v>0</v>
      </c>
      <c r="Z94" s="33">
        <v>0</v>
      </c>
      <c r="AA94" s="31">
        <v>0</v>
      </c>
      <c r="AB94" s="31">
        <v>0</v>
      </c>
      <c r="AC94" s="33">
        <v>0</v>
      </c>
      <c r="AD94" s="35"/>
      <c r="AE94" s="33">
        <v>0</v>
      </c>
      <c r="AF94" s="31">
        <v>-1.3333333333333339</v>
      </c>
      <c r="AG94" s="33">
        <v>-5595.6418905491801</v>
      </c>
      <c r="AH94" s="31">
        <v>0</v>
      </c>
      <c r="AI94" s="31">
        <v>0</v>
      </c>
      <c r="AJ94" s="36">
        <v>-5595.6418905491801</v>
      </c>
      <c r="AK94" s="33">
        <f>IF(ISNA(VLOOKUP(A94,[2]AVANTAGE!$A$5:$T$118,19,0))=TRUE,0,VLOOKUP(A94,[2]AVANTAGE!$A$5:$T$118,19,0))</f>
        <v>0</v>
      </c>
      <c r="AL94" s="33">
        <f>IF(ISNA(VLOOKUP(A94,[2]AVANTAGE!$A$5:$T$118,20,0))=TRUE,0,VLOOKUP(A94,[2]AVANTAGE!$A$5:$T$118,20,0))</f>
        <v>0</v>
      </c>
      <c r="AM94" s="37">
        <f>+AJ94+AL94</f>
        <v>-5595.6418905491801</v>
      </c>
      <c r="AN94" s="38">
        <f>IF(D94=0,0,(IF((AM94)*1%&gt;10641.07,10641.07,(AM94)*1%)))</f>
        <v>-55.956418905491802</v>
      </c>
      <c r="AO94" s="33">
        <f>IF(D94=0,0,(IF((AM94)*1%&gt;10641.07,10641.07,(AM94)*1%)))</f>
        <v>-55.956418905491802</v>
      </c>
      <c r="AP94" s="38"/>
      <c r="AQ94" s="38">
        <f>+INT((AJ94+AL94-AO94-AN94-AP94)/100)*100</f>
        <v>-5500</v>
      </c>
      <c r="AR94" s="39">
        <f>IF(AQ94=0,0,IF(AQ94&lt;=250000,0,(AQ94-250000)*20%))</f>
        <v>0</v>
      </c>
      <c r="AS94" s="40">
        <f>VLOOKUP(A94,'[2]Liste personnel'!$B$3:$R$187,16,0)</f>
        <v>0</v>
      </c>
      <c r="AT94" s="38">
        <f>+AS94*2000</f>
        <v>0</v>
      </c>
      <c r="AU94" s="38">
        <f>+IF(AR94=0,0,IF(AR94-AT94&lt;200,200,AR94-AT94))</f>
        <v>0</v>
      </c>
      <c r="AV94" s="38">
        <f>IF(ISNA(VLOOKUP(A94,[2]AVANCE!$A$6:$E$122,4,0))=TRUE,0,VLOOKUP(A94,[2]AVANCE!$A$6:$E$122,4,0))</f>
        <v>0</v>
      </c>
      <c r="AW94" s="38">
        <f>IF(ISNA(VLOOKUP(A94,[2]AVANCE!$A$6:$E$122,5,0))=TRUE,0,VLOOKUP(A94,[2]AVANCE!$A$6:$E$122,5,0))</f>
        <v>0</v>
      </c>
      <c r="AX94" s="38">
        <f>+AV94+AW94</f>
        <v>0</v>
      </c>
      <c r="AY94" s="57"/>
      <c r="AZ94" s="58">
        <f>+AO94+AN94+AU94+AX94+AY94</f>
        <v>-111.9128378109836</v>
      </c>
      <c r="BA94" s="38">
        <f>+AJ94-AZ94</f>
        <v>-5483.7290527381965</v>
      </c>
      <c r="BB94" s="117"/>
      <c r="BC94" s="118"/>
      <c r="BD94" s="59">
        <f>+BA94+BB94+BC94</f>
        <v>-5483.7290527381965</v>
      </c>
      <c r="BE94" s="60">
        <f>IF(BD94-INT(BD94/100)*100&gt;0,INT(BD94/100)*100+100,INT(BD94/100)*100)</f>
        <v>-5400</v>
      </c>
      <c r="BF94" s="61"/>
      <c r="BG94" s="61"/>
      <c r="BH94" s="62">
        <f>IF(BF94=0,0,I94/2)</f>
        <v>0</v>
      </c>
      <c r="BI94" s="62">
        <f>IF(BF94=0,0,+IF(BF94-J94&lt;30,J94-BF94,30))</f>
        <v>0</v>
      </c>
      <c r="BJ94" s="62">
        <f>+BI94*BH94/30</f>
        <v>0</v>
      </c>
      <c r="BK94" s="63">
        <f>+BD94+AX94+AY94</f>
        <v>-5483.7290527381965</v>
      </c>
      <c r="BL94" s="48">
        <f>+L94-N94</f>
        <v>0</v>
      </c>
      <c r="BM94" s="64"/>
      <c r="BN94" s="64"/>
      <c r="BO94" s="49"/>
    </row>
    <row r="95" spans="1:67" s="18" customFormat="1" ht="27" customHeight="1">
      <c r="A95" s="50" t="s">
        <v>155</v>
      </c>
      <c r="B95" s="51" t="s">
        <v>350</v>
      </c>
      <c r="C95" s="52"/>
      <c r="D95" s="53" t="s">
        <v>290</v>
      </c>
      <c r="E95" s="54">
        <v>42290</v>
      </c>
      <c r="F95" s="25">
        <v>42369</v>
      </c>
      <c r="G95" s="54" t="s">
        <v>299</v>
      </c>
      <c r="H95" s="55" t="s">
        <v>187</v>
      </c>
      <c r="I95" s="29">
        <v>133100</v>
      </c>
      <c r="J95" s="28">
        <v>42368</v>
      </c>
      <c r="K95" s="29">
        <v>0</v>
      </c>
      <c r="L95" s="29">
        <v>0</v>
      </c>
      <c r="M95" s="56">
        <v>0</v>
      </c>
      <c r="N95" s="33">
        <v>0</v>
      </c>
      <c r="O95" s="31">
        <v>767.89938268043613</v>
      </c>
      <c r="P95" s="32">
        <v>0</v>
      </c>
      <c r="Q95" s="33">
        <v>0</v>
      </c>
      <c r="R95" s="32">
        <v>0</v>
      </c>
      <c r="S95" s="33">
        <v>0</v>
      </c>
      <c r="T95" s="32">
        <v>0</v>
      </c>
      <c r="U95" s="33">
        <v>0</v>
      </c>
      <c r="V95" s="32">
        <v>0</v>
      </c>
      <c r="W95" s="33">
        <v>0</v>
      </c>
      <c r="X95" s="32">
        <v>0</v>
      </c>
      <c r="Y95" s="33">
        <v>0</v>
      </c>
      <c r="Z95" s="33">
        <v>0</v>
      </c>
      <c r="AA95" s="31">
        <v>0</v>
      </c>
      <c r="AB95" s="31">
        <v>0</v>
      </c>
      <c r="AC95" s="33">
        <v>0</v>
      </c>
      <c r="AD95" s="35"/>
      <c r="AE95" s="33">
        <v>0</v>
      </c>
      <c r="AF95" s="31">
        <v>-1.416666666666667</v>
      </c>
      <c r="AG95" s="33">
        <v>-5753.8347623138061</v>
      </c>
      <c r="AH95" s="31">
        <v>0</v>
      </c>
      <c r="AI95" s="31">
        <v>0</v>
      </c>
      <c r="AJ95" s="36">
        <v>-5753.8347623138061</v>
      </c>
      <c r="AK95" s="33">
        <f>IF(ISNA(VLOOKUP(A95,[2]AVANTAGE!$A$5:$T$118,19,0))=TRUE,0,VLOOKUP(A95,[2]AVANTAGE!$A$5:$T$118,19,0))</f>
        <v>0</v>
      </c>
      <c r="AL95" s="33">
        <f>IF(ISNA(VLOOKUP(A95,[2]AVANTAGE!$A$5:$T$118,20,0))=TRUE,0,VLOOKUP(A95,[2]AVANTAGE!$A$5:$T$118,20,0))</f>
        <v>0</v>
      </c>
      <c r="AM95" s="37">
        <f>+AJ95+AL95</f>
        <v>-5753.8347623138061</v>
      </c>
      <c r="AN95" s="38">
        <f>IF(D95=0,0,(IF((AM95)*1%&gt;10641.07,10641.07,(AM95)*1%)))</f>
        <v>-57.538347623138066</v>
      </c>
      <c r="AO95" s="33">
        <f>IF(D95=0,0,(IF((AM95)*1%&gt;10641.07,10641.07,(AM95)*1%)))</f>
        <v>-57.538347623138066</v>
      </c>
      <c r="AP95" s="38"/>
      <c r="AQ95" s="38">
        <f>+INT((AJ95+AL95-AO95-AN95-AP95)/100)*100</f>
        <v>-5700</v>
      </c>
      <c r="AR95" s="39">
        <f>IF(AQ95=0,0,IF(AQ95&lt;=250000,0,(AQ95-250000)*20%))</f>
        <v>0</v>
      </c>
      <c r="AS95" s="40">
        <f>VLOOKUP(A95,'[2]Liste personnel'!$B$3:$R$187,16,0)</f>
        <v>0</v>
      </c>
      <c r="AT95" s="38">
        <f>+AS95*2000</f>
        <v>0</v>
      </c>
      <c r="AU95" s="38">
        <f>+IF(AR95=0,0,IF(AR95-AT95&lt;200,200,AR95-AT95))</f>
        <v>0</v>
      </c>
      <c r="AV95" s="38">
        <f>IF(ISNA(VLOOKUP(A95,[2]AVANCE!$A$6:$E$122,4,0))=TRUE,0,VLOOKUP(A95,[2]AVANCE!$A$6:$E$122,4,0))</f>
        <v>0</v>
      </c>
      <c r="AW95" s="38">
        <f>IF(ISNA(VLOOKUP(A95,[2]AVANCE!$A$6:$E$122,5,0))=TRUE,0,VLOOKUP(A95,[2]AVANCE!$A$6:$E$122,5,0))</f>
        <v>0</v>
      </c>
      <c r="AX95" s="38">
        <f>+AV95+AW95</f>
        <v>0</v>
      </c>
      <c r="AY95" s="57"/>
      <c r="AZ95" s="58">
        <f>+AO95+AN95+AU95+AX95+AY95</f>
        <v>-115.07669524627613</v>
      </c>
      <c r="BA95" s="38">
        <f>+AJ95-AZ95</f>
        <v>-5638.7580670675297</v>
      </c>
      <c r="BB95" s="117"/>
      <c r="BC95" s="118"/>
      <c r="BD95" s="59">
        <f>+BA95+BB95+BC95</f>
        <v>-5638.7580670675297</v>
      </c>
      <c r="BE95" s="60">
        <f>IF(BD95-INT(BD95/100)*100&gt;0,INT(BD95/100)*100+100,INT(BD95/100)*100)</f>
        <v>-5600</v>
      </c>
      <c r="BF95" s="61"/>
      <c r="BG95" s="61"/>
      <c r="BH95" s="62">
        <f>IF(BF95=0,0,I95/2)</f>
        <v>0</v>
      </c>
      <c r="BI95" s="62">
        <f>IF(BF95=0,0,+IF(BF95-J95&lt;30,J95-BF95,30))</f>
        <v>0</v>
      </c>
      <c r="BJ95" s="62">
        <f>+BI95*BH95/30</f>
        <v>0</v>
      </c>
      <c r="BK95" s="63">
        <f>+BD95+AX95+AY95</f>
        <v>-5638.7580670675297</v>
      </c>
      <c r="BL95" s="48">
        <f>+L95-N95</f>
        <v>0</v>
      </c>
      <c r="BM95" s="64"/>
      <c r="BN95" s="64"/>
      <c r="BO95" s="49"/>
    </row>
    <row r="96" spans="1:67" s="18" customFormat="1" ht="27" customHeight="1">
      <c r="A96" s="50" t="s">
        <v>156</v>
      </c>
      <c r="B96" s="51" t="s">
        <v>351</v>
      </c>
      <c r="C96" s="52"/>
      <c r="D96" s="53" t="s">
        <v>281</v>
      </c>
      <c r="E96" s="54">
        <v>42292</v>
      </c>
      <c r="F96" s="25">
        <v>42369</v>
      </c>
      <c r="G96" s="54" t="s">
        <v>352</v>
      </c>
      <c r="H96" s="55" t="s">
        <v>173</v>
      </c>
      <c r="I96" s="29">
        <v>446408</v>
      </c>
      <c r="J96" s="28">
        <v>42368</v>
      </c>
      <c r="K96" s="29">
        <v>0</v>
      </c>
      <c r="L96" s="29">
        <v>0</v>
      </c>
      <c r="M96" s="56">
        <v>0</v>
      </c>
      <c r="N96" s="33">
        <v>0</v>
      </c>
      <c r="O96" s="31">
        <v>2575.4802976980322</v>
      </c>
      <c r="P96" s="32">
        <v>0</v>
      </c>
      <c r="Q96" s="33">
        <v>0</v>
      </c>
      <c r="R96" s="32">
        <v>0</v>
      </c>
      <c r="S96" s="33">
        <v>0</v>
      </c>
      <c r="T96" s="32">
        <v>0</v>
      </c>
      <c r="U96" s="33">
        <v>0</v>
      </c>
      <c r="V96" s="32">
        <v>0</v>
      </c>
      <c r="W96" s="33">
        <v>0</v>
      </c>
      <c r="X96" s="32">
        <v>0</v>
      </c>
      <c r="Y96" s="33">
        <v>0</v>
      </c>
      <c r="Z96" s="33">
        <v>0</v>
      </c>
      <c r="AA96" s="31">
        <v>0</v>
      </c>
      <c r="AB96" s="31">
        <v>0</v>
      </c>
      <c r="AC96" s="33">
        <v>0</v>
      </c>
      <c r="AD96" s="35"/>
      <c r="AE96" s="33">
        <v>0</v>
      </c>
      <c r="AF96" s="31">
        <v>-1.583333333333333</v>
      </c>
      <c r="AG96" s="33">
        <v>-19102.33501676314</v>
      </c>
      <c r="AH96" s="31">
        <v>0</v>
      </c>
      <c r="AI96" s="31">
        <v>0</v>
      </c>
      <c r="AJ96" s="36">
        <v>-19102.33501676314</v>
      </c>
      <c r="AK96" s="33">
        <f>IF(ISNA(VLOOKUP(A96,[2]AVANTAGE!$A$5:$T$118,19,0))=TRUE,0,VLOOKUP(A96,[2]AVANTAGE!$A$5:$T$118,19,0))</f>
        <v>0</v>
      </c>
      <c r="AL96" s="33">
        <f>IF(ISNA(VLOOKUP(A96,[2]AVANTAGE!$A$5:$T$118,20,0))=TRUE,0,VLOOKUP(A96,[2]AVANTAGE!$A$5:$T$118,20,0))</f>
        <v>0</v>
      </c>
      <c r="AM96" s="37">
        <f>+AJ96+AL96</f>
        <v>-19102.33501676314</v>
      </c>
      <c r="AN96" s="38">
        <f>IF(D96=0,0,(IF((AM96)*1%&gt;10641.07,10641.07,(AM96)*1%)))</f>
        <v>-191.02335016763141</v>
      </c>
      <c r="AO96" s="33">
        <f>IF(D96=0,0,(IF((AM96)*1%&gt;10641.07,10641.07,(AM96)*1%)))</f>
        <v>-191.02335016763141</v>
      </c>
      <c r="AP96" s="38"/>
      <c r="AQ96" s="38">
        <f>+INT((AJ96+AL96-AO96-AN96-AP96)/100)*100</f>
        <v>-18800</v>
      </c>
      <c r="AR96" s="39">
        <f>IF(AQ96=0,0,IF(AQ96&lt;=250000,0,(AQ96-250000)*20%))</f>
        <v>0</v>
      </c>
      <c r="AS96" s="40">
        <f>VLOOKUP(A96,'[2]Liste personnel'!$B$3:$R$187,16,0)</f>
        <v>0</v>
      </c>
      <c r="AT96" s="38">
        <f>+AS96*2000</f>
        <v>0</v>
      </c>
      <c r="AU96" s="38">
        <f>+IF(AR96=0,0,IF(AR96-AT96&lt;200,200,AR96-AT96))</f>
        <v>0</v>
      </c>
      <c r="AV96" s="38">
        <f>IF(ISNA(VLOOKUP(A96,[2]AVANCE!$A$6:$E$122,4,0))=TRUE,0,VLOOKUP(A96,[2]AVANCE!$A$6:$E$122,4,0))</f>
        <v>0</v>
      </c>
      <c r="AW96" s="38">
        <f>IF(ISNA(VLOOKUP(A96,[2]AVANCE!$A$6:$E$122,5,0))=TRUE,0,VLOOKUP(A96,[2]AVANCE!$A$6:$E$122,5,0))</f>
        <v>0</v>
      </c>
      <c r="AX96" s="38">
        <f>+AV96+AW96</f>
        <v>0</v>
      </c>
      <c r="AY96" s="57"/>
      <c r="AZ96" s="58">
        <f>+AO96+AN96+AU96+AX96+AY96</f>
        <v>-382.04670033526281</v>
      </c>
      <c r="BA96" s="38">
        <f>+AJ96-AZ96</f>
        <v>-18720.288316427876</v>
      </c>
      <c r="BB96" s="117"/>
      <c r="BC96" s="118"/>
      <c r="BD96" s="59">
        <f>+BA96+BB96+BC96</f>
        <v>-18720.288316427876</v>
      </c>
      <c r="BE96" s="60">
        <f>IF(BD96-INT(BD96/100)*100&gt;0,INT(BD96/100)*100+100,INT(BD96/100)*100)</f>
        <v>-18700</v>
      </c>
      <c r="BF96" s="61"/>
      <c r="BG96" s="61"/>
      <c r="BH96" s="62">
        <f>IF(BF96=0,0,I96/2)</f>
        <v>0</v>
      </c>
      <c r="BI96" s="62">
        <f>IF(BF96=0,0,+IF(BF96-J96&lt;30,J96-BF96,30))</f>
        <v>0</v>
      </c>
      <c r="BJ96" s="62">
        <f>+BI96*BH96/30</f>
        <v>0</v>
      </c>
      <c r="BK96" s="63">
        <f>+BD96+AX96+AY96</f>
        <v>-18720.288316427876</v>
      </c>
      <c r="BL96" s="48">
        <f>+L96-N96</f>
        <v>0</v>
      </c>
      <c r="BM96" s="64"/>
      <c r="BN96" s="64"/>
      <c r="BO96" s="49"/>
    </row>
    <row r="97" spans="1:67" s="18" customFormat="1" ht="27" customHeight="1">
      <c r="A97" s="50" t="s">
        <v>157</v>
      </c>
      <c r="B97" s="51" t="s">
        <v>353</v>
      </c>
      <c r="C97" s="52"/>
      <c r="D97" s="53" t="s">
        <v>290</v>
      </c>
      <c r="E97" s="54">
        <v>42327</v>
      </c>
      <c r="F97" s="25">
        <v>42369</v>
      </c>
      <c r="G97" s="54" t="s">
        <v>299</v>
      </c>
      <c r="H97" s="55" t="s">
        <v>187</v>
      </c>
      <c r="I97" s="29">
        <v>133100</v>
      </c>
      <c r="J97" s="28">
        <v>42368</v>
      </c>
      <c r="K97" s="29">
        <v>0</v>
      </c>
      <c r="L97" s="29">
        <v>0</v>
      </c>
      <c r="M97" s="56">
        <v>0</v>
      </c>
      <c r="N97" s="33">
        <v>0</v>
      </c>
      <c r="O97" s="31">
        <v>767.89938268043613</v>
      </c>
      <c r="P97" s="32">
        <v>0</v>
      </c>
      <c r="Q97" s="33">
        <v>0</v>
      </c>
      <c r="R97" s="32">
        <v>0</v>
      </c>
      <c r="S97" s="33">
        <v>0</v>
      </c>
      <c r="T97" s="32">
        <v>0</v>
      </c>
      <c r="U97" s="33">
        <v>0</v>
      </c>
      <c r="V97" s="32">
        <v>0</v>
      </c>
      <c r="W97" s="33">
        <v>0</v>
      </c>
      <c r="X97" s="32">
        <v>0</v>
      </c>
      <c r="Y97" s="33">
        <v>0</v>
      </c>
      <c r="Z97" s="33">
        <v>0</v>
      </c>
      <c r="AA97" s="31">
        <v>0</v>
      </c>
      <c r="AB97" s="31">
        <v>0</v>
      </c>
      <c r="AC97" s="33">
        <v>0</v>
      </c>
      <c r="AD97" s="35"/>
      <c r="AE97" s="33">
        <v>0</v>
      </c>
      <c r="AF97" s="31">
        <v>-3</v>
      </c>
      <c r="AG97" s="33">
        <v>-1366.9871728302467</v>
      </c>
      <c r="AH97" s="31">
        <v>0</v>
      </c>
      <c r="AI97" s="31">
        <v>0</v>
      </c>
      <c r="AJ97" s="36">
        <v>-1366.9871728302467</v>
      </c>
      <c r="AK97" s="33">
        <f>IF(ISNA(VLOOKUP(A97,[2]AVANTAGE!$A$5:$T$118,19,0))=TRUE,0,VLOOKUP(A97,[2]AVANTAGE!$A$5:$T$118,19,0))</f>
        <v>0</v>
      </c>
      <c r="AL97" s="33">
        <f>IF(ISNA(VLOOKUP(A97,[2]AVANTAGE!$A$5:$T$118,20,0))=TRUE,0,VLOOKUP(A97,[2]AVANTAGE!$A$5:$T$118,20,0))</f>
        <v>0</v>
      </c>
      <c r="AM97" s="37">
        <f>+AJ97+AL97</f>
        <v>-1366.9871728302467</v>
      </c>
      <c r="AN97" s="38">
        <f>IF(D97=0,0,(IF((AM97)*1%&gt;10641.07,10641.07,(AM97)*1%)))</f>
        <v>-13.669871728302468</v>
      </c>
      <c r="AO97" s="33">
        <f>IF(D97=0,0,(IF((AM97)*1%&gt;10641.07,10641.07,(AM97)*1%)))</f>
        <v>-13.669871728302468</v>
      </c>
      <c r="AP97" s="38"/>
      <c r="AQ97" s="38">
        <f>+INT((AJ97+AL97-AO97-AN97-AP97)/100)*100</f>
        <v>-1400</v>
      </c>
      <c r="AR97" s="39">
        <f>IF(AQ97=0,0,IF(AQ97&lt;=250000,0,(AQ97-250000)*20%))</f>
        <v>0</v>
      </c>
      <c r="AS97" s="40">
        <f>VLOOKUP(A97,'[2]Liste personnel'!$B$3:$R$187,16,0)</f>
        <v>0</v>
      </c>
      <c r="AT97" s="38">
        <f>+AS97*2000</f>
        <v>0</v>
      </c>
      <c r="AU97" s="38">
        <f>+IF(AR97=0,0,IF(AR97-AT97&lt;200,200,AR97-AT97))</f>
        <v>0</v>
      </c>
      <c r="AV97" s="38">
        <f>IF(ISNA(VLOOKUP(A97,[2]AVANCE!$A$6:$E$122,4,0))=TRUE,0,VLOOKUP(A97,[2]AVANCE!$A$6:$E$122,4,0))</f>
        <v>0</v>
      </c>
      <c r="AW97" s="38">
        <f>IF(ISNA(VLOOKUP(A97,[2]AVANCE!$A$6:$E$122,5,0))=TRUE,0,VLOOKUP(A97,[2]AVANCE!$A$6:$E$122,5,0))</f>
        <v>0</v>
      </c>
      <c r="AX97" s="38">
        <f>+AV97+AW97</f>
        <v>0</v>
      </c>
      <c r="AY97" s="57"/>
      <c r="AZ97" s="58">
        <f>+AO97+AN97+AU97+AX97+AY97</f>
        <v>-27.339743456604936</v>
      </c>
      <c r="BA97" s="38">
        <f>+AJ97-AZ97</f>
        <v>-1339.6474293736417</v>
      </c>
      <c r="BB97" s="117"/>
      <c r="BC97" s="118"/>
      <c r="BD97" s="59">
        <f>+BA97+BB97+BC97</f>
        <v>-1339.6474293736417</v>
      </c>
      <c r="BE97" s="60">
        <f>IF(BD97-INT(BD97/100)*100&gt;0,INT(BD97/100)*100+100,INT(BD97/100)*100)</f>
        <v>-1300</v>
      </c>
      <c r="BF97" s="61"/>
      <c r="BG97" s="61"/>
      <c r="BH97" s="62">
        <f>IF(BF97=0,0,I97/2)</f>
        <v>0</v>
      </c>
      <c r="BI97" s="62">
        <f>IF(BF97=0,0,+IF(BF97-J97&lt;30,J97-BF97,30))</f>
        <v>0</v>
      </c>
      <c r="BJ97" s="62">
        <f>+BI97*BH97/30</f>
        <v>0</v>
      </c>
      <c r="BK97" s="63">
        <f>+BD97+AX97+AY97</f>
        <v>-1339.6474293736417</v>
      </c>
      <c r="BL97" s="48">
        <f>+L97-N97</f>
        <v>0</v>
      </c>
      <c r="BM97" s="64"/>
      <c r="BN97" s="64"/>
      <c r="BO97" s="49"/>
    </row>
    <row r="98" spans="1:67" s="18" customFormat="1" ht="27" customHeight="1">
      <c r="A98" s="50" t="s">
        <v>158</v>
      </c>
      <c r="B98" s="51" t="s">
        <v>354</v>
      </c>
      <c r="C98" s="52"/>
      <c r="D98" s="53" t="s">
        <v>290</v>
      </c>
      <c r="E98" s="54">
        <v>42327</v>
      </c>
      <c r="F98" s="25">
        <v>42369</v>
      </c>
      <c r="G98" s="54" t="s">
        <v>299</v>
      </c>
      <c r="H98" s="55" t="s">
        <v>187</v>
      </c>
      <c r="I98" s="29">
        <v>133100</v>
      </c>
      <c r="J98" s="28">
        <v>42368</v>
      </c>
      <c r="K98" s="29">
        <v>0</v>
      </c>
      <c r="L98" s="29">
        <v>0</v>
      </c>
      <c r="M98" s="56">
        <v>0</v>
      </c>
      <c r="N98" s="33">
        <v>0</v>
      </c>
      <c r="O98" s="31">
        <v>767.89938268043613</v>
      </c>
      <c r="P98" s="32">
        <v>0</v>
      </c>
      <c r="Q98" s="33">
        <v>0</v>
      </c>
      <c r="R98" s="32">
        <v>0</v>
      </c>
      <c r="S98" s="33">
        <v>0</v>
      </c>
      <c r="T98" s="32">
        <v>0</v>
      </c>
      <c r="U98" s="33">
        <v>0</v>
      </c>
      <c r="V98" s="32">
        <v>0</v>
      </c>
      <c r="W98" s="33">
        <v>0</v>
      </c>
      <c r="X98" s="32">
        <v>0</v>
      </c>
      <c r="Y98" s="33">
        <v>0</v>
      </c>
      <c r="Z98" s="33">
        <v>0</v>
      </c>
      <c r="AA98" s="31">
        <v>0</v>
      </c>
      <c r="AB98" s="31">
        <v>0</v>
      </c>
      <c r="AC98" s="33">
        <v>0</v>
      </c>
      <c r="AD98" s="35"/>
      <c r="AE98" s="33">
        <v>0</v>
      </c>
      <c r="AF98" s="31">
        <v>-3</v>
      </c>
      <c r="AG98" s="33">
        <v>-1292.1169830189044</v>
      </c>
      <c r="AH98" s="31">
        <v>0</v>
      </c>
      <c r="AI98" s="31">
        <v>0</v>
      </c>
      <c r="AJ98" s="36">
        <v>-1292.1169830189044</v>
      </c>
      <c r="AK98" s="33">
        <f>IF(ISNA(VLOOKUP(A98,[2]AVANTAGE!$A$5:$T$118,19,0))=TRUE,0,VLOOKUP(A98,[2]AVANTAGE!$A$5:$T$118,19,0))</f>
        <v>0</v>
      </c>
      <c r="AL98" s="33">
        <f>IF(ISNA(VLOOKUP(A98,[2]AVANTAGE!$A$5:$T$118,20,0))=TRUE,0,VLOOKUP(A98,[2]AVANTAGE!$A$5:$T$118,20,0))</f>
        <v>0</v>
      </c>
      <c r="AM98" s="37">
        <f>+AJ98+AL98</f>
        <v>-1292.1169830189044</v>
      </c>
      <c r="AN98" s="38">
        <f>IF(D98=0,0,(IF((AM98)*1%&gt;10641.07,10641.07,(AM98)*1%)))</f>
        <v>-12.921169830189044</v>
      </c>
      <c r="AO98" s="33">
        <f>IF(D98=0,0,(IF((AM98)*1%&gt;10641.07,10641.07,(AM98)*1%)))</f>
        <v>-12.921169830189044</v>
      </c>
      <c r="AP98" s="38"/>
      <c r="AQ98" s="38">
        <f>+INT((AJ98+AL98-AO98-AN98-AP98)/100)*100</f>
        <v>-1300</v>
      </c>
      <c r="AR98" s="39">
        <f>IF(AQ98=0,0,IF(AQ98&lt;=250000,0,(AQ98-250000)*20%))</f>
        <v>0</v>
      </c>
      <c r="AS98" s="40">
        <f>VLOOKUP(A98,'[2]Liste personnel'!$B$3:$R$187,16,0)</f>
        <v>0</v>
      </c>
      <c r="AT98" s="38">
        <f>+AS98*2000</f>
        <v>0</v>
      </c>
      <c r="AU98" s="38">
        <f>+IF(AR98=0,0,IF(AR98-AT98&lt;200,200,AR98-AT98))</f>
        <v>0</v>
      </c>
      <c r="AV98" s="38">
        <f>IF(ISNA(VLOOKUP(A98,[2]AVANCE!$A$6:$E$122,4,0))=TRUE,0,VLOOKUP(A98,[2]AVANCE!$A$6:$E$122,4,0))</f>
        <v>0</v>
      </c>
      <c r="AW98" s="38">
        <f>IF(ISNA(VLOOKUP(A98,[2]AVANCE!$A$6:$E$122,5,0))=TRUE,0,VLOOKUP(A98,[2]AVANCE!$A$6:$E$122,5,0))</f>
        <v>0</v>
      </c>
      <c r="AX98" s="38">
        <f>+AV98+AW98</f>
        <v>0</v>
      </c>
      <c r="AY98" s="57"/>
      <c r="AZ98" s="58">
        <f>+AO98+AN98+AU98+AX98+AY98</f>
        <v>-25.842339660378087</v>
      </c>
      <c r="BA98" s="38">
        <f>+AJ98-AZ98</f>
        <v>-1266.2746433585264</v>
      </c>
      <c r="BB98" s="117"/>
      <c r="BC98" s="118"/>
      <c r="BD98" s="59">
        <f>+BA98+BB98+BC98</f>
        <v>-1266.2746433585264</v>
      </c>
      <c r="BE98" s="60">
        <f>IF(BD98-INT(BD98/100)*100&gt;0,INT(BD98/100)*100+100,INT(BD98/100)*100)</f>
        <v>-1200</v>
      </c>
      <c r="BF98" s="61"/>
      <c r="BG98" s="61"/>
      <c r="BH98" s="62">
        <f>IF(BF98=0,0,I98/2)</f>
        <v>0</v>
      </c>
      <c r="BI98" s="62">
        <f>IF(BF98=0,0,+IF(BF98-J98&lt;30,J98-BF98,30))</f>
        <v>0</v>
      </c>
      <c r="BJ98" s="62">
        <f>+BI98*BH98/30</f>
        <v>0</v>
      </c>
      <c r="BK98" s="63">
        <f>+BD98+AX98+AY98</f>
        <v>-1266.2746433585264</v>
      </c>
      <c r="BL98" s="48">
        <f>+L98-N98</f>
        <v>0</v>
      </c>
      <c r="BM98" s="64"/>
      <c r="BN98" s="64"/>
      <c r="BO98" s="49"/>
    </row>
    <row r="99" spans="1:67" s="18" customFormat="1" ht="27" customHeight="1">
      <c r="A99" s="50" t="s">
        <v>159</v>
      </c>
      <c r="B99" s="51" t="s">
        <v>355</v>
      </c>
      <c r="C99" s="52"/>
      <c r="D99" s="53" t="s">
        <v>290</v>
      </c>
      <c r="E99" s="54">
        <v>42327</v>
      </c>
      <c r="F99" s="25">
        <v>42369</v>
      </c>
      <c r="G99" s="54" t="s">
        <v>299</v>
      </c>
      <c r="H99" s="55" t="s">
        <v>187</v>
      </c>
      <c r="I99" s="29">
        <v>133100</v>
      </c>
      <c r="J99" s="28">
        <v>42368</v>
      </c>
      <c r="K99" s="29">
        <v>0</v>
      </c>
      <c r="L99" s="29">
        <v>0</v>
      </c>
      <c r="M99" s="56">
        <v>0</v>
      </c>
      <c r="N99" s="33">
        <v>0</v>
      </c>
      <c r="O99" s="31">
        <v>767.89938268043613</v>
      </c>
      <c r="P99" s="32">
        <v>0</v>
      </c>
      <c r="Q99" s="33">
        <v>0</v>
      </c>
      <c r="R99" s="32">
        <v>0</v>
      </c>
      <c r="S99" s="33">
        <v>0</v>
      </c>
      <c r="T99" s="32">
        <v>0</v>
      </c>
      <c r="U99" s="33">
        <v>0</v>
      </c>
      <c r="V99" s="32">
        <v>0</v>
      </c>
      <c r="W99" s="33">
        <v>0</v>
      </c>
      <c r="X99" s="32">
        <v>0</v>
      </c>
      <c r="Y99" s="33">
        <v>0</v>
      </c>
      <c r="Z99" s="33">
        <v>0</v>
      </c>
      <c r="AA99" s="31">
        <v>0</v>
      </c>
      <c r="AB99" s="31">
        <v>0</v>
      </c>
      <c r="AC99" s="33">
        <v>0</v>
      </c>
      <c r="AD99" s="35"/>
      <c r="AE99" s="33">
        <v>0</v>
      </c>
      <c r="AF99" s="31">
        <v>-3</v>
      </c>
      <c r="AG99" s="33">
        <v>-1366.9871728302467</v>
      </c>
      <c r="AH99" s="31">
        <v>0</v>
      </c>
      <c r="AI99" s="31">
        <v>0</v>
      </c>
      <c r="AJ99" s="36">
        <v>-1366.9871728302467</v>
      </c>
      <c r="AK99" s="33">
        <f>IF(ISNA(VLOOKUP(A99,[2]AVANTAGE!$A$5:$T$118,19,0))=TRUE,0,VLOOKUP(A99,[2]AVANTAGE!$A$5:$T$118,19,0))</f>
        <v>0</v>
      </c>
      <c r="AL99" s="33">
        <f>IF(ISNA(VLOOKUP(A99,[2]AVANTAGE!$A$5:$T$118,20,0))=TRUE,0,VLOOKUP(A99,[2]AVANTAGE!$A$5:$T$118,20,0))</f>
        <v>0</v>
      </c>
      <c r="AM99" s="37">
        <f>+AJ99+AL99</f>
        <v>-1366.9871728302467</v>
      </c>
      <c r="AN99" s="38">
        <f>IF(D99=0,0,(IF((AM99)*1%&gt;10641.07,10641.07,(AM99)*1%)))</f>
        <v>-13.669871728302468</v>
      </c>
      <c r="AO99" s="33">
        <f>IF(D99=0,0,(IF((AM99)*1%&gt;10641.07,10641.07,(AM99)*1%)))</f>
        <v>-13.669871728302468</v>
      </c>
      <c r="AP99" s="38"/>
      <c r="AQ99" s="38">
        <f>+INT((AJ99+AL99-AO99-AN99-AP99)/100)*100</f>
        <v>-1400</v>
      </c>
      <c r="AR99" s="39">
        <f>IF(AQ99=0,0,IF(AQ99&lt;=250000,0,(AQ99-250000)*20%))</f>
        <v>0</v>
      </c>
      <c r="AS99" s="40">
        <f>VLOOKUP(A99,'[2]Liste personnel'!$B$3:$R$187,16,0)</f>
        <v>0</v>
      </c>
      <c r="AT99" s="38">
        <f>+AS99*2000</f>
        <v>0</v>
      </c>
      <c r="AU99" s="38">
        <f>+IF(AR99=0,0,IF(AR99-AT99&lt;200,200,AR99-AT99))</f>
        <v>0</v>
      </c>
      <c r="AV99" s="38">
        <f>IF(ISNA(VLOOKUP(A99,[2]AVANCE!$A$6:$E$122,4,0))=TRUE,0,VLOOKUP(A99,[2]AVANCE!$A$6:$E$122,4,0))</f>
        <v>0</v>
      </c>
      <c r="AW99" s="38">
        <f>IF(ISNA(VLOOKUP(A99,[2]AVANCE!$A$6:$E$122,5,0))=TRUE,0,VLOOKUP(A99,[2]AVANCE!$A$6:$E$122,5,0))</f>
        <v>0</v>
      </c>
      <c r="AX99" s="38">
        <f>+AV99+AW99</f>
        <v>0</v>
      </c>
      <c r="AY99" s="57"/>
      <c r="AZ99" s="58">
        <f>+AO99+AN99+AU99+AX99+AY99</f>
        <v>-27.339743456604936</v>
      </c>
      <c r="BA99" s="38">
        <f>+AJ99-AZ99</f>
        <v>-1339.6474293736417</v>
      </c>
      <c r="BB99" s="117"/>
      <c r="BC99" s="118"/>
      <c r="BD99" s="59">
        <f>+BA99+BB99+BC99</f>
        <v>-1339.6474293736417</v>
      </c>
      <c r="BE99" s="60">
        <f>IF(BD99-INT(BD99/100)*100&gt;0,INT(BD99/100)*100+100,INT(BD99/100)*100)</f>
        <v>-1300</v>
      </c>
      <c r="BF99" s="61"/>
      <c r="BG99" s="61"/>
      <c r="BH99" s="62">
        <f>IF(BF99=0,0,I99/2)</f>
        <v>0</v>
      </c>
      <c r="BI99" s="62">
        <f>IF(BF99=0,0,+IF(BF99-J99&lt;30,J99-BF99,30))</f>
        <v>0</v>
      </c>
      <c r="BJ99" s="62">
        <f>+BI99*BH99/30</f>
        <v>0</v>
      </c>
      <c r="BK99" s="63">
        <f>+BD99+AX99+AY99</f>
        <v>-1339.6474293736417</v>
      </c>
      <c r="BL99" s="48">
        <f>+L99-N99</f>
        <v>0</v>
      </c>
      <c r="BM99" s="64"/>
      <c r="BN99" s="64"/>
      <c r="BO99" s="49"/>
    </row>
    <row r="100" spans="1:67" s="18" customFormat="1" ht="27" customHeight="1">
      <c r="A100" s="50" t="s">
        <v>160</v>
      </c>
      <c r="B100" s="51" t="s">
        <v>356</v>
      </c>
      <c r="C100" s="52"/>
      <c r="D100" s="53" t="s">
        <v>290</v>
      </c>
      <c r="E100" s="54">
        <v>42327</v>
      </c>
      <c r="F100" s="25">
        <v>42369</v>
      </c>
      <c r="G100" s="54" t="s">
        <v>299</v>
      </c>
      <c r="H100" s="55" t="s">
        <v>187</v>
      </c>
      <c r="I100" s="29">
        <v>133100</v>
      </c>
      <c r="J100" s="28">
        <v>42368</v>
      </c>
      <c r="K100" s="29">
        <v>0</v>
      </c>
      <c r="L100" s="29">
        <v>0</v>
      </c>
      <c r="M100" s="56">
        <v>0</v>
      </c>
      <c r="N100" s="33">
        <v>0</v>
      </c>
      <c r="O100" s="31">
        <v>767.89938268043613</v>
      </c>
      <c r="P100" s="32">
        <v>0</v>
      </c>
      <c r="Q100" s="33">
        <v>0</v>
      </c>
      <c r="R100" s="32">
        <v>0</v>
      </c>
      <c r="S100" s="33">
        <v>0</v>
      </c>
      <c r="T100" s="32">
        <v>0</v>
      </c>
      <c r="U100" s="33">
        <v>0</v>
      </c>
      <c r="V100" s="32">
        <v>0</v>
      </c>
      <c r="W100" s="33">
        <v>0</v>
      </c>
      <c r="X100" s="32">
        <v>0</v>
      </c>
      <c r="Y100" s="33">
        <v>0</v>
      </c>
      <c r="Z100" s="33">
        <v>0</v>
      </c>
      <c r="AA100" s="31">
        <v>0</v>
      </c>
      <c r="AB100" s="31">
        <v>0</v>
      </c>
      <c r="AC100" s="33">
        <v>0</v>
      </c>
      <c r="AD100" s="35"/>
      <c r="AE100" s="33">
        <v>0</v>
      </c>
      <c r="AF100" s="31">
        <v>-3</v>
      </c>
      <c r="AG100" s="33">
        <v>-1566.6410123271603</v>
      </c>
      <c r="AH100" s="31">
        <v>0</v>
      </c>
      <c r="AI100" s="31">
        <v>0</v>
      </c>
      <c r="AJ100" s="36">
        <v>-1566.6410123271603</v>
      </c>
      <c r="AK100" s="33">
        <f>IF(ISNA(VLOOKUP(A100,[2]AVANTAGE!$A$5:$T$118,19,0))=TRUE,0,VLOOKUP(A100,[2]AVANTAGE!$A$5:$T$118,19,0))</f>
        <v>0</v>
      </c>
      <c r="AL100" s="33">
        <f>IF(ISNA(VLOOKUP(A100,[2]AVANTAGE!$A$5:$T$118,20,0))=TRUE,0,VLOOKUP(A100,[2]AVANTAGE!$A$5:$T$118,20,0))</f>
        <v>0</v>
      </c>
      <c r="AM100" s="37">
        <f>+AJ100+AL100</f>
        <v>-1566.6410123271603</v>
      </c>
      <c r="AN100" s="38">
        <f>IF(D100=0,0,(IF((AM100)*1%&gt;10641.07,10641.07,(AM100)*1%)))</f>
        <v>-15.666410123271604</v>
      </c>
      <c r="AO100" s="33">
        <f>IF(D100=0,0,(IF((AM100)*1%&gt;10641.07,10641.07,(AM100)*1%)))</f>
        <v>-15.666410123271604</v>
      </c>
      <c r="AP100" s="38"/>
      <c r="AQ100" s="38">
        <f>+INT((AJ100+AL100-AO100-AN100-AP100)/100)*100</f>
        <v>-1600</v>
      </c>
      <c r="AR100" s="39">
        <f>IF(AQ100=0,0,IF(AQ100&lt;=250000,0,(AQ100-250000)*20%))</f>
        <v>0</v>
      </c>
      <c r="AS100" s="40">
        <f>VLOOKUP(A100,'[2]Liste personnel'!$B$3:$R$187,16,0)</f>
        <v>0</v>
      </c>
      <c r="AT100" s="38">
        <f>+AS100*2000</f>
        <v>0</v>
      </c>
      <c r="AU100" s="38">
        <f>+IF(AR100=0,0,IF(AR100-AT100&lt;200,200,AR100-AT100))</f>
        <v>0</v>
      </c>
      <c r="AV100" s="38">
        <f>IF(ISNA(VLOOKUP(A100,[2]AVANCE!$A$6:$E$122,4,0))=TRUE,0,VLOOKUP(A100,[2]AVANCE!$A$6:$E$122,4,0))</f>
        <v>0</v>
      </c>
      <c r="AW100" s="38">
        <f>IF(ISNA(VLOOKUP(A100,[2]AVANCE!$A$6:$E$122,5,0))=TRUE,0,VLOOKUP(A100,[2]AVANCE!$A$6:$E$122,5,0))</f>
        <v>0</v>
      </c>
      <c r="AX100" s="38">
        <f>+AV100+AW100</f>
        <v>0</v>
      </c>
      <c r="AY100" s="57"/>
      <c r="AZ100" s="58">
        <f>+AO100+AN100+AU100+AX100+AY100</f>
        <v>-31.332820246543207</v>
      </c>
      <c r="BA100" s="38">
        <f>+AJ100-AZ100</f>
        <v>-1535.3081920806171</v>
      </c>
      <c r="BB100" s="117"/>
      <c r="BC100" s="118"/>
      <c r="BD100" s="59">
        <f>+BA100+BB100+BC100</f>
        <v>-1535.3081920806171</v>
      </c>
      <c r="BE100" s="60">
        <f>IF(BD100-INT(BD100/100)*100&gt;0,INT(BD100/100)*100+100,INT(BD100/100)*100)</f>
        <v>-1500</v>
      </c>
      <c r="BF100" s="61"/>
      <c r="BG100" s="61"/>
      <c r="BH100" s="62">
        <f>IF(BF100=0,0,I100/2)</f>
        <v>0</v>
      </c>
      <c r="BI100" s="62">
        <f>IF(BF100=0,0,+IF(BF100-J100&lt;30,J100-BF100,30))</f>
        <v>0</v>
      </c>
      <c r="BJ100" s="62">
        <f>+BI100*BH100/30</f>
        <v>0</v>
      </c>
      <c r="BK100" s="63">
        <f>+BD100+AX100+AY100</f>
        <v>-1535.3081920806171</v>
      </c>
      <c r="BL100" s="48">
        <f>+L100-N100</f>
        <v>0</v>
      </c>
      <c r="BM100" s="64"/>
      <c r="BN100" s="64"/>
      <c r="BO100" s="49"/>
    </row>
    <row r="101" spans="1:67" s="18" customFormat="1" ht="27" customHeight="1">
      <c r="A101" s="50" t="s">
        <v>161</v>
      </c>
      <c r="B101" s="51" t="s">
        <v>357</v>
      </c>
      <c r="C101" s="52"/>
      <c r="D101" s="53" t="s">
        <v>290</v>
      </c>
      <c r="E101" s="54">
        <v>42333</v>
      </c>
      <c r="F101" s="25">
        <v>42369</v>
      </c>
      <c r="G101" s="54" t="s">
        <v>299</v>
      </c>
      <c r="H101" s="55" t="s">
        <v>187</v>
      </c>
      <c r="I101" s="29">
        <v>133100</v>
      </c>
      <c r="J101" s="28">
        <v>42368</v>
      </c>
      <c r="K101" s="29">
        <v>0</v>
      </c>
      <c r="L101" s="29">
        <v>0</v>
      </c>
      <c r="M101" s="56">
        <v>0</v>
      </c>
      <c r="N101" s="33">
        <v>0</v>
      </c>
      <c r="O101" s="31">
        <v>767.89938268043613</v>
      </c>
      <c r="P101" s="32">
        <v>0</v>
      </c>
      <c r="Q101" s="33">
        <v>0</v>
      </c>
      <c r="R101" s="32">
        <v>0</v>
      </c>
      <c r="S101" s="33">
        <v>0</v>
      </c>
      <c r="T101" s="32">
        <v>0</v>
      </c>
      <c r="U101" s="33">
        <v>0</v>
      </c>
      <c r="V101" s="32">
        <v>0</v>
      </c>
      <c r="W101" s="33">
        <v>0</v>
      </c>
      <c r="X101" s="32">
        <v>0</v>
      </c>
      <c r="Y101" s="33">
        <v>0</v>
      </c>
      <c r="Z101" s="33">
        <v>0</v>
      </c>
      <c r="AA101" s="31">
        <v>0</v>
      </c>
      <c r="AB101" s="31">
        <v>0</v>
      </c>
      <c r="AC101" s="33">
        <v>0</v>
      </c>
      <c r="AD101" s="35"/>
      <c r="AE101" s="33">
        <v>0</v>
      </c>
      <c r="AF101" s="31">
        <v>-2.9966666666666666</v>
      </c>
      <c r="AG101" s="33">
        <v>-13295.211111111112</v>
      </c>
      <c r="AH101" s="31">
        <v>0</v>
      </c>
      <c r="AI101" s="31">
        <v>0</v>
      </c>
      <c r="AJ101" s="36">
        <v>-13295.211111111112</v>
      </c>
      <c r="AK101" s="33">
        <f>IF(ISNA(VLOOKUP(A101,[2]AVANTAGE!$A$5:$T$118,19,0))=TRUE,0,VLOOKUP(A101,[2]AVANTAGE!$A$5:$T$118,19,0))</f>
        <v>0</v>
      </c>
      <c r="AL101" s="33">
        <f>IF(ISNA(VLOOKUP(A101,[2]AVANTAGE!$A$5:$T$118,20,0))=TRUE,0,VLOOKUP(A101,[2]AVANTAGE!$A$5:$T$118,20,0))</f>
        <v>0</v>
      </c>
      <c r="AM101" s="37">
        <f>+AJ101+AL101</f>
        <v>-13295.211111111112</v>
      </c>
      <c r="AN101" s="38">
        <f>IF(D101=0,0,(IF((AM101)*1%&gt;10641.07,10641.07,(AM101)*1%)))</f>
        <v>-132.95211111111112</v>
      </c>
      <c r="AO101" s="33">
        <f>IF(D101=0,0,(IF((AM101)*1%&gt;10641.07,10641.07,(AM101)*1%)))</f>
        <v>-132.95211111111112</v>
      </c>
      <c r="AP101" s="38"/>
      <c r="AQ101" s="38">
        <f>+INT((AJ101+AL101-AO101-AN101-AP101)/100)*100</f>
        <v>-13100</v>
      </c>
      <c r="AR101" s="39">
        <f>IF(AQ101=0,0,IF(AQ101&lt;=250000,0,(AQ101-250000)*20%))</f>
        <v>0</v>
      </c>
      <c r="AS101" s="40">
        <f>VLOOKUP(A101,'[2]Liste personnel'!$B$3:$R$187,16,0)</f>
        <v>0</v>
      </c>
      <c r="AT101" s="38">
        <f>+AS101*2000</f>
        <v>0</v>
      </c>
      <c r="AU101" s="38">
        <f>+IF(AR101=0,0,IF(AR101-AT101&lt;200,200,AR101-AT101))</f>
        <v>0</v>
      </c>
      <c r="AV101" s="38">
        <f>IF(ISNA(VLOOKUP(A101,[2]AVANCE!$A$6:$E$122,4,0))=TRUE,0,VLOOKUP(A101,[2]AVANCE!$A$6:$E$122,4,0))</f>
        <v>0</v>
      </c>
      <c r="AW101" s="38">
        <f>IF(ISNA(VLOOKUP(A101,[2]AVANCE!$A$6:$E$122,5,0))=TRUE,0,VLOOKUP(A101,[2]AVANCE!$A$6:$E$122,5,0))</f>
        <v>0</v>
      </c>
      <c r="AX101" s="38">
        <f>+AV101+AW101</f>
        <v>0</v>
      </c>
      <c r="AY101" s="57"/>
      <c r="AZ101" s="58">
        <f>+AO101+AN101+AU101+AX101+AY101</f>
        <v>-265.90422222222224</v>
      </c>
      <c r="BA101" s="38">
        <f>+AJ101-AZ101</f>
        <v>-13029.30688888889</v>
      </c>
      <c r="BB101" s="117"/>
      <c r="BC101" s="118"/>
      <c r="BD101" s="59">
        <f>+BA101+BB101+BC101</f>
        <v>-13029.30688888889</v>
      </c>
      <c r="BE101" s="60">
        <f>IF(BD101-INT(BD101/100)*100&gt;0,INT(BD101/100)*100+100,INT(BD101/100)*100)</f>
        <v>-13000</v>
      </c>
      <c r="BF101" s="61"/>
      <c r="BG101" s="61"/>
      <c r="BH101" s="62">
        <f>IF(BF101=0,0,I101/2)</f>
        <v>0</v>
      </c>
      <c r="BI101" s="62">
        <f>IF(BF101=0,0,+IF(BF101-J101&lt;30,J101-BF101,30))</f>
        <v>0</v>
      </c>
      <c r="BJ101" s="62">
        <f>+BI101*BH101/30</f>
        <v>0</v>
      </c>
      <c r="BK101" s="63">
        <f>+BD101+AX101+AY101</f>
        <v>-13029.30688888889</v>
      </c>
      <c r="BL101" s="48">
        <f>+L101-N101</f>
        <v>0</v>
      </c>
      <c r="BM101" s="64"/>
      <c r="BN101" s="64"/>
      <c r="BO101" s="49"/>
    </row>
    <row r="102" spans="1:67" s="18" customFormat="1" ht="27" customHeight="1">
      <c r="A102" s="50" t="s">
        <v>162</v>
      </c>
      <c r="B102" s="51" t="s">
        <v>358</v>
      </c>
      <c r="C102" s="52"/>
      <c r="D102" s="53" t="s">
        <v>290</v>
      </c>
      <c r="E102" s="54">
        <v>42333</v>
      </c>
      <c r="F102" s="25">
        <v>42369</v>
      </c>
      <c r="G102" s="54" t="s">
        <v>299</v>
      </c>
      <c r="H102" s="55" t="s">
        <v>187</v>
      </c>
      <c r="I102" s="29">
        <v>133100</v>
      </c>
      <c r="J102" s="28">
        <v>42368</v>
      </c>
      <c r="K102" s="29">
        <v>0</v>
      </c>
      <c r="L102" s="29">
        <v>0</v>
      </c>
      <c r="M102" s="56">
        <v>0</v>
      </c>
      <c r="N102" s="33">
        <v>0</v>
      </c>
      <c r="O102" s="31">
        <v>767.89938268043613</v>
      </c>
      <c r="P102" s="32">
        <v>0</v>
      </c>
      <c r="Q102" s="33">
        <v>0</v>
      </c>
      <c r="R102" s="32">
        <v>0</v>
      </c>
      <c r="S102" s="33">
        <v>0</v>
      </c>
      <c r="T102" s="32">
        <v>0</v>
      </c>
      <c r="U102" s="33">
        <v>0</v>
      </c>
      <c r="V102" s="32">
        <v>0</v>
      </c>
      <c r="W102" s="33">
        <v>0</v>
      </c>
      <c r="X102" s="32">
        <v>0</v>
      </c>
      <c r="Y102" s="33">
        <v>0</v>
      </c>
      <c r="Z102" s="33">
        <v>0</v>
      </c>
      <c r="AA102" s="31">
        <v>0</v>
      </c>
      <c r="AB102" s="31">
        <v>0</v>
      </c>
      <c r="AC102" s="33">
        <v>0</v>
      </c>
      <c r="AD102" s="35"/>
      <c r="AE102" s="33">
        <v>0</v>
      </c>
      <c r="AF102" s="31">
        <v>-2.9966666666666666</v>
      </c>
      <c r="AG102" s="33">
        <v>-13295.211111111112</v>
      </c>
      <c r="AH102" s="31">
        <v>0</v>
      </c>
      <c r="AI102" s="31">
        <v>0</v>
      </c>
      <c r="AJ102" s="36">
        <v>-13295.211111111112</v>
      </c>
      <c r="AK102" s="33">
        <f>IF(ISNA(VLOOKUP(A102,[2]AVANTAGE!$A$5:$T$118,19,0))=TRUE,0,VLOOKUP(A102,[2]AVANTAGE!$A$5:$T$118,19,0))</f>
        <v>0</v>
      </c>
      <c r="AL102" s="33">
        <f>IF(ISNA(VLOOKUP(A102,[2]AVANTAGE!$A$5:$T$118,20,0))=TRUE,0,VLOOKUP(A102,[2]AVANTAGE!$A$5:$T$118,20,0))</f>
        <v>0</v>
      </c>
      <c r="AM102" s="37">
        <f>+AJ102+AL102</f>
        <v>-13295.211111111112</v>
      </c>
      <c r="AN102" s="38">
        <f>IF(D102=0,0,(IF((AM102)*1%&gt;10641.07,10641.07,(AM102)*1%)))</f>
        <v>-132.95211111111112</v>
      </c>
      <c r="AO102" s="33">
        <f>IF(D102=0,0,(IF((AM102)*1%&gt;10641.07,10641.07,(AM102)*1%)))</f>
        <v>-132.95211111111112</v>
      </c>
      <c r="AP102" s="38"/>
      <c r="AQ102" s="38">
        <f>+INT((AJ102+AL102-AO102-AN102-AP102)/100)*100</f>
        <v>-13100</v>
      </c>
      <c r="AR102" s="39">
        <f>IF(AQ102=0,0,IF(AQ102&lt;=250000,0,(AQ102-250000)*20%))</f>
        <v>0</v>
      </c>
      <c r="AS102" s="40">
        <f>VLOOKUP(A102,'[2]Liste personnel'!$B$3:$R$187,16,0)</f>
        <v>0</v>
      </c>
      <c r="AT102" s="38">
        <f>+AS102*2000</f>
        <v>0</v>
      </c>
      <c r="AU102" s="38">
        <f>+IF(AR102=0,0,IF(AR102-AT102&lt;200,200,AR102-AT102))</f>
        <v>0</v>
      </c>
      <c r="AV102" s="38">
        <f>IF(ISNA(VLOOKUP(A102,[2]AVANCE!$A$6:$E$122,4,0))=TRUE,0,VLOOKUP(A102,[2]AVANCE!$A$6:$E$122,4,0))</f>
        <v>0</v>
      </c>
      <c r="AW102" s="38">
        <f>IF(ISNA(VLOOKUP(A102,[2]AVANCE!$A$6:$E$122,5,0))=TRUE,0,VLOOKUP(A102,[2]AVANCE!$A$6:$E$122,5,0))</f>
        <v>0</v>
      </c>
      <c r="AX102" s="38">
        <f>+AV102+AW102</f>
        <v>0</v>
      </c>
      <c r="AY102" s="57"/>
      <c r="AZ102" s="58">
        <f>+AO102+AN102+AU102+AX102+AY102</f>
        <v>-265.90422222222224</v>
      </c>
      <c r="BA102" s="38">
        <f>+AJ102-AZ102</f>
        <v>-13029.30688888889</v>
      </c>
      <c r="BB102" s="117"/>
      <c r="BC102" s="118"/>
      <c r="BD102" s="59">
        <f>+BA102+BB102+BC102</f>
        <v>-13029.30688888889</v>
      </c>
      <c r="BE102" s="60">
        <f>IF(BD102-INT(BD102/100)*100&gt;0,INT(BD102/100)*100+100,INT(BD102/100)*100)</f>
        <v>-13000</v>
      </c>
      <c r="BF102" s="61"/>
      <c r="BG102" s="61"/>
      <c r="BH102" s="62">
        <f>IF(BF102=0,0,I102/2)</f>
        <v>0</v>
      </c>
      <c r="BI102" s="62">
        <f>IF(BF102=0,0,+IF(BF102-J102&lt;30,J102-BF102,30))</f>
        <v>0</v>
      </c>
      <c r="BJ102" s="62">
        <f>+BI102*BH102/30</f>
        <v>0</v>
      </c>
      <c r="BK102" s="63">
        <f>+BD102+AX102+AY102</f>
        <v>-13029.30688888889</v>
      </c>
      <c r="BL102" s="48">
        <f>+L102-N102</f>
        <v>0</v>
      </c>
      <c r="BM102" s="64"/>
      <c r="BN102" s="64"/>
      <c r="BO102" s="49"/>
    </row>
    <row r="103" spans="1:67" s="18" customFormat="1" ht="27" customHeight="1">
      <c r="A103" s="50" t="s">
        <v>163</v>
      </c>
      <c r="B103" s="51" t="s">
        <v>359</v>
      </c>
      <c r="C103" s="52"/>
      <c r="D103" s="53" t="s">
        <v>290</v>
      </c>
      <c r="E103" s="54">
        <v>42333</v>
      </c>
      <c r="F103" s="25">
        <v>42369</v>
      </c>
      <c r="G103" s="54" t="s">
        <v>299</v>
      </c>
      <c r="H103" s="55" t="s">
        <v>187</v>
      </c>
      <c r="I103" s="29">
        <v>133100</v>
      </c>
      <c r="J103" s="28">
        <v>42368</v>
      </c>
      <c r="K103" s="29">
        <v>0</v>
      </c>
      <c r="L103" s="29">
        <v>0</v>
      </c>
      <c r="M103" s="56">
        <v>0</v>
      </c>
      <c r="N103" s="33">
        <v>0</v>
      </c>
      <c r="O103" s="31">
        <v>767.89938268043613</v>
      </c>
      <c r="P103" s="32">
        <v>0</v>
      </c>
      <c r="Q103" s="33">
        <v>0</v>
      </c>
      <c r="R103" s="32">
        <v>0</v>
      </c>
      <c r="S103" s="33">
        <v>0</v>
      </c>
      <c r="T103" s="32">
        <v>0</v>
      </c>
      <c r="U103" s="33">
        <v>0</v>
      </c>
      <c r="V103" s="32">
        <v>0</v>
      </c>
      <c r="W103" s="33">
        <v>0</v>
      </c>
      <c r="X103" s="32">
        <v>0</v>
      </c>
      <c r="Y103" s="33">
        <v>0</v>
      </c>
      <c r="Z103" s="33">
        <v>0</v>
      </c>
      <c r="AA103" s="31">
        <v>0</v>
      </c>
      <c r="AB103" s="31">
        <v>0</v>
      </c>
      <c r="AC103" s="33">
        <v>0</v>
      </c>
      <c r="AD103" s="35"/>
      <c r="AE103" s="33">
        <v>0</v>
      </c>
      <c r="AF103" s="31">
        <v>-2.9966666666666666</v>
      </c>
      <c r="AG103" s="33">
        <v>-13295.211111111112</v>
      </c>
      <c r="AH103" s="31">
        <v>0</v>
      </c>
      <c r="AI103" s="31">
        <v>0</v>
      </c>
      <c r="AJ103" s="36">
        <v>-13295.211111111112</v>
      </c>
      <c r="AK103" s="33">
        <f>IF(ISNA(VLOOKUP(A103,[2]AVANTAGE!$A$5:$T$118,19,0))=TRUE,0,VLOOKUP(A103,[2]AVANTAGE!$A$5:$T$118,19,0))</f>
        <v>0</v>
      </c>
      <c r="AL103" s="33">
        <f>IF(ISNA(VLOOKUP(A103,[2]AVANTAGE!$A$5:$T$118,20,0))=TRUE,0,VLOOKUP(A103,[2]AVANTAGE!$A$5:$T$118,20,0))</f>
        <v>0</v>
      </c>
      <c r="AM103" s="37">
        <f>+AJ103+AL103</f>
        <v>-13295.211111111112</v>
      </c>
      <c r="AN103" s="38">
        <f>IF(D103=0,0,(IF((AM103)*1%&gt;10641.07,10641.07,(AM103)*1%)))</f>
        <v>-132.95211111111112</v>
      </c>
      <c r="AO103" s="33">
        <f>IF(D103=0,0,(IF((AM103)*1%&gt;10641.07,10641.07,(AM103)*1%)))</f>
        <v>-132.95211111111112</v>
      </c>
      <c r="AP103" s="38"/>
      <c r="AQ103" s="38">
        <f>+INT((AJ103+AL103-AO103-AN103-AP103)/100)*100</f>
        <v>-13100</v>
      </c>
      <c r="AR103" s="39">
        <f>IF(AQ103=0,0,IF(AQ103&lt;=250000,0,(AQ103-250000)*20%))</f>
        <v>0</v>
      </c>
      <c r="AS103" s="40">
        <f>VLOOKUP(A103,'[2]Liste personnel'!$B$3:$R$187,16,0)</f>
        <v>0</v>
      </c>
      <c r="AT103" s="38">
        <f>+AS103*2000</f>
        <v>0</v>
      </c>
      <c r="AU103" s="38">
        <f>+IF(AR103=0,0,IF(AR103-AT103&lt;200,200,AR103-AT103))</f>
        <v>0</v>
      </c>
      <c r="AV103" s="38">
        <f>IF(ISNA(VLOOKUP(A103,[2]AVANCE!$A$6:$E$122,4,0))=TRUE,0,VLOOKUP(A103,[2]AVANCE!$A$6:$E$122,4,0))</f>
        <v>0</v>
      </c>
      <c r="AW103" s="38">
        <f>IF(ISNA(VLOOKUP(A103,[2]AVANCE!$A$6:$E$122,5,0))=TRUE,0,VLOOKUP(A103,[2]AVANCE!$A$6:$E$122,5,0))</f>
        <v>0</v>
      </c>
      <c r="AX103" s="38">
        <f>+AV103+AW103</f>
        <v>0</v>
      </c>
      <c r="AY103" s="57"/>
      <c r="AZ103" s="58">
        <f>+AO103+AN103+AU103+AX103+AY103</f>
        <v>-265.90422222222224</v>
      </c>
      <c r="BA103" s="38">
        <f>+AJ103-AZ103</f>
        <v>-13029.30688888889</v>
      </c>
      <c r="BB103" s="117"/>
      <c r="BC103" s="118"/>
      <c r="BD103" s="59">
        <f>+BA103+BB103+BC103</f>
        <v>-13029.30688888889</v>
      </c>
      <c r="BE103" s="60">
        <f>IF(BD103-INT(BD103/100)*100&gt;0,INT(BD103/100)*100+100,INT(BD103/100)*100)</f>
        <v>-13000</v>
      </c>
      <c r="BF103" s="61"/>
      <c r="BG103" s="61"/>
      <c r="BH103" s="62">
        <f>IF(BF103=0,0,I103/2)</f>
        <v>0</v>
      </c>
      <c r="BI103" s="62">
        <f>IF(BF103=0,0,+IF(BF103-J103&lt;30,J103-BF103,30))</f>
        <v>0</v>
      </c>
      <c r="BJ103" s="62">
        <f>+BI103*BH103/30</f>
        <v>0</v>
      </c>
      <c r="BK103" s="63">
        <f>+BD103+AX103+AY103</f>
        <v>-13029.30688888889</v>
      </c>
      <c r="BL103" s="48">
        <f>+L103-N103</f>
        <v>0</v>
      </c>
      <c r="BM103" s="64"/>
      <c r="BN103" s="64"/>
      <c r="BO103" s="49"/>
    </row>
    <row r="104" spans="1:67" s="18" customFormat="1" ht="27" customHeight="1">
      <c r="A104" s="50" t="s">
        <v>164</v>
      </c>
      <c r="B104" s="51" t="s">
        <v>360</v>
      </c>
      <c r="C104" s="52"/>
      <c r="D104" s="53" t="s">
        <v>290</v>
      </c>
      <c r="E104" s="54">
        <v>42339</v>
      </c>
      <c r="F104" s="25">
        <v>42369</v>
      </c>
      <c r="G104" s="54" t="s">
        <v>299</v>
      </c>
      <c r="H104" s="55" t="s">
        <v>187</v>
      </c>
      <c r="I104" s="29">
        <v>133100</v>
      </c>
      <c r="J104" s="28">
        <v>42368</v>
      </c>
      <c r="K104" s="29">
        <v>0</v>
      </c>
      <c r="L104" s="29">
        <v>0</v>
      </c>
      <c r="M104" s="56">
        <v>0</v>
      </c>
      <c r="N104" s="33">
        <v>0</v>
      </c>
      <c r="O104" s="31">
        <v>767.89938268043613</v>
      </c>
      <c r="P104" s="32">
        <v>0</v>
      </c>
      <c r="Q104" s="33">
        <v>0</v>
      </c>
      <c r="R104" s="32">
        <v>0</v>
      </c>
      <c r="S104" s="33">
        <v>0</v>
      </c>
      <c r="T104" s="32">
        <v>0</v>
      </c>
      <c r="U104" s="33">
        <v>0</v>
      </c>
      <c r="V104" s="32">
        <v>0</v>
      </c>
      <c r="W104" s="33">
        <v>0</v>
      </c>
      <c r="X104" s="32">
        <v>0</v>
      </c>
      <c r="Y104" s="33">
        <v>0</v>
      </c>
      <c r="Z104" s="33">
        <v>0</v>
      </c>
      <c r="AA104" s="31">
        <v>0</v>
      </c>
      <c r="AB104" s="31">
        <v>0</v>
      </c>
      <c r="AC104" s="33">
        <v>0</v>
      </c>
      <c r="AD104" s="35"/>
      <c r="AE104" s="33">
        <v>0</v>
      </c>
      <c r="AF104" s="31">
        <v>-3</v>
      </c>
      <c r="AG104" s="33">
        <v>-13310</v>
      </c>
      <c r="AH104" s="31">
        <v>0</v>
      </c>
      <c r="AI104" s="31">
        <v>0</v>
      </c>
      <c r="AJ104" s="36">
        <v>-13310</v>
      </c>
      <c r="AK104" s="33">
        <f>IF(ISNA(VLOOKUP(A104,[2]AVANTAGE!$A$5:$T$118,19,0))=TRUE,0,VLOOKUP(A104,[2]AVANTAGE!$A$5:$T$118,19,0))</f>
        <v>0</v>
      </c>
      <c r="AL104" s="33">
        <f>IF(ISNA(VLOOKUP(A104,[2]AVANTAGE!$A$5:$T$118,20,0))=TRUE,0,VLOOKUP(A104,[2]AVANTAGE!$A$5:$T$118,20,0))</f>
        <v>0</v>
      </c>
      <c r="AM104" s="37">
        <f>+AJ104+AL104</f>
        <v>-13310</v>
      </c>
      <c r="AN104" s="38">
        <f>IF(D104=0,0,(IF((AM104)*1%&gt;10641.07,10641.07,(AM104)*1%)))</f>
        <v>-133.1</v>
      </c>
      <c r="AO104" s="33">
        <f>IF(D104=0,0,(IF((AM104)*1%&gt;10641.07,10641.07,(AM104)*1%)))</f>
        <v>-133.1</v>
      </c>
      <c r="AP104" s="38"/>
      <c r="AQ104" s="38">
        <f>+INT((AJ104+AL104-AO104-AN104-AP104)/100)*100</f>
        <v>-13100</v>
      </c>
      <c r="AR104" s="39">
        <f>IF(AQ104=0,0,IF(AQ104&lt;=250000,0,(AQ104-250000)*20%))</f>
        <v>0</v>
      </c>
      <c r="AS104" s="40">
        <f>VLOOKUP(A104,'[2]Liste personnel'!$B$3:$R$187,16,0)</f>
        <v>0</v>
      </c>
      <c r="AT104" s="38">
        <f>+AS104*2000</f>
        <v>0</v>
      </c>
      <c r="AU104" s="38">
        <f>+IF(AR104=0,0,IF(AR104-AT104&lt;200,200,AR104-AT104))</f>
        <v>0</v>
      </c>
      <c r="AV104" s="38">
        <f>IF(ISNA(VLOOKUP(A104,[2]AVANCE!$A$6:$E$122,4,0))=TRUE,0,VLOOKUP(A104,[2]AVANCE!$A$6:$E$122,4,0))</f>
        <v>0</v>
      </c>
      <c r="AW104" s="38">
        <f>IF(ISNA(VLOOKUP(A104,[2]AVANCE!$A$6:$E$122,5,0))=TRUE,0,VLOOKUP(A104,[2]AVANCE!$A$6:$E$122,5,0))</f>
        <v>0</v>
      </c>
      <c r="AX104" s="38">
        <f>+AV104+AW104</f>
        <v>0</v>
      </c>
      <c r="AY104" s="57"/>
      <c r="AZ104" s="58">
        <f>+AO104+AN104+AU104+AX104+AY104</f>
        <v>-266.2</v>
      </c>
      <c r="BA104" s="38">
        <f>+AJ104-AZ104</f>
        <v>-13043.8</v>
      </c>
      <c r="BB104" s="117"/>
      <c r="BC104" s="118"/>
      <c r="BD104" s="59">
        <f>+BA104+BB104+BC104</f>
        <v>-13043.8</v>
      </c>
      <c r="BE104" s="60">
        <f>IF(BD104-INT(BD104/100)*100&gt;0,INT(BD104/100)*100+100,INT(BD104/100)*100)</f>
        <v>-13000</v>
      </c>
      <c r="BF104" s="61"/>
      <c r="BG104" s="61"/>
      <c r="BH104" s="62">
        <f>IF(BF104=0,0,I104/2)</f>
        <v>0</v>
      </c>
      <c r="BI104" s="62">
        <f>IF(BF104=0,0,+IF(BF104-J104&lt;30,J104-BF104,30))</f>
        <v>0</v>
      </c>
      <c r="BJ104" s="62">
        <f>+BI104*BH104/30</f>
        <v>0</v>
      </c>
      <c r="BK104" s="63">
        <f>+BD104+AX104+AY104</f>
        <v>-13043.8</v>
      </c>
      <c r="BL104" s="48">
        <f>+L104-N104</f>
        <v>0</v>
      </c>
      <c r="BM104" s="64"/>
      <c r="BN104" s="64"/>
      <c r="BO104" s="49"/>
    </row>
    <row r="105" spans="1:67" s="18" customFormat="1" ht="27" hidden="1" customHeight="1">
      <c r="A105" s="50"/>
      <c r="B105" s="51"/>
      <c r="C105" s="52"/>
      <c r="D105" s="53"/>
      <c r="E105" s="54"/>
      <c r="F105" s="25"/>
      <c r="G105" s="54"/>
      <c r="H105" s="55"/>
      <c r="I105" s="29"/>
      <c r="J105" s="28"/>
      <c r="K105" s="29"/>
      <c r="L105" s="29"/>
      <c r="M105" s="56"/>
      <c r="N105" s="33"/>
      <c r="O105" s="31"/>
      <c r="P105" s="32"/>
      <c r="Q105" s="33"/>
      <c r="R105" s="32"/>
      <c r="S105" s="33"/>
      <c r="T105" s="32"/>
      <c r="U105" s="33"/>
      <c r="V105" s="32"/>
      <c r="W105" s="33"/>
      <c r="X105" s="32"/>
      <c r="Y105" s="33"/>
      <c r="Z105" s="33"/>
      <c r="AA105" s="31"/>
      <c r="AB105" s="31"/>
      <c r="AC105" s="33"/>
      <c r="AD105" s="35"/>
      <c r="AE105" s="33"/>
      <c r="AF105" s="31"/>
      <c r="AG105" s="33"/>
      <c r="AH105" s="31"/>
      <c r="AI105" s="31"/>
      <c r="AJ105" s="36"/>
      <c r="AK105" s="33"/>
      <c r="AL105" s="33"/>
      <c r="AM105" s="37"/>
      <c r="AN105" s="38"/>
      <c r="AO105" s="33"/>
      <c r="AP105" s="38"/>
      <c r="AQ105" s="38"/>
      <c r="AR105" s="39"/>
      <c r="AS105" s="40"/>
      <c r="AT105" s="38"/>
      <c r="AU105" s="38"/>
      <c r="AV105" s="38"/>
      <c r="AW105" s="38"/>
      <c r="AX105" s="38"/>
      <c r="AY105" s="57"/>
      <c r="AZ105" s="58"/>
      <c r="BA105" s="38"/>
      <c r="BB105" s="117"/>
      <c r="BC105" s="118"/>
      <c r="BD105" s="59"/>
      <c r="BE105" s="60"/>
      <c r="BF105" s="61"/>
      <c r="BG105" s="61"/>
      <c r="BH105" s="62"/>
      <c r="BI105" s="62"/>
      <c r="BJ105" s="62"/>
      <c r="BK105" s="63"/>
      <c r="BL105" s="48"/>
      <c r="BM105" s="64"/>
      <c r="BN105" s="64"/>
      <c r="BO105" s="49"/>
    </row>
    <row r="106" spans="1:67" s="18" customFormat="1" ht="27" hidden="1" customHeight="1">
      <c r="A106" s="50"/>
      <c r="B106" s="51"/>
      <c r="C106" s="52"/>
      <c r="D106" s="53"/>
      <c r="E106" s="54"/>
      <c r="F106" s="25"/>
      <c r="G106" s="54"/>
      <c r="H106" s="55"/>
      <c r="I106" s="29"/>
      <c r="J106" s="28"/>
      <c r="K106" s="29"/>
      <c r="L106" s="29"/>
      <c r="M106" s="56"/>
      <c r="N106" s="33"/>
      <c r="O106" s="31"/>
      <c r="P106" s="32"/>
      <c r="Q106" s="33"/>
      <c r="R106" s="32"/>
      <c r="S106" s="33"/>
      <c r="T106" s="32"/>
      <c r="U106" s="33"/>
      <c r="V106" s="32"/>
      <c r="W106" s="33"/>
      <c r="X106" s="32"/>
      <c r="Y106" s="33"/>
      <c r="Z106" s="33"/>
      <c r="AA106" s="31"/>
      <c r="AB106" s="31"/>
      <c r="AC106" s="33"/>
      <c r="AD106" s="35"/>
      <c r="AE106" s="33"/>
      <c r="AF106" s="31"/>
      <c r="AG106" s="33"/>
      <c r="AH106" s="31"/>
      <c r="AI106" s="31"/>
      <c r="AJ106" s="36"/>
      <c r="AK106" s="33"/>
      <c r="AL106" s="33"/>
      <c r="AM106" s="37"/>
      <c r="AN106" s="38"/>
      <c r="AO106" s="33"/>
      <c r="AP106" s="38"/>
      <c r="AQ106" s="38"/>
      <c r="AR106" s="39"/>
      <c r="AS106" s="40"/>
      <c r="AT106" s="38"/>
      <c r="AU106" s="38"/>
      <c r="AV106" s="38"/>
      <c r="AW106" s="38"/>
      <c r="AX106" s="38"/>
      <c r="AY106" s="57"/>
      <c r="AZ106" s="58"/>
      <c r="BA106" s="38"/>
      <c r="BB106" s="117"/>
      <c r="BC106" s="118"/>
      <c r="BD106" s="59"/>
      <c r="BE106" s="60"/>
      <c r="BF106" s="61"/>
      <c r="BG106" s="61"/>
      <c r="BH106" s="62"/>
      <c r="BI106" s="62"/>
      <c r="BJ106" s="62"/>
      <c r="BK106" s="63"/>
      <c r="BL106" s="48"/>
      <c r="BM106" s="64"/>
      <c r="BN106" s="64"/>
      <c r="BO106" s="49"/>
    </row>
    <row r="107" spans="1:67" s="18" customFormat="1" ht="27" customHeight="1">
      <c r="A107" s="50"/>
      <c r="B107" s="51"/>
      <c r="C107" s="52"/>
      <c r="D107" s="53"/>
      <c r="E107" s="54"/>
      <c r="F107" s="119"/>
      <c r="G107" s="54"/>
      <c r="H107" s="55"/>
      <c r="I107" s="29"/>
      <c r="J107" s="120"/>
      <c r="K107" s="29"/>
      <c r="L107" s="29"/>
      <c r="M107" s="56"/>
      <c r="N107" s="33"/>
      <c r="O107" s="33"/>
      <c r="P107" s="32"/>
      <c r="Q107" s="33"/>
      <c r="R107" s="32"/>
      <c r="S107" s="33"/>
      <c r="T107" s="32"/>
      <c r="U107" s="33"/>
      <c r="V107" s="32"/>
      <c r="W107" s="33"/>
      <c r="X107" s="32"/>
      <c r="Y107" s="33"/>
      <c r="Z107" s="33"/>
      <c r="AA107" s="33"/>
      <c r="AB107" s="33"/>
      <c r="AC107" s="33"/>
      <c r="AD107" s="57"/>
      <c r="AE107" s="33"/>
      <c r="AF107" s="33"/>
      <c r="AG107" s="33"/>
      <c r="AH107" s="31"/>
      <c r="AI107" s="31"/>
      <c r="AJ107" s="33"/>
      <c r="AK107" s="33"/>
      <c r="AL107" s="33"/>
      <c r="AM107" s="37"/>
      <c r="AN107" s="38"/>
      <c r="AO107" s="33"/>
      <c r="AP107" s="38"/>
      <c r="AQ107" s="38"/>
      <c r="AR107" s="38"/>
      <c r="AS107" s="40"/>
      <c r="AT107" s="38"/>
      <c r="AU107" s="38"/>
      <c r="AV107" s="38"/>
      <c r="AW107" s="38"/>
      <c r="AX107" s="38"/>
      <c r="AY107" s="57"/>
      <c r="AZ107" s="58"/>
      <c r="BA107" s="38"/>
      <c r="BB107" s="117"/>
      <c r="BC107" s="118"/>
      <c r="BD107" s="59"/>
      <c r="BE107" s="60"/>
      <c r="BF107" s="61"/>
      <c r="BG107" s="61"/>
      <c r="BH107" s="62"/>
      <c r="BI107" s="62"/>
      <c r="BJ107" s="62"/>
      <c r="BK107" s="63"/>
      <c r="BL107" s="63"/>
      <c r="BN107" s="49"/>
    </row>
    <row r="108" spans="1:67" s="87" customFormat="1" ht="27" customHeight="1">
      <c r="A108" s="121">
        <f>+COUNTA(A2:A107)</f>
        <v>103</v>
      </c>
      <c r="B108" s="121" t="s">
        <v>165</v>
      </c>
      <c r="C108" s="122"/>
      <c r="D108" s="123"/>
      <c r="E108" s="124"/>
      <c r="F108" s="125"/>
      <c r="G108" s="124"/>
      <c r="H108" s="124"/>
      <c r="I108" s="123"/>
      <c r="J108" s="126"/>
      <c r="K108" s="122"/>
      <c r="L108" s="122">
        <f>SUM(L2:L107)</f>
        <v>0</v>
      </c>
      <c r="M108" s="127"/>
      <c r="N108" s="122">
        <f>SUM(N2:N107)</f>
        <v>0</v>
      </c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2">
        <f>SUM(Z2:Z107)</f>
        <v>0</v>
      </c>
      <c r="AA108" s="122">
        <f>SUM(AA2:AA107)</f>
        <v>0</v>
      </c>
      <c r="AB108" s="122">
        <f>SUM(AB2:AB107)</f>
        <v>0</v>
      </c>
      <c r="AC108" s="122">
        <f>SUM(AC2:AC107)</f>
        <v>0</v>
      </c>
      <c r="AD108" s="128">
        <f>SUM(AD2:AD107)</f>
        <v>0</v>
      </c>
      <c r="AE108" s="129"/>
      <c r="AF108" s="127"/>
      <c r="AG108" s="127">
        <f>SUM(AG2:AG107)</f>
        <v>32445958.319054388</v>
      </c>
      <c r="AH108" s="127"/>
      <c r="AI108" s="127">
        <f>SUM(AI2:AI107)</f>
        <v>0</v>
      </c>
      <c r="AJ108" s="129">
        <f>SUM(AJ2:AJ107)</f>
        <v>32445958.319054388</v>
      </c>
      <c r="AK108" s="129">
        <f>SUM(AK2:AK107)</f>
        <v>7132499.1466666674</v>
      </c>
      <c r="AL108" s="129">
        <f>SUM(AL2:AL107)</f>
        <v>997500.2</v>
      </c>
      <c r="AM108" s="130">
        <f>SUM(AM2:AM107)</f>
        <v>33443458.51905439</v>
      </c>
      <c r="AN108" s="122">
        <f>SUM(AN2:AN107)</f>
        <v>254620.8855583668</v>
      </c>
      <c r="AO108" s="122">
        <f>SUM(AO2:AO107)</f>
        <v>244645.8835583668</v>
      </c>
      <c r="AP108" s="129">
        <f>SUM(AP2:AP107)</f>
        <v>0</v>
      </c>
      <c r="AQ108" s="129">
        <f>SUM(AQ2:AQ107)</f>
        <v>32939000</v>
      </c>
      <c r="AR108" s="129">
        <f>SUM(AR2:AR107)</f>
        <v>4094400</v>
      </c>
      <c r="AS108" s="129">
        <f>SUM(AS2:AS107)</f>
        <v>23</v>
      </c>
      <c r="AT108" s="129">
        <f>SUM(AT2:AT107)</f>
        <v>46000</v>
      </c>
      <c r="AU108" s="129">
        <f>SUM(AU2:AU107)</f>
        <v>4060400</v>
      </c>
      <c r="AV108" s="129">
        <f>SUM(AV2:AV107)</f>
        <v>0</v>
      </c>
      <c r="AW108" s="129">
        <f>SUM(AW2:AW107)</f>
        <v>0</v>
      </c>
      <c r="AX108" s="122">
        <f>SUM(AX2:AX107)</f>
        <v>0</v>
      </c>
      <c r="AY108" s="128">
        <f>SUM(AY2:AY107)</f>
        <v>0</v>
      </c>
      <c r="AZ108" s="122">
        <f>SUM(AZ2:AZ107)</f>
        <v>4559666.7691167369</v>
      </c>
      <c r="BA108" s="122">
        <f>SUM(BA2:BA107)</f>
        <v>27886291.549937662</v>
      </c>
      <c r="BB108" s="131">
        <f>SUM(BB2:BB107)</f>
        <v>0</v>
      </c>
      <c r="BC108" s="131">
        <f>SUM(BC2:BC107)</f>
        <v>0</v>
      </c>
      <c r="BD108" s="129">
        <f>SUM(BD2:BD107)</f>
        <v>27886291.549937662</v>
      </c>
      <c r="BE108" s="129">
        <f>SUM(BE2:BE107)</f>
        <v>27891000</v>
      </c>
      <c r="BF108" s="132"/>
      <c r="BG108" s="133"/>
      <c r="BH108" s="134"/>
      <c r="BI108" s="134"/>
      <c r="BJ108" s="134"/>
      <c r="BK108" s="130"/>
      <c r="BL108" s="130">
        <f>+L108-N108+BJ108</f>
        <v>0</v>
      </c>
      <c r="BM108" s="18"/>
      <c r="BN108" s="49"/>
    </row>
    <row r="109" spans="1:67" s="136" customFormat="1" ht="27.75" customHeight="1">
      <c r="A109" s="135">
        <v>1</v>
      </c>
      <c r="B109" s="135">
        <v>2</v>
      </c>
      <c r="C109" s="135">
        <v>3</v>
      </c>
      <c r="D109" s="135">
        <v>4</v>
      </c>
      <c r="E109" s="135">
        <v>5</v>
      </c>
      <c r="F109" s="135">
        <v>6</v>
      </c>
      <c r="G109" s="135">
        <v>7</v>
      </c>
      <c r="H109" s="135">
        <v>8</v>
      </c>
      <c r="I109" s="135">
        <v>9</v>
      </c>
      <c r="J109" s="135">
        <v>10</v>
      </c>
      <c r="K109" s="135">
        <v>11</v>
      </c>
      <c r="L109" s="135">
        <v>12</v>
      </c>
      <c r="M109" s="135">
        <v>13</v>
      </c>
      <c r="N109" s="135">
        <v>14</v>
      </c>
      <c r="O109" s="135">
        <v>15</v>
      </c>
      <c r="P109" s="135">
        <v>16</v>
      </c>
      <c r="Q109" s="135">
        <v>17</v>
      </c>
      <c r="R109" s="135">
        <v>18</v>
      </c>
      <c r="S109" s="135">
        <v>19</v>
      </c>
      <c r="T109" s="135">
        <v>20</v>
      </c>
      <c r="U109" s="135">
        <v>21</v>
      </c>
      <c r="V109" s="135">
        <v>22</v>
      </c>
      <c r="W109" s="135">
        <v>23</v>
      </c>
      <c r="X109" s="135">
        <v>24</v>
      </c>
      <c r="Y109" s="135">
        <v>25</v>
      </c>
      <c r="Z109" s="135">
        <v>26</v>
      </c>
      <c r="AA109" s="135">
        <v>27</v>
      </c>
      <c r="AB109" s="135">
        <v>28</v>
      </c>
      <c r="AC109" s="135">
        <v>29</v>
      </c>
      <c r="AD109" s="136">
        <v>30</v>
      </c>
      <c r="AE109" s="135">
        <v>31</v>
      </c>
      <c r="AF109" s="135">
        <v>32</v>
      </c>
      <c r="AG109" s="135">
        <v>33</v>
      </c>
      <c r="AH109" s="135">
        <v>34</v>
      </c>
      <c r="AI109" s="135">
        <v>35</v>
      </c>
      <c r="AJ109" s="135">
        <v>36</v>
      </c>
      <c r="AK109" s="135">
        <v>37</v>
      </c>
      <c r="AL109" s="135">
        <v>38</v>
      </c>
      <c r="AM109" s="135">
        <v>39</v>
      </c>
      <c r="AN109" s="135">
        <v>40</v>
      </c>
      <c r="AO109" s="135">
        <v>41</v>
      </c>
      <c r="AP109" s="135">
        <v>42</v>
      </c>
      <c r="AQ109" s="135">
        <v>43</v>
      </c>
      <c r="AR109" s="135">
        <v>44</v>
      </c>
      <c r="AS109" s="135">
        <v>45</v>
      </c>
      <c r="AT109" s="135">
        <v>46</v>
      </c>
      <c r="AU109" s="135">
        <v>47</v>
      </c>
      <c r="AV109" s="135">
        <v>48</v>
      </c>
      <c r="AW109" s="135">
        <v>49</v>
      </c>
      <c r="AX109" s="135">
        <v>50</v>
      </c>
      <c r="AY109" s="135">
        <v>51</v>
      </c>
      <c r="AZ109" s="135">
        <v>52</v>
      </c>
      <c r="BA109" s="135">
        <v>53</v>
      </c>
      <c r="BB109" s="135">
        <v>54</v>
      </c>
      <c r="BC109" s="135">
        <v>55</v>
      </c>
      <c r="BD109" s="135">
        <v>56</v>
      </c>
      <c r="BE109" s="137">
        <v>57</v>
      </c>
      <c r="BF109" s="135">
        <v>58</v>
      </c>
      <c r="BG109" s="135">
        <v>59</v>
      </c>
      <c r="BH109" s="135">
        <v>60</v>
      </c>
      <c r="BI109" s="135">
        <v>61</v>
      </c>
      <c r="BJ109" s="135">
        <v>62</v>
      </c>
      <c r="BK109" s="135">
        <v>63</v>
      </c>
      <c r="BL109" s="135">
        <v>64</v>
      </c>
      <c r="BM109" s="18"/>
      <c r="BN109" s="49"/>
    </row>
  </sheetData>
  <printOptions horizontalCentered="1"/>
  <pageMargins left="0" right="0" top="0.59055118110236227" bottom="0.19685039370078741" header="0.11811023622047245" footer="0.35433070866141736"/>
  <pageSetup paperSize="9" fitToHeight="0" orientation="portrait" verticalDpi="300" r:id="rId1"/>
  <headerFooter alignWithMargins="0">
    <oddHeader>&amp;C&amp;"Arial,Gras"TECHMARINE
LISTE DU PERSONNEL PERMANENT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salaire 21-31</vt:lpstr>
      <vt:lpstr>conge</vt:lpstr>
      <vt:lpstr>conge!Impression_des_titres</vt:lpstr>
      <vt:lpstr>'salaire 21-31'!Impression_des_titres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Holy</dc:creator>
  <cp:lastModifiedBy>Holy</cp:lastModifiedBy>
  <dcterms:created xsi:type="dcterms:W3CDTF">2016-02-10T12:32:00Z</dcterms:created>
  <dcterms:modified xsi:type="dcterms:W3CDTF">2016-02-10T12:37:48Z</dcterms:modified>
</cp:coreProperties>
</file>