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n\Desktop\SF\Fall Academy\Derivatives\Excel\"/>
    </mc:Choice>
  </mc:AlternateContent>
  <bookViews>
    <workbookView xWindow="0" yWindow="0" windowWidth="17895" windowHeight="9315" firstSheet="1" activeTab="1"/>
  </bookViews>
  <sheets>
    <sheet name="Futures" sheetId="1" r:id="rId1"/>
    <sheet name="Options" sheetId="2" r:id="rId2"/>
  </sheets>
  <definedNames>
    <definedName name="Contract">Futures!$C$7</definedName>
    <definedName name="Contract_USD">Futures!$C$49</definedName>
    <definedName name="InitialPrice">Futures!$H$20</definedName>
    <definedName name="Interest">Futures!$D$16</definedName>
    <definedName name="InvestedRUR">Futures!$D$17</definedName>
    <definedName name="InvestedUSD">Futures!$D$18</definedName>
    <definedName name="Long_IM">Futures!$C$8</definedName>
    <definedName name="LongIM">Futures!$C$8</definedName>
    <definedName name="LongIM_USD">Futures!$C$51</definedName>
    <definedName name="LotSize">Futures!$C$4</definedName>
    <definedName name="LotSize_USD">Futures!$C$45</definedName>
    <definedName name="LotSize_USDRUB">Futures!$C$45</definedName>
    <definedName name="LotSize_USDUSD">Futures!$C$46</definedName>
    <definedName name="No_Lots_USD">Futures!$C$44</definedName>
    <definedName name="PremiumPr">Options!$D$148</definedName>
    <definedName name="PurchasePrice">Options!$D$151</definedName>
    <definedName name="ShortIM">Futures!$C$9</definedName>
    <definedName name="ShortIM_USD">Futures!$C$52</definedName>
    <definedName name="StrikePrice">Options!$D$150</definedName>
  </definedNames>
  <calcPr calcId="162913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6" i="2" l="1"/>
  <c r="F156" i="2"/>
  <c r="G156" i="2"/>
  <c r="H156" i="2"/>
  <c r="I156" i="2"/>
  <c r="J156" i="2"/>
  <c r="K156" i="2"/>
  <c r="L156" i="2"/>
  <c r="M156" i="2"/>
  <c r="N156" i="2"/>
  <c r="O156" i="2"/>
  <c r="P156" i="2"/>
  <c r="D156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D155" i="2"/>
  <c r="J154" i="2"/>
  <c r="L154" i="2"/>
  <c r="M154" i="2"/>
  <c r="N154" i="2"/>
  <c r="O154" i="2"/>
  <c r="P154" i="2"/>
  <c r="K154" i="2"/>
  <c r="D154" i="2"/>
  <c r="E154" i="2"/>
  <c r="F154" i="2"/>
  <c r="G154" i="2"/>
  <c r="H154" i="2"/>
  <c r="I154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15" i="2"/>
  <c r="C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8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1" i="2"/>
  <c r="D81" i="1" l="1"/>
  <c r="E81" i="1"/>
  <c r="F81" i="1"/>
  <c r="I81" i="1"/>
  <c r="J81" i="1"/>
  <c r="C81" i="1"/>
  <c r="H80" i="1"/>
  <c r="H81" i="1" s="1"/>
  <c r="M80" i="1"/>
  <c r="M81" i="1" s="1"/>
  <c r="M86" i="1" s="1"/>
  <c r="L80" i="1"/>
  <c r="L81" i="1" s="1"/>
  <c r="L86" i="1" s="1"/>
  <c r="K80" i="1"/>
  <c r="K81" i="1" s="1"/>
  <c r="K86" i="1" s="1"/>
  <c r="J80" i="1"/>
  <c r="I80" i="1"/>
  <c r="D80" i="1"/>
  <c r="E80" i="1"/>
  <c r="F80" i="1"/>
  <c r="G80" i="1"/>
  <c r="G81" i="1" s="1"/>
  <c r="C80" i="1"/>
  <c r="D22" i="1"/>
  <c r="E22" i="1"/>
  <c r="F22" i="1"/>
  <c r="G22" i="1"/>
  <c r="H22" i="1"/>
  <c r="I22" i="1"/>
  <c r="J22" i="1"/>
  <c r="K22" i="1"/>
  <c r="L22" i="1"/>
  <c r="M22" i="1"/>
  <c r="C22" i="1"/>
  <c r="M79" i="1"/>
  <c r="L79" i="1"/>
  <c r="K79" i="1"/>
  <c r="J79" i="1"/>
  <c r="I79" i="1"/>
  <c r="H79" i="1"/>
  <c r="G79" i="1"/>
  <c r="F79" i="1"/>
  <c r="E79" i="1"/>
  <c r="D79" i="1"/>
  <c r="C79" i="1"/>
  <c r="D76" i="1"/>
  <c r="C53" i="1"/>
  <c r="C54" i="1" s="1"/>
  <c r="C50" i="1"/>
  <c r="C46" i="1"/>
  <c r="J82" i="1" s="1"/>
  <c r="J87" i="1" s="1"/>
  <c r="M23" i="1"/>
  <c r="M21" i="1"/>
  <c r="J23" i="1"/>
  <c r="K23" i="1"/>
  <c r="L23" i="1"/>
  <c r="I23" i="1"/>
  <c r="D23" i="1"/>
  <c r="E23" i="1"/>
  <c r="F23" i="1"/>
  <c r="G23" i="1"/>
  <c r="C23" i="1"/>
  <c r="I21" i="1"/>
  <c r="J21" i="1"/>
  <c r="K21" i="1"/>
  <c r="L21" i="1"/>
  <c r="C21" i="1"/>
  <c r="D21" i="1"/>
  <c r="E21" i="1"/>
  <c r="F21" i="1"/>
  <c r="G21" i="1"/>
  <c r="H21" i="1"/>
  <c r="D18" i="1"/>
  <c r="H23" i="1"/>
  <c r="H9" i="1"/>
  <c r="H8" i="1"/>
  <c r="G9" i="1"/>
  <c r="G8" i="1"/>
  <c r="F9" i="1"/>
  <c r="F8" i="1"/>
  <c r="E9" i="1"/>
  <c r="E8" i="1"/>
  <c r="D8" i="1"/>
  <c r="D9" i="1"/>
  <c r="I86" i="1" l="1"/>
  <c r="J86" i="1"/>
  <c r="C86" i="1"/>
  <c r="D86" i="1"/>
  <c r="H86" i="1"/>
  <c r="E86" i="1"/>
  <c r="G86" i="1"/>
  <c r="F86" i="1"/>
  <c r="O51" i="1"/>
  <c r="J83" i="1"/>
  <c r="J84" i="1" s="1"/>
  <c r="J88" i="1" s="1"/>
  <c r="H82" i="1"/>
  <c r="M82" i="1"/>
  <c r="G82" i="1"/>
  <c r="F82" i="1"/>
  <c r="E82" i="1"/>
  <c r="D82" i="1"/>
  <c r="L82" i="1"/>
  <c r="K82" i="1"/>
  <c r="C82" i="1"/>
  <c r="I82" i="1"/>
  <c r="I24" i="1"/>
  <c r="O50" i="1"/>
  <c r="N50" i="1"/>
  <c r="D50" i="1"/>
  <c r="E50" i="1"/>
  <c r="F50" i="1"/>
  <c r="G50" i="1"/>
  <c r="H50" i="1"/>
  <c r="I50" i="1"/>
  <c r="J50" i="1"/>
  <c r="K50" i="1"/>
  <c r="L50" i="1"/>
  <c r="M50" i="1"/>
  <c r="G24" i="1"/>
  <c r="O52" i="1"/>
  <c r="O53" i="1" s="1"/>
  <c r="O54" i="1" s="1"/>
  <c r="H52" i="1"/>
  <c r="H53" i="1" s="1"/>
  <c r="H54" i="1" s="1"/>
  <c r="N52" i="1"/>
  <c r="N53" i="1" s="1"/>
  <c r="N54" i="1" s="1"/>
  <c r="K52" i="1"/>
  <c r="K53" i="1" s="1"/>
  <c r="K54" i="1" s="1"/>
  <c r="J52" i="1"/>
  <c r="J53" i="1" s="1"/>
  <c r="J54" i="1" s="1"/>
  <c r="G52" i="1"/>
  <c r="G53" i="1" s="1"/>
  <c r="G54" i="1" s="1"/>
  <c r="M52" i="1"/>
  <c r="M53" i="1" s="1"/>
  <c r="M54" i="1" s="1"/>
  <c r="L52" i="1"/>
  <c r="L53" i="1" s="1"/>
  <c r="L54" i="1" s="1"/>
  <c r="I52" i="1"/>
  <c r="I53" i="1" s="1"/>
  <c r="I54" i="1" s="1"/>
  <c r="F52" i="1"/>
  <c r="F53" i="1" s="1"/>
  <c r="F54" i="1" s="1"/>
  <c r="E52" i="1"/>
  <c r="E53" i="1" s="1"/>
  <c r="E54" i="1" s="1"/>
  <c r="H51" i="1"/>
  <c r="N51" i="1"/>
  <c r="L51" i="1"/>
  <c r="J51" i="1"/>
  <c r="G51" i="1"/>
  <c r="M51" i="1"/>
  <c r="K51" i="1"/>
  <c r="I51" i="1"/>
  <c r="F51" i="1"/>
  <c r="E51" i="1"/>
  <c r="D52" i="1"/>
  <c r="D53" i="1" s="1"/>
  <c r="D54" i="1" s="1"/>
  <c r="D51" i="1"/>
  <c r="M24" i="1"/>
  <c r="J24" i="1"/>
  <c r="E24" i="1"/>
  <c r="H24" i="1"/>
  <c r="C24" i="1"/>
  <c r="L24" i="1"/>
  <c r="F24" i="1"/>
  <c r="K24" i="1"/>
  <c r="D24" i="1"/>
  <c r="I83" i="1" l="1"/>
  <c r="I84" i="1" s="1"/>
  <c r="I88" i="1" s="1"/>
  <c r="I87" i="1"/>
  <c r="C83" i="1"/>
  <c r="C84" i="1" s="1"/>
  <c r="C88" i="1" s="1"/>
  <c r="C87" i="1"/>
  <c r="K83" i="1"/>
  <c r="K84" i="1" s="1"/>
  <c r="K88" i="1" s="1"/>
  <c r="K87" i="1"/>
  <c r="E83" i="1"/>
  <c r="E84" i="1" s="1"/>
  <c r="E88" i="1" s="1"/>
  <c r="E87" i="1"/>
  <c r="L83" i="1"/>
  <c r="L84" i="1" s="1"/>
  <c r="L88" i="1" s="1"/>
  <c r="L87" i="1"/>
  <c r="D83" i="1"/>
  <c r="D84" i="1" s="1"/>
  <c r="D88" i="1" s="1"/>
  <c r="D87" i="1"/>
  <c r="F83" i="1"/>
  <c r="F84" i="1" s="1"/>
  <c r="F88" i="1" s="1"/>
  <c r="F87" i="1"/>
  <c r="M83" i="1"/>
  <c r="M84" i="1" s="1"/>
  <c r="M88" i="1" s="1"/>
  <c r="M87" i="1"/>
  <c r="H83" i="1"/>
  <c r="H84" i="1" s="1"/>
  <c r="H88" i="1" s="1"/>
  <c r="H87" i="1"/>
  <c r="G83" i="1"/>
  <c r="G84" i="1" s="1"/>
  <c r="G88" i="1" s="1"/>
  <c r="G87" i="1"/>
</calcChain>
</file>

<file path=xl/sharedStrings.xml><?xml version="1.0" encoding="utf-8"?>
<sst xmlns="http://schemas.openxmlformats.org/spreadsheetml/2006/main" count="100" uniqueCount="52">
  <si>
    <t>День</t>
  </si>
  <si>
    <t>Спот</t>
  </si>
  <si>
    <t>MA Завода</t>
  </si>
  <si>
    <t xml:space="preserve">Лот </t>
  </si>
  <si>
    <t>МА Добычика</t>
  </si>
  <si>
    <t>Futures Example 1</t>
  </si>
  <si>
    <t>Без хеджирования</t>
  </si>
  <si>
    <t>Возврат по облигациям</t>
  </si>
  <si>
    <t>Рублей за USD</t>
  </si>
  <si>
    <t>Размер инвестиций руб</t>
  </si>
  <si>
    <t>Размер инвестиций USD</t>
  </si>
  <si>
    <t>Общий Возврат USD</t>
  </si>
  <si>
    <t>Общий Возврат USD(%)</t>
  </si>
  <si>
    <t>Futures Example 2</t>
  </si>
  <si>
    <t>Изменение RUB/USD(%)</t>
  </si>
  <si>
    <t>Futures Contract</t>
  </si>
  <si>
    <t>Количество Лотов</t>
  </si>
  <si>
    <t>MA Фонда</t>
  </si>
  <si>
    <t>МА Компании</t>
  </si>
  <si>
    <t>Лот Руб</t>
  </si>
  <si>
    <t>Лот USD</t>
  </si>
  <si>
    <t>USD на 10М + МTM</t>
  </si>
  <si>
    <t>MTM МА Фонда</t>
  </si>
  <si>
    <t>Хеджирование</t>
  </si>
  <si>
    <t>Общий Возврат RUB</t>
  </si>
  <si>
    <t>Инвест. Возврат RUB</t>
  </si>
  <si>
    <t>Инвест. Возврат USD без хеджа</t>
  </si>
  <si>
    <t>Инвест. Возврат USD без хеджа(%)</t>
  </si>
  <si>
    <t>MTM МА Фонда(%)</t>
  </si>
  <si>
    <t>Options Conceptual</t>
  </si>
  <si>
    <t>Актив</t>
  </si>
  <si>
    <t>Strike</t>
  </si>
  <si>
    <t>Long Put</t>
  </si>
  <si>
    <t xml:space="preserve">Прибыль </t>
  </si>
  <si>
    <t>Влас</t>
  </si>
  <si>
    <t>Long Call</t>
  </si>
  <si>
    <t>Саша</t>
  </si>
  <si>
    <t>Без премиума</t>
  </si>
  <si>
    <t>С премиум</t>
  </si>
  <si>
    <t>Premium</t>
  </si>
  <si>
    <t>Options Real</t>
  </si>
  <si>
    <t>Short Put</t>
  </si>
  <si>
    <t>Short Call</t>
  </si>
  <si>
    <t>Options Example 1</t>
  </si>
  <si>
    <t>Current Price</t>
  </si>
  <si>
    <t>Units</t>
  </si>
  <si>
    <t>Цена Актива</t>
  </si>
  <si>
    <t>Strike Price</t>
  </si>
  <si>
    <t>Прибыль от Опциона</t>
  </si>
  <si>
    <t>Purchase Price</t>
  </si>
  <si>
    <t>Прибыль от Акции</t>
  </si>
  <si>
    <t>Общая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</si>
</sst>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8"/>
      <color theme="1"/>
      <name val="Futura New Bold"/>
      <family val="2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C000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4" fillId="3" borderId="1" xfId="0" applyFont="1" applyFill="1" applyBorder="1"/>
    <xf numFmtId="3" fontId="0" fillId="3" borderId="0" xfId="0" applyNumberFormat="1" applyFill="1"/>
    <xf numFmtId="9" fontId="0" fillId="3" borderId="0" xfId="0" applyNumberFormat="1" applyFill="1"/>
    <xf numFmtId="165" fontId="0" fillId="3" borderId="0" xfId="1" applyNumberFormat="1" applyFont="1" applyFill="1"/>
    <xf numFmtId="0" fontId="0" fillId="3" borderId="1" xfId="0" applyFill="1" applyBorder="1"/>
    <xf numFmtId="0" fontId="3" fillId="2" borderId="1" xfId="0" applyFont="1" applyFill="1" applyBorder="1"/>
    <xf numFmtId="167" fontId="7" fillId="3" borderId="0" xfId="0" applyNumberFormat="1" applyFont="1" applyFill="1"/>
    <xf numFmtId="10" fontId="0" fillId="3" borderId="0" xfId="2" applyNumberFormat="1" applyFont="1" applyFill="1"/>
    <xf numFmtId="0" fontId="4" fillId="3" borderId="4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4" fillId="3" borderId="5" xfId="0" applyFont="1" applyFill="1" applyBorder="1"/>
    <xf numFmtId="166" fontId="3" fillId="2" borderId="0" xfId="0" applyNumberFormat="1" applyFont="1" applyFill="1"/>
    <xf numFmtId="3" fontId="0" fillId="3" borderId="5" xfId="0" applyNumberFormat="1" applyFill="1" applyBorder="1"/>
    <xf numFmtId="3" fontId="7" fillId="3" borderId="0" xfId="0" applyNumberFormat="1" applyFont="1" applyFill="1"/>
    <xf numFmtId="164" fontId="3" fillId="2" borderId="1" xfId="1" applyNumberFormat="1" applyFont="1" applyFill="1" applyBorder="1"/>
    <xf numFmtId="0" fontId="7" fillId="4" borderId="1" xfId="0" applyFont="1" applyFill="1" applyBorder="1"/>
    <xf numFmtId="167" fontId="7" fillId="4" borderId="0" xfId="0" applyNumberFormat="1" applyFont="1" applyFill="1"/>
    <xf numFmtId="3" fontId="7" fillId="4" borderId="0" xfId="0" applyNumberFormat="1" applyFont="1" applyFill="1"/>
    <xf numFmtId="9" fontId="7" fillId="4" borderId="0" xfId="2" applyFont="1" applyFill="1"/>
    <xf numFmtId="3" fontId="0" fillId="3" borderId="0" xfId="2" applyNumberFormat="1" applyFont="1" applyFill="1"/>
    <xf numFmtId="167" fontId="8" fillId="4" borderId="0" xfId="0" applyNumberFormat="1" applyFont="1" applyFill="1"/>
    <xf numFmtId="3" fontId="8" fillId="4" borderId="0" xfId="0" applyNumberFormat="1" applyFont="1" applyFill="1"/>
    <xf numFmtId="3" fontId="4" fillId="4" borderId="0" xfId="2" applyNumberFormat="1" applyFont="1" applyFill="1"/>
    <xf numFmtId="3" fontId="4" fillId="4" borderId="0" xfId="0" applyNumberFormat="1" applyFont="1" applyFill="1"/>
    <xf numFmtId="10" fontId="0" fillId="3" borderId="0" xfId="0" applyNumberFormat="1" applyFill="1"/>
    <xf numFmtId="0" fontId="6" fillId="4" borderId="0" xfId="0" applyFont="1" applyFill="1"/>
    <xf numFmtId="0" fontId="9" fillId="5" borderId="3" xfId="0" applyFont="1" applyFill="1" applyBorder="1"/>
    <xf numFmtId="0" fontId="10" fillId="3" borderId="1" xfId="0" applyFont="1" applyFill="1" applyBorder="1"/>
    <xf numFmtId="0" fontId="4" fillId="3" borderId="0" xfId="0" applyFont="1" applyFill="1"/>
    <xf numFmtId="0" fontId="6" fillId="3" borderId="0" xfId="0" applyFont="1" applyFill="1"/>
    <xf numFmtId="0" fontId="0" fillId="3" borderId="0" xfId="0" applyFill="1" applyBorder="1"/>
    <xf numFmtId="0" fontId="0" fillId="3" borderId="7" xfId="0" applyFill="1" applyBorder="1"/>
    <xf numFmtId="0" fontId="9" fillId="5" borderId="8" xfId="0" applyFont="1" applyFill="1" applyBorder="1"/>
    <xf numFmtId="0" fontId="0" fillId="3" borderId="9" xfId="0" applyFill="1" applyBorder="1"/>
    <xf numFmtId="0" fontId="9" fillId="5" borderId="10" xfId="0" applyFont="1" applyFill="1" applyBorder="1"/>
    <xf numFmtId="0" fontId="9" fillId="3" borderId="0" xfId="0" applyFont="1" applyFill="1" applyBorder="1"/>
    <xf numFmtId="0" fontId="4" fillId="3" borderId="0" xfId="0" applyFont="1" applyFill="1" applyAlignment="1">
      <alignment horizontal="right"/>
    </xf>
    <xf numFmtId="0" fontId="4" fillId="4" borderId="6" xfId="0" applyFont="1" applyFill="1" applyBorder="1"/>
    <xf numFmtId="167" fontId="0" fillId="3" borderId="0" xfId="0" applyNumberFormat="1" applyFill="1"/>
    <xf numFmtId="167" fontId="0" fillId="4" borderId="11" xfId="0" applyNumberFormat="1" applyFill="1" applyBorder="1"/>
    <xf numFmtId="0" fontId="0" fillId="4" borderId="12" xfId="0" applyFill="1" applyBorder="1"/>
    <xf numFmtId="167" fontId="0" fillId="4" borderId="12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Futures!$B$24</c:f>
              <c:strCache>
                <c:ptCount val="1"/>
                <c:pt idx="0">
                  <c:v>Общий Возврат USD(%)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Futures!$C$21:$M$21</c:f>
              <c:numCache>
                <c:formatCode>0.0%</c:formatCode>
                <c:ptCount val="11"/>
                <c:pt idx="0">
                  <c:v>9.3457943925233655E-2</c:v>
                </c:pt>
                <c:pt idx="1">
                  <c:v>7.3394495412844041E-2</c:v>
                </c:pt>
                <c:pt idx="2">
                  <c:v>5.4054054054053946E-2</c:v>
                </c:pt>
                <c:pt idx="3">
                  <c:v>3.539823008849563E-2</c:v>
                </c:pt>
                <c:pt idx="4">
                  <c:v>1.7391304347825987E-2</c:v>
                </c:pt>
                <c:pt idx="5">
                  <c:v>0</c:v>
                </c:pt>
                <c:pt idx="6">
                  <c:v>-1.6806722689075682E-2</c:v>
                </c:pt>
                <c:pt idx="7">
                  <c:v>-3.3057851239669422E-2</c:v>
                </c:pt>
                <c:pt idx="8">
                  <c:v>-4.8780487804878092E-2</c:v>
                </c:pt>
                <c:pt idx="9">
                  <c:v>-6.3999999999999946E-2</c:v>
                </c:pt>
                <c:pt idx="10">
                  <c:v>-7.8740157480314932E-2</c:v>
                </c:pt>
              </c:numCache>
            </c:numRef>
          </c:cat>
          <c:val>
            <c:numRef>
              <c:f>Futures!$C$24:$M$24</c:f>
              <c:numCache>
                <c:formatCode>0.00%</c:formatCode>
                <c:ptCount val="11"/>
                <c:pt idx="0">
                  <c:v>0.10934579439252336</c:v>
                </c:pt>
                <c:pt idx="1">
                  <c:v>0.1073394495412844</c:v>
                </c:pt>
                <c:pt idx="2">
                  <c:v>0.1054054054054054</c:v>
                </c:pt>
                <c:pt idx="3">
                  <c:v>0.10353982300884955</c:v>
                </c:pt>
                <c:pt idx="4">
                  <c:v>0.1017391304347826</c:v>
                </c:pt>
                <c:pt idx="5" formatCode="0%">
                  <c:v>9.9999999999999992E-2</c:v>
                </c:pt>
                <c:pt idx="6">
                  <c:v>9.8319327731092435E-2</c:v>
                </c:pt>
                <c:pt idx="7">
                  <c:v>9.6694214876033052E-2</c:v>
                </c:pt>
                <c:pt idx="8">
                  <c:v>9.5121951219512182E-2</c:v>
                </c:pt>
                <c:pt idx="9">
                  <c:v>9.3599999999999989E-2</c:v>
                </c:pt>
                <c:pt idx="10">
                  <c:v>9.2125984251968496E-2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4-4017-B5A9-6A5FB138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37048"/>
        <c:axId val="486834752"/>
      </c:lineChart>
      <c:catAx>
        <c:axId val="486837048"/>
        <c:scaling>
          <c:orientation val="maxMin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4752"/>
        <c:crosses val="autoZero"/>
        <c:auto val="1"/>
        <c:lblAlgn val="ctr"/>
        <c:lblOffset val="100"/>
        <c:noMultiLvlLbl val="0"/>
      </c:catAx>
      <c:valAx>
        <c:axId val="486834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Options!$C$114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Options!$B$115:$B$140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Options!$C$115:$C$140</c:f>
              <c:numCache>
                <c:formatCode>General</c:formatCode>
                <c:ptCount val="26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Options!$G$114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Options!$F$115:$F$140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Options!$G$115:$G$140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-2</c:v>
                </c:pt>
                <c:pt idx="16">
                  <c:v>-4</c:v>
                </c:pt>
                <c:pt idx="17">
                  <c:v>-6</c:v>
                </c:pt>
                <c:pt idx="18">
                  <c:v>-8</c:v>
                </c:pt>
                <c:pt idx="19">
                  <c:v>-10</c:v>
                </c:pt>
                <c:pt idx="20">
                  <c:v>-12</c:v>
                </c:pt>
                <c:pt idx="21">
                  <c:v>-14</c:v>
                </c:pt>
                <c:pt idx="22">
                  <c:v>-16</c:v>
                </c:pt>
                <c:pt idx="23">
                  <c:v>-18</c:v>
                </c:pt>
                <c:pt idx="24">
                  <c:v>-20</c:v>
                </c:pt>
                <c:pt idx="25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0-4EC7-969C-1BB830EA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8834201494485546E-2"/>
          <c:y val="6.39729817802933E-2"/>
          <c:w val="0.87946746480086058"/>
          <c:h val="0.83171037249634505"/>
        </c:manualLayout>
      </c:layout>
      <c:lineChart>
        <c:grouping val="standard"/>
        <c:varyColors val="0"/>
        <c:ser>
          <c:idx val="1"/>
          <c:order val="0"/>
          <c:tx>
            <c:strRef>
              <c:f>Options!$B$155</c:f>
              <c:strCache>
                <c:ptCount val="1"/>
                <c:pt idx="0">
                  <c:v>Прибыль от Акции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Options!$D$153:$P$153</c:f>
              <c:numCache>
                <c:formatCode>General</c:formatCode>
                <c:ptCount val="12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152.5</c:v>
                </c:pt>
                <c:pt idx="6">
                  <c:v>155</c:v>
                </c:pt>
                <c:pt idx="7">
                  <c:v>160</c:v>
                </c:pt>
                <c:pt idx="8">
                  <c:v>165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</c:numCache>
            </c:numRef>
          </c:cat>
          <c:val>
            <c:numRef>
              <c:f>Options!$C$155:$P$155</c:f>
              <c:numCache>
                <c:formatCode>0.0%</c:formatCode>
                <c:ptCount val="13"/>
                <c:pt idx="1">
                  <c:v>-0.11624745071380005</c:v>
                </c:pt>
                <c:pt idx="2">
                  <c:v>-8.2256968048946222E-2</c:v>
                </c:pt>
                <c:pt idx="3">
                  <c:v>-4.8266485384092395E-2</c:v>
                </c:pt>
                <c:pt idx="4">
                  <c:v>-1.4276002719238567E-2</c:v>
                </c:pt>
                <c:pt idx="5">
                  <c:v>1.971447994561526E-2</c:v>
                </c:pt>
                <c:pt idx="6">
                  <c:v>3.6709721278042284E-2</c:v>
                </c:pt>
                <c:pt idx="7">
                  <c:v>5.3704962610469087E-2</c:v>
                </c:pt>
                <c:pt idx="8">
                  <c:v>8.7695445275322914E-2</c:v>
                </c:pt>
                <c:pt idx="9">
                  <c:v>0.12168592794017674</c:v>
                </c:pt>
                <c:pt idx="10">
                  <c:v>0.15567641060503057</c:v>
                </c:pt>
                <c:pt idx="11">
                  <c:v>0.1896668932698844</c:v>
                </c:pt>
                <c:pt idx="12">
                  <c:v>0.22365737593473822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low"/>
        <c:spPr>
          <a:noFill/>
          <a:ln w="22225" cap="flat" cmpd="sng" algn="ctr">
            <a:solidFill>
              <a:srgbClr val="44546A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2"/>
        <c:noMultiLvlLbl val="0"/>
      </c:catAx>
      <c:valAx>
        <c:axId val="5557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Options!$B$156</c:f>
              <c:strCache>
                <c:ptCount val="1"/>
                <c:pt idx="0">
                  <c:v>Общая 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Options!$D$153:$P$153</c:f>
              <c:numCache>
                <c:formatCode>General</c:formatCode>
                <c:ptCount val="12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152.5</c:v>
                </c:pt>
                <c:pt idx="6">
                  <c:v>155</c:v>
                </c:pt>
                <c:pt idx="7">
                  <c:v>160</c:v>
                </c:pt>
                <c:pt idx="8">
                  <c:v>165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</c:numCache>
            </c:numRef>
          </c:cat>
          <c:val>
            <c:numRef>
              <c:f>Options!$C$156:$P$156</c:f>
              <c:numCache>
                <c:formatCode>0.0%</c:formatCode>
                <c:ptCount val="13"/>
                <c:pt idx="1">
                  <c:v>-8.2596872875594918E-2</c:v>
                </c:pt>
                <c:pt idx="2">
                  <c:v>-4.860639021074098E-2</c:v>
                </c:pt>
                <c:pt idx="3">
                  <c:v>-1.4615907545887152E-2</c:v>
                </c:pt>
                <c:pt idx="4">
                  <c:v>1.9374575118966675E-2</c:v>
                </c:pt>
                <c:pt idx="5">
                  <c:v>5.3365057783820502E-2</c:v>
                </c:pt>
                <c:pt idx="6">
                  <c:v>7.0360299116247305E-2</c:v>
                </c:pt>
                <c:pt idx="7">
                  <c:v>7.0360299116247305E-2</c:v>
                </c:pt>
                <c:pt idx="8">
                  <c:v>7.0360299116247305E-2</c:v>
                </c:pt>
                <c:pt idx="9">
                  <c:v>7.0360299116247305E-2</c:v>
                </c:pt>
                <c:pt idx="10">
                  <c:v>7.0360299116247305E-2</c:v>
                </c:pt>
                <c:pt idx="11">
                  <c:v>7.0360299116247305E-2</c:v>
                </c:pt>
                <c:pt idx="12">
                  <c:v>7.0360299116247305E-2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2"/>
        <c:noMultiLvlLbl val="0"/>
      </c:catAx>
      <c:valAx>
        <c:axId val="5557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Futures!$B$53</c:f>
              <c:strCache>
                <c:ptCount val="1"/>
                <c:pt idx="0">
                  <c:v>MTM МА Фонда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Futures!$C$50:$O$50</c:f>
              <c:numCache>
                <c:formatCode>0.0%</c:formatCode>
                <c:ptCount val="13"/>
                <c:pt idx="0">
                  <c:v>0</c:v>
                </c:pt>
                <c:pt idx="1">
                  <c:v>-3.4071550255536653E-3</c:v>
                </c:pt>
                <c:pt idx="2">
                  <c:v>-5.1020408163264808E-3</c:v>
                </c:pt>
                <c:pt idx="3">
                  <c:v>-6.3976174761051219E-3</c:v>
                </c:pt>
                <c:pt idx="4">
                  <c:v>-1.8632054743462412E-2</c:v>
                </c:pt>
                <c:pt idx="5">
                  <c:v>-2.9662666646885105E-2</c:v>
                </c:pt>
                <c:pt idx="6">
                  <c:v>-3.173684703551638E-2</c:v>
                </c:pt>
                <c:pt idx="7">
                  <c:v>-4.0303018905292531E-2</c:v>
                </c:pt>
                <c:pt idx="8">
                  <c:v>-4.8194540228735594E-2</c:v>
                </c:pt>
                <c:pt idx="9">
                  <c:v>-6.0010836938823919E-2</c:v>
                </c:pt>
                <c:pt idx="10">
                  <c:v>-6.828440329733565E-2</c:v>
                </c:pt>
                <c:pt idx="11">
                  <c:v>-7.8740157480314932E-2</c:v>
                </c:pt>
                <c:pt idx="12">
                  <c:v>-8.1821130197906489E-2</c:v>
                </c:pt>
              </c:numCache>
            </c:numRef>
          </c:cat>
          <c:val>
            <c:numRef>
              <c:f>Futures!$C$53:$O$53</c:f>
              <c:numCache>
                <c:formatCode>#,##0</c:formatCode>
                <c:ptCount val="13"/>
                <c:pt idx="0">
                  <c:v>0</c:v>
                </c:pt>
                <c:pt idx="1">
                  <c:v>34188.034188034711</c:v>
                </c:pt>
                <c:pt idx="2">
                  <c:v>51282.051282050787</c:v>
                </c:pt>
                <c:pt idx="3">
                  <c:v>64388.105228312663</c:v>
                </c:pt>
                <c:pt idx="4">
                  <c:v>189857.99193381891</c:v>
                </c:pt>
                <c:pt idx="5">
                  <c:v>305694.37686564366</c:v>
                </c:pt>
                <c:pt idx="6">
                  <c:v>327770.88478838839</c:v>
                </c:pt>
                <c:pt idx="7">
                  <c:v>419955.67037545203</c:v>
                </c:pt>
                <c:pt idx="8">
                  <c:v>506348.6422983706</c:v>
                </c:pt>
                <c:pt idx="9">
                  <c:v>638420.51905568969</c:v>
                </c:pt>
                <c:pt idx="10">
                  <c:v>732888.91523329401</c:v>
                </c:pt>
                <c:pt idx="11">
                  <c:v>854700.85470085475</c:v>
                </c:pt>
                <c:pt idx="12">
                  <c:v>891124.08147164644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4-41C9-9725-239CB6AB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36936"/>
        <c:axId val="493638904"/>
      </c:lineChart>
      <c:catAx>
        <c:axId val="493636936"/>
        <c:scaling>
          <c:orientation val="maxMin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8904"/>
        <c:crosses val="autoZero"/>
        <c:auto val="1"/>
        <c:lblAlgn val="ctr"/>
        <c:lblOffset val="100"/>
        <c:noMultiLvlLbl val="0"/>
      </c:catAx>
      <c:valAx>
        <c:axId val="493638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Futures!$B$86</c:f>
              <c:strCache>
                <c:ptCount val="1"/>
                <c:pt idx="0">
                  <c:v>Инвест. Возврат USD без хеджа(%)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Futures!$B$79:$M$79</c15:sqref>
                  </c15:fullRef>
                </c:ext>
              </c:extLst>
              <c:f>Futures!$C$79:$M$79</c:f>
              <c:strCache>
                <c:ptCount val="11"/>
                <c:pt idx="0">
                  <c:v>9.3%</c:v>
                </c:pt>
                <c:pt idx="1">
                  <c:v>7.3%</c:v>
                </c:pt>
                <c:pt idx="2">
                  <c:v>5.4%</c:v>
                </c:pt>
                <c:pt idx="3">
                  <c:v>3.5%</c:v>
                </c:pt>
                <c:pt idx="4">
                  <c:v>1.7%</c:v>
                </c:pt>
                <c:pt idx="5">
                  <c:v>0.0%</c:v>
                </c:pt>
                <c:pt idx="6">
                  <c:v>-1.7%</c:v>
                </c:pt>
                <c:pt idx="7">
                  <c:v>-3.3%</c:v>
                </c:pt>
                <c:pt idx="8">
                  <c:v>-4.9%</c:v>
                </c:pt>
                <c:pt idx="9">
                  <c:v>-6.4%</c:v>
                </c:pt>
                <c:pt idx="10">
                  <c:v>-7.9%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Futures!$C$86:$M$86</c15:sqref>
                  </c15:fullRef>
                </c:ext>
              </c:extLst>
              <c:f>Futures!$D$86:$M$86</c:f>
              <c:numCache>
                <c:formatCode>0.00%</c:formatCode>
                <c:ptCount val="10"/>
                <c:pt idx="0">
                  <c:v>7.3394495412844041E-2</c:v>
                </c:pt>
                <c:pt idx="1">
                  <c:v>5.4054054054053946E-2</c:v>
                </c:pt>
                <c:pt idx="2">
                  <c:v>3.539823008849563E-2</c:v>
                </c:pt>
                <c:pt idx="3">
                  <c:v>1.7391304347825987E-2</c:v>
                </c:pt>
                <c:pt idx="4">
                  <c:v>0</c:v>
                </c:pt>
                <c:pt idx="5">
                  <c:v>-1.6806722689075571E-2</c:v>
                </c:pt>
                <c:pt idx="6">
                  <c:v>-3.3057851239669422E-2</c:v>
                </c:pt>
                <c:pt idx="7">
                  <c:v>-4.8780487804878092E-2</c:v>
                </c:pt>
                <c:pt idx="8">
                  <c:v>-6.3999999999999946E-2</c:v>
                </c:pt>
                <c:pt idx="9">
                  <c:v>-7.8740157480315043E-2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A-4C95-AB96-BFFF58E208CA}"/>
            </c:ext>
          </c:extLst>
        </c:ser>
        <c:ser>
          <c:idx val="2"/>
          <c:order val="1"/>
          <c:tx>
            <c:strRef>
              <c:f>Futures!$B$87</c:f>
              <c:strCache>
                <c:ptCount val="1"/>
                <c:pt idx="0">
                  <c:v>MTM МА Фонда(%)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Futures!$B$79:$M$79</c15:sqref>
                  </c15:fullRef>
                </c:ext>
              </c:extLst>
              <c:f>Futures!$C$79:$M$79</c:f>
              <c:strCache>
                <c:ptCount val="11"/>
                <c:pt idx="0">
                  <c:v>9.3%</c:v>
                </c:pt>
                <c:pt idx="1">
                  <c:v>7.3%</c:v>
                </c:pt>
                <c:pt idx="2">
                  <c:v>5.4%</c:v>
                </c:pt>
                <c:pt idx="3">
                  <c:v>3.5%</c:v>
                </c:pt>
                <c:pt idx="4">
                  <c:v>1.7%</c:v>
                </c:pt>
                <c:pt idx="5">
                  <c:v>0.0%</c:v>
                </c:pt>
                <c:pt idx="6">
                  <c:v>-1.7%</c:v>
                </c:pt>
                <c:pt idx="7">
                  <c:v>-3.3%</c:v>
                </c:pt>
                <c:pt idx="8">
                  <c:v>-4.9%</c:v>
                </c:pt>
                <c:pt idx="9">
                  <c:v>-6.4%</c:v>
                </c:pt>
                <c:pt idx="10">
                  <c:v>-7.9%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Futures!$C$87:$M$87</c15:sqref>
                  </c15:fullRef>
                </c:ext>
              </c:extLst>
              <c:f>Futures!$D$87:$M$87</c:f>
              <c:numCache>
                <c:formatCode>0.00%</c:formatCode>
                <c:ptCount val="10"/>
                <c:pt idx="0">
                  <c:v>-6.8376068376068369E-2</c:v>
                </c:pt>
                <c:pt idx="1">
                  <c:v>-5.128205128205128E-2</c:v>
                </c:pt>
                <c:pt idx="2">
                  <c:v>-3.4188034188034185E-2</c:v>
                </c:pt>
                <c:pt idx="3">
                  <c:v>-1.7094017094017092E-2</c:v>
                </c:pt>
                <c:pt idx="4">
                  <c:v>0</c:v>
                </c:pt>
                <c:pt idx="5">
                  <c:v>1.7094017094017092E-2</c:v>
                </c:pt>
                <c:pt idx="6">
                  <c:v>3.4188034188034185E-2</c:v>
                </c:pt>
                <c:pt idx="7">
                  <c:v>5.128205128205128E-2</c:v>
                </c:pt>
                <c:pt idx="8">
                  <c:v>6.8376068376068369E-2</c:v>
                </c:pt>
                <c:pt idx="9">
                  <c:v>8.5470085470085472E-2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A-4C95-AB96-BFFF58E208CA}"/>
            </c:ext>
          </c:extLst>
        </c:ser>
        <c:ser>
          <c:idx val="3"/>
          <c:order val="2"/>
          <c:tx>
            <c:strRef>
              <c:f>Futures!$B$88</c:f>
              <c:strCache>
                <c:ptCount val="1"/>
                <c:pt idx="0">
                  <c:v>Общий Возврат USD(%)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Futures!$B$79:$M$79</c15:sqref>
                  </c15:fullRef>
                </c:ext>
              </c:extLst>
              <c:f>Futures!$C$79:$M$79</c:f>
              <c:strCache>
                <c:ptCount val="11"/>
                <c:pt idx="0">
                  <c:v>9.3%</c:v>
                </c:pt>
                <c:pt idx="1">
                  <c:v>7.3%</c:v>
                </c:pt>
                <c:pt idx="2">
                  <c:v>5.4%</c:v>
                </c:pt>
                <c:pt idx="3">
                  <c:v>3.5%</c:v>
                </c:pt>
                <c:pt idx="4">
                  <c:v>1.7%</c:v>
                </c:pt>
                <c:pt idx="5">
                  <c:v>0.0%</c:v>
                </c:pt>
                <c:pt idx="6">
                  <c:v>-1.7%</c:v>
                </c:pt>
                <c:pt idx="7">
                  <c:v>-3.3%</c:v>
                </c:pt>
                <c:pt idx="8">
                  <c:v>-4.9%</c:v>
                </c:pt>
                <c:pt idx="9">
                  <c:v>-6.4%</c:v>
                </c:pt>
                <c:pt idx="10">
                  <c:v>-7.9%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Futures!$C$88:$M$88</c15:sqref>
                  </c15:fullRef>
                </c:ext>
              </c:extLst>
              <c:f>Futures!$D$88:$M$88</c:f>
              <c:numCache>
                <c:formatCode>0%</c:formatCode>
                <c:ptCount val="10"/>
                <c:pt idx="0">
                  <c:v>9.9999999999999992E-2</c:v>
                </c:pt>
                <c:pt idx="1">
                  <c:v>0.1</c:v>
                </c:pt>
                <c:pt idx="2">
                  <c:v>9.9999999999999992E-2</c:v>
                </c:pt>
                <c:pt idx="3">
                  <c:v>0.1</c:v>
                </c:pt>
                <c:pt idx="4">
                  <c:v>9.9999999999999992E-2</c:v>
                </c:pt>
                <c:pt idx="5">
                  <c:v>9.9999999999999992E-2</c:v>
                </c:pt>
                <c:pt idx="6">
                  <c:v>9.9999999999999992E-2</c:v>
                </c:pt>
                <c:pt idx="7">
                  <c:v>9.9999999999999992E-2</c:v>
                </c:pt>
                <c:pt idx="8">
                  <c:v>9.9999999999999992E-2</c:v>
                </c:pt>
                <c:pt idx="9">
                  <c:v>9.9999999999999992E-2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A-4C95-AB96-BFFF58E2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54176"/>
        <c:axId val="696855816"/>
      </c:lineChart>
      <c:catAx>
        <c:axId val="696854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55816"/>
        <c:crosses val="autoZero"/>
        <c:auto val="1"/>
        <c:lblAlgn val="ctr"/>
        <c:lblOffset val="100"/>
        <c:noMultiLvlLbl val="0"/>
      </c:catAx>
      <c:valAx>
        <c:axId val="696855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Options!$C$10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Options!$B$11:$B$36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Options!$C$11:$C$36</c:f>
              <c:numCache>
                <c:formatCode>General</c:formatCode>
                <c:ptCount val="26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Options!$G$10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Options!$F$11:$F$36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Options!$G$11:$G$36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19</c:v>
                </c:pt>
                <c:pt idx="23">
                  <c:v>21</c:v>
                </c:pt>
                <c:pt idx="24">
                  <c:v>23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Options!$C$47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Options!$B$48:$B$73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Options!$C$48:$C$73</c:f>
              <c:numCache>
                <c:formatCode>General</c:formatCode>
                <c:ptCount val="26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-2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6-4EB7-B5BF-2F7C978A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Options!$G$47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Options!$F$48:$F$73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Options!$G$48:$G$73</c:f>
              <c:numCache>
                <c:formatCode>General</c:formatCode>
                <c:ptCount val="26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Options!$C$83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Options!$B$84:$B$109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Options!$C$84:$C$109</c:f>
              <c:numCache>
                <c:formatCode>General</c:formatCode>
                <c:ptCount val="26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-2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Options!$G$83</c:f>
              <c:strCache>
                <c:ptCount val="1"/>
                <c:pt idx="0">
                  <c:v>Прибыль 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Options!$F$84:$F$109</c:f>
              <c:numCache>
                <c:formatCode>General</c:formatCode>
                <c:ptCount val="2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</c:numCache>
            </c:numRef>
          </c:cat>
          <c:val>
            <c:numRef>
              <c:f>Options!$G$84:$G$109</c:f>
              <c:numCache>
                <c:formatCode>General</c:formatCode>
                <c:ptCount val="26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A60-9E74-34ED177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46088"/>
        <c:axId val="555741824"/>
      </c:lineChart>
      <c:catAx>
        <c:axId val="5557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1824"/>
        <c:crosses val="autoZero"/>
        <c:auto val="1"/>
        <c:lblAlgn val="ctr"/>
        <c:lblOffset val="100"/>
        <c:tickLblSkip val="5"/>
        <c:noMultiLvlLbl val="0"/>
      </c:catAx>
      <c:valAx>
        <c:axId val="55574182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25</xdr:row>
      <xdr:rowOff>9525</xdr:rowOff>
    </xdr:from>
    <xdr:to>
      <xdr:col>13</xdr:col>
      <xdr:colOff>9525</xdr:colOff>
      <xdr:row>39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E07B4-5369-492C-A72E-4605EA565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55</xdr:row>
      <xdr:rowOff>0</xdr:rowOff>
    </xdr:from>
    <xdr:to>
      <xdr:col>15</xdr:col>
      <xdr:colOff>19050</xdr:colOff>
      <xdr:row>69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9608E-B99F-483D-9F5B-1660259A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72118</xdr:colOff>
      <xdr:row>88</xdr:row>
      <xdr:rowOff>151039</xdr:rowOff>
    </xdr:from>
    <xdr:to>
      <xdr:col>12</xdr:col>
      <xdr:colOff>639536</xdr:colOff>
      <xdr:row>103</xdr:row>
      <xdr:rowOff>36739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1DE5EB-D080-4365-960E-B3C542B6E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9</xdr:row>
      <xdr:rowOff>9525</xdr:rowOff>
    </xdr:from>
    <xdr:to>
      <xdr:col>19</xdr:col>
      <xdr:colOff>376238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F041B-D838-4CFB-A45E-FEFEA3121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23</xdr:row>
      <xdr:rowOff>47625</xdr:rowOff>
    </xdr:from>
    <xdr:to>
      <xdr:col>19</xdr:col>
      <xdr:colOff>438150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F664D-E780-45E0-AB23-11CD3A981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46</xdr:row>
      <xdr:rowOff>114301</xdr:rowOff>
    </xdr:from>
    <xdr:to>
      <xdr:col>18</xdr:col>
      <xdr:colOff>228599</xdr:colOff>
      <xdr:row>57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98AF0-00A1-4B84-97F4-CD347FC38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600074</xdr:colOff>
      <xdr:row>60</xdr:row>
      <xdr:rowOff>104775</xdr:rowOff>
    </xdr:from>
    <xdr:to>
      <xdr:col>18</xdr:col>
      <xdr:colOff>266699</xdr:colOff>
      <xdr:row>72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00987-0D00-400A-9C8F-ECBFFA33D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123825</xdr:colOff>
      <xdr:row>82</xdr:row>
      <xdr:rowOff>76200</xdr:rowOff>
    </xdr:from>
    <xdr:to>
      <xdr:col>17</xdr:col>
      <xdr:colOff>19050</xdr:colOff>
      <xdr:row>96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C57E2B-3EC1-4F86-BCAC-A2F3F9EAB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280146</xdr:colOff>
      <xdr:row>82</xdr:row>
      <xdr:rowOff>62753</xdr:rowOff>
    </xdr:from>
    <xdr:to>
      <xdr:col>26</xdr:col>
      <xdr:colOff>168088</xdr:colOff>
      <xdr:row>96</xdr:row>
      <xdr:rowOff>127747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7E4850-BA59-441B-B290-A6F0E8E4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504264</xdr:colOff>
      <xdr:row>114</xdr:row>
      <xdr:rowOff>6724</xdr:rowOff>
    </xdr:from>
    <xdr:to>
      <xdr:col>19</xdr:col>
      <xdr:colOff>103909</xdr:colOff>
      <xdr:row>128</xdr:row>
      <xdr:rowOff>82924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B3D6DB-14FC-4736-A042-92FE7D037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488981</xdr:colOff>
      <xdr:row>114</xdr:row>
      <xdr:rowOff>39323</xdr:rowOff>
    </xdr:from>
    <xdr:to>
      <xdr:col>31</xdr:col>
      <xdr:colOff>86591</xdr:colOff>
      <xdr:row>128</xdr:row>
      <xdr:rowOff>69274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DB855B-BBFC-45A8-9D7C-DEF775F59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7246</xdr:colOff>
      <xdr:row>156</xdr:row>
      <xdr:rowOff>137507</xdr:rowOff>
    </xdr:from>
    <xdr:to>
      <xdr:col>11</xdr:col>
      <xdr:colOff>571499</xdr:colOff>
      <xdr:row>171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A504AB-6E0C-411C-BA7F-C5B27A44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604469</xdr:colOff>
      <xdr:row>172</xdr:row>
      <xdr:rowOff>90122</xdr:rowOff>
    </xdr:from>
    <xdr:to>
      <xdr:col>12</xdr:col>
      <xdr:colOff>32971</xdr:colOff>
      <xdr:row>186</xdr:row>
      <xdr:rowOff>158995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0F1F24-7FE3-4EE3-A416-8B772F25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8"/>
  <sheetViews>
    <sheetView topLeftCell="A4" zoomScaleNormal="100" workbookViewId="0">
      <selection activeCell="B12" sqref="B12:D12"/>
    </sheetView>
  </sheetViews>
  <sheetFormatPr defaultRowHeight="15" x14ac:dyDescent="0.25"/>
  <cols>
    <col min="1" max="1" width="4" style="4" customWidth="1"/>
    <col min="2" max="2" width="32.5703125" style="4" customWidth="1"/>
    <col min="3" max="3" width="11.7109375" style="4" bestFit="1" customWidth="1"/>
    <col min="4" max="4" width="12.5703125" style="4" bestFit="1" customWidth="1"/>
    <col min="5" max="6" width="10.140625" style="4" bestFit="1" customWidth="1"/>
    <col min="7" max="7" width="10" style="4" customWidth="1"/>
    <col min="8" max="8" width="10.42578125" style="4" customWidth="1"/>
    <col min="9" max="13" width="10.140625" style="4" bestFit="1" customWidth="1"/>
    <col min="14" max="14" width="9.5703125" style="4" customWidth="1"/>
    <col min="15" max="15" width="11" style="4" customWidth="1"/>
    <col min="16" max="16384" width="9.140625" style="4"/>
  </cols>
  <sheetData>
    <row r="2" spans="2:8" ht="23.25" x14ac:dyDescent="0.35">
      <c r="B2" s="33" t="s">
        <v>5</v>
      </c>
      <c r="C2" s="33"/>
      <c r="D2" s="33"/>
    </row>
    <row r="3" spans="2:8" ht="15.75" thickBot="1" x14ac:dyDescent="0.3"/>
    <row r="4" spans="2:8" ht="15.75" thickBot="1" x14ac:dyDescent="0.3">
      <c r="B4" s="5" t="s">
        <v>3</v>
      </c>
      <c r="C4" s="6">
        <v>1000</v>
      </c>
    </row>
    <row r="6" spans="2:8" ht="15.75" thickBot="1" x14ac:dyDescent="0.3">
      <c r="B6" s="7" t="s">
        <v>0</v>
      </c>
      <c r="C6" s="7">
        <v>0</v>
      </c>
      <c r="D6" s="7">
        <v>5</v>
      </c>
      <c r="E6" s="7">
        <v>10</v>
      </c>
      <c r="F6" s="7">
        <v>15</v>
      </c>
      <c r="G6" s="7">
        <v>60</v>
      </c>
      <c r="H6" s="7">
        <v>61</v>
      </c>
    </row>
    <row r="7" spans="2:8" x14ac:dyDescent="0.25">
      <c r="B7" s="2" t="s">
        <v>1</v>
      </c>
      <c r="C7" s="2">
        <v>57</v>
      </c>
      <c r="D7" s="2">
        <v>58</v>
      </c>
      <c r="E7" s="2">
        <v>59</v>
      </c>
      <c r="F7" s="2">
        <v>55</v>
      </c>
      <c r="G7" s="2">
        <v>65</v>
      </c>
      <c r="H7" s="2">
        <v>64</v>
      </c>
    </row>
    <row r="8" spans="2:8" x14ac:dyDescent="0.25">
      <c r="B8" s="4" t="s">
        <v>2</v>
      </c>
      <c r="C8" s="8">
        <v>10000</v>
      </c>
      <c r="D8" s="8">
        <f>LongIM-(Contract-D7)*LotSize</f>
        <v>11000</v>
      </c>
      <c r="E8" s="8">
        <f>LongIM-(Contract-E7)*LotSize</f>
        <v>12000</v>
      </c>
      <c r="F8" s="8">
        <f>LongIM-(Contract-F7)*LotSize</f>
        <v>8000</v>
      </c>
      <c r="G8" s="8">
        <f>LongIM-(Contract-G7)*LotSize</f>
        <v>18000</v>
      </c>
      <c r="H8" s="8">
        <f>LongIM-(Contract-H7)*LotSize</f>
        <v>17000</v>
      </c>
    </row>
    <row r="9" spans="2:8" x14ac:dyDescent="0.25">
      <c r="B9" s="4" t="s">
        <v>4</v>
      </c>
      <c r="C9" s="8">
        <v>10000</v>
      </c>
      <c r="D9" s="8">
        <f>ShortIM-(D7 - Contract)*LotSize</f>
        <v>9000</v>
      </c>
      <c r="E9" s="8">
        <f>ShortIM-(E7 - Contract)*LotSize</f>
        <v>8000</v>
      </c>
      <c r="F9" s="8">
        <f>ShortIM-(F7 - Contract)*LotSize</f>
        <v>12000</v>
      </c>
      <c r="G9" s="8">
        <f>ShortIM-(G7 - Contract)*LotSize</f>
        <v>2000</v>
      </c>
      <c r="H9" s="8">
        <f>ShortIM+8000-(H7 - Contract)*LotSize</f>
        <v>11000</v>
      </c>
    </row>
    <row r="12" spans="2:8" ht="23.25" x14ac:dyDescent="0.35">
      <c r="B12" s="33" t="s">
        <v>13</v>
      </c>
      <c r="C12" s="33"/>
      <c r="D12" s="33"/>
    </row>
    <row r="14" spans="2:8" ht="15.75" thickBot="1" x14ac:dyDescent="0.3">
      <c r="B14" s="15" t="s">
        <v>6</v>
      </c>
      <c r="C14" s="16"/>
    </row>
    <row r="16" spans="2:8" x14ac:dyDescent="0.25">
      <c r="B16" s="4" t="s">
        <v>7</v>
      </c>
      <c r="D16" s="9">
        <v>0.1</v>
      </c>
    </row>
    <row r="17" spans="2:13" x14ac:dyDescent="0.25">
      <c r="B17" s="4" t="s">
        <v>9</v>
      </c>
      <c r="D17" s="10">
        <v>100000000</v>
      </c>
    </row>
    <row r="18" spans="2:13" x14ac:dyDescent="0.25">
      <c r="B18" s="4" t="s">
        <v>10</v>
      </c>
      <c r="D18" s="10">
        <f>InvestedRUR/InitialPrice</f>
        <v>1709401.7094017095</v>
      </c>
    </row>
    <row r="19" spans="2:13" x14ac:dyDescent="0.25">
      <c r="D19" s="10"/>
    </row>
    <row r="20" spans="2:13" ht="15.75" thickBot="1" x14ac:dyDescent="0.3">
      <c r="B20" s="12" t="s">
        <v>8</v>
      </c>
      <c r="C20" s="12">
        <v>53.5</v>
      </c>
      <c r="D20" s="12">
        <v>54.5</v>
      </c>
      <c r="E20" s="12">
        <v>55.5</v>
      </c>
      <c r="F20" s="12">
        <v>56.5</v>
      </c>
      <c r="G20" s="12">
        <v>57.5</v>
      </c>
      <c r="H20" s="23">
        <v>58.5</v>
      </c>
      <c r="I20" s="22">
        <v>59.5</v>
      </c>
      <c r="J20" s="12">
        <v>60.5</v>
      </c>
      <c r="K20" s="22">
        <v>61.5</v>
      </c>
      <c r="L20" s="12">
        <v>62.5</v>
      </c>
      <c r="M20" s="22">
        <v>63.5</v>
      </c>
    </row>
    <row r="21" spans="2:13" x14ac:dyDescent="0.25">
      <c r="B21" s="4" t="s">
        <v>14</v>
      </c>
      <c r="C21" s="13">
        <f t="shared" ref="C21:M21" si="0">InitialPrice/C20-1</f>
        <v>9.3457943925233655E-2</v>
      </c>
      <c r="D21" s="13">
        <f t="shared" si="0"/>
        <v>7.3394495412844041E-2</v>
      </c>
      <c r="E21" s="13">
        <f t="shared" si="0"/>
        <v>5.4054054054053946E-2</v>
      </c>
      <c r="F21" s="13">
        <f t="shared" si="0"/>
        <v>3.539823008849563E-2</v>
      </c>
      <c r="G21" s="13">
        <f t="shared" si="0"/>
        <v>1.7391304347825987E-2</v>
      </c>
      <c r="H21" s="24">
        <f t="shared" si="0"/>
        <v>0</v>
      </c>
      <c r="I21" s="13">
        <f t="shared" si="0"/>
        <v>-1.6806722689075682E-2</v>
      </c>
      <c r="J21" s="13">
        <f t="shared" si="0"/>
        <v>-3.3057851239669422E-2</v>
      </c>
      <c r="K21" s="13">
        <f t="shared" si="0"/>
        <v>-4.8780487804878092E-2</v>
      </c>
      <c r="L21" s="13">
        <f t="shared" si="0"/>
        <v>-6.3999999999999946E-2</v>
      </c>
      <c r="M21" s="13">
        <f t="shared" si="0"/>
        <v>-7.8740157480314932E-2</v>
      </c>
    </row>
    <row r="22" spans="2:13" x14ac:dyDescent="0.25">
      <c r="B22" s="4" t="s">
        <v>24</v>
      </c>
      <c r="C22" s="21">
        <f t="shared" ref="C22:M22" si="1">Interest*InvestedRUR</f>
        <v>10000000</v>
      </c>
      <c r="D22" s="21">
        <f t="shared" si="1"/>
        <v>10000000</v>
      </c>
      <c r="E22" s="21">
        <f t="shared" si="1"/>
        <v>10000000</v>
      </c>
      <c r="F22" s="21">
        <f t="shared" si="1"/>
        <v>10000000</v>
      </c>
      <c r="G22" s="21">
        <f t="shared" si="1"/>
        <v>10000000</v>
      </c>
      <c r="H22" s="25">
        <f t="shared" si="1"/>
        <v>10000000</v>
      </c>
      <c r="I22" s="21">
        <f t="shared" si="1"/>
        <v>10000000</v>
      </c>
      <c r="J22" s="21">
        <f t="shared" si="1"/>
        <v>10000000</v>
      </c>
      <c r="K22" s="21">
        <f t="shared" si="1"/>
        <v>10000000</v>
      </c>
      <c r="L22" s="21">
        <f t="shared" si="1"/>
        <v>10000000</v>
      </c>
      <c r="M22" s="21">
        <f t="shared" si="1"/>
        <v>10000000</v>
      </c>
    </row>
    <row r="23" spans="2:13" x14ac:dyDescent="0.25">
      <c r="B23" s="4" t="s">
        <v>11</v>
      </c>
      <c r="C23" s="8">
        <f t="shared" ref="C23:M23" si="2">(InvestedRUR*Interest)/C20</f>
        <v>186915.88785046729</v>
      </c>
      <c r="D23" s="8">
        <f t="shared" si="2"/>
        <v>183486.23853211009</v>
      </c>
      <c r="E23" s="8">
        <f t="shared" si="2"/>
        <v>180180.18018018018</v>
      </c>
      <c r="F23" s="8">
        <f t="shared" si="2"/>
        <v>176991.15044247787</v>
      </c>
      <c r="G23" s="8">
        <f t="shared" si="2"/>
        <v>173913.04347826086</v>
      </c>
      <c r="H23" s="25">
        <f t="shared" si="2"/>
        <v>170940.17094017094</v>
      </c>
      <c r="I23" s="8">
        <f t="shared" si="2"/>
        <v>168067.22689075631</v>
      </c>
      <c r="J23" s="8">
        <f t="shared" si="2"/>
        <v>165289.25619834711</v>
      </c>
      <c r="K23" s="8">
        <f t="shared" si="2"/>
        <v>162601.62601626015</v>
      </c>
      <c r="L23" s="8">
        <f t="shared" si="2"/>
        <v>160000</v>
      </c>
      <c r="M23" s="8">
        <f t="shared" si="2"/>
        <v>157480.31496062991</v>
      </c>
    </row>
    <row r="24" spans="2:13" x14ac:dyDescent="0.25">
      <c r="B24" s="4" t="s">
        <v>12</v>
      </c>
      <c r="C24" s="14">
        <f t="shared" ref="C24:M24" si="3">C23/InvestedUSD</f>
        <v>0.10934579439252336</v>
      </c>
      <c r="D24" s="14">
        <f t="shared" si="3"/>
        <v>0.1073394495412844</v>
      </c>
      <c r="E24" s="14">
        <f t="shared" si="3"/>
        <v>0.1054054054054054</v>
      </c>
      <c r="F24" s="14">
        <f t="shared" si="3"/>
        <v>0.10353982300884955</v>
      </c>
      <c r="G24" s="14">
        <f t="shared" si="3"/>
        <v>0.1017391304347826</v>
      </c>
      <c r="H24" s="26">
        <f t="shared" si="3"/>
        <v>9.9999999999999992E-2</v>
      </c>
      <c r="I24" s="14">
        <f t="shared" si="3"/>
        <v>9.8319327731092435E-2</v>
      </c>
      <c r="J24" s="14">
        <f t="shared" si="3"/>
        <v>9.6694214876033052E-2</v>
      </c>
      <c r="K24" s="14">
        <f t="shared" si="3"/>
        <v>9.5121951219512182E-2</v>
      </c>
      <c r="L24" s="14">
        <f t="shared" si="3"/>
        <v>9.3599999999999989E-2</v>
      </c>
      <c r="M24" s="14">
        <f t="shared" si="3"/>
        <v>9.2125984251968496E-2</v>
      </c>
    </row>
    <row r="42" spans="2:15" ht="15.75" thickBot="1" x14ac:dyDescent="0.3">
      <c r="B42" s="15" t="s">
        <v>15</v>
      </c>
      <c r="C42" s="16"/>
    </row>
    <row r="44" spans="2:15" x14ac:dyDescent="0.25">
      <c r="B44" s="4" t="s">
        <v>16</v>
      </c>
      <c r="C44" s="8">
        <v>4</v>
      </c>
    </row>
    <row r="45" spans="2:15" x14ac:dyDescent="0.25">
      <c r="B45" s="4" t="s">
        <v>19</v>
      </c>
      <c r="C45" s="8">
        <v>2500000</v>
      </c>
    </row>
    <row r="46" spans="2:15" x14ac:dyDescent="0.25">
      <c r="B46" s="4" t="s">
        <v>20</v>
      </c>
      <c r="C46" s="8">
        <f>(C44*LotSize_USD)/Contract_USD</f>
        <v>170940.17094017094</v>
      </c>
    </row>
    <row r="48" spans="2:15" ht="15.75" thickBot="1" x14ac:dyDescent="0.3">
      <c r="B48" s="18" t="s">
        <v>0</v>
      </c>
      <c r="C48" s="18">
        <v>0</v>
      </c>
      <c r="D48" s="18">
        <v>30</v>
      </c>
      <c r="E48" s="18">
        <v>60</v>
      </c>
      <c r="F48" s="18">
        <v>90</v>
      </c>
      <c r="G48" s="18">
        <v>120</v>
      </c>
      <c r="H48" s="18">
        <v>150</v>
      </c>
      <c r="I48" s="18">
        <v>180</v>
      </c>
      <c r="J48" s="18">
        <v>210</v>
      </c>
      <c r="K48" s="18">
        <v>240</v>
      </c>
      <c r="L48" s="18">
        <v>270</v>
      </c>
      <c r="M48" s="18">
        <v>300</v>
      </c>
      <c r="N48" s="18">
        <v>330</v>
      </c>
      <c r="O48" s="18">
        <v>360</v>
      </c>
    </row>
    <row r="49" spans="2:15" ht="15.75" thickTop="1" x14ac:dyDescent="0.25">
      <c r="B49" s="3" t="s">
        <v>1</v>
      </c>
      <c r="C49" s="1">
        <v>58.5</v>
      </c>
      <c r="D49" s="19">
        <v>58.7</v>
      </c>
      <c r="E49" s="19">
        <v>58.8</v>
      </c>
      <c r="F49" s="19">
        <v>58.876670415585629</v>
      </c>
      <c r="G49" s="19">
        <v>59.610669252812841</v>
      </c>
      <c r="H49" s="19">
        <v>60.288312104664016</v>
      </c>
      <c r="I49" s="19">
        <v>60.417459676012072</v>
      </c>
      <c r="J49" s="19">
        <v>60.956740671696394</v>
      </c>
      <c r="K49" s="19">
        <v>61.462139557445468</v>
      </c>
      <c r="L49" s="19">
        <v>62.234760036475784</v>
      </c>
      <c r="M49" s="19">
        <v>62.787400154114771</v>
      </c>
      <c r="N49" s="19">
        <v>63.5</v>
      </c>
      <c r="O49" s="19">
        <v>63.713075876609132</v>
      </c>
    </row>
    <row r="50" spans="2:15" x14ac:dyDescent="0.25">
      <c r="B50" s="4" t="s">
        <v>14</v>
      </c>
      <c r="C50" s="13">
        <f t="shared" ref="C50:O50" si="4">InitialPrice/C49-1</f>
        <v>0</v>
      </c>
      <c r="D50" s="13">
        <f t="shared" si="4"/>
        <v>-3.4071550255536653E-3</v>
      </c>
      <c r="E50" s="13">
        <f t="shared" si="4"/>
        <v>-5.1020408163264808E-3</v>
      </c>
      <c r="F50" s="13">
        <f t="shared" si="4"/>
        <v>-6.3976174761051219E-3</v>
      </c>
      <c r="G50" s="13">
        <f t="shared" si="4"/>
        <v>-1.8632054743462412E-2</v>
      </c>
      <c r="H50" s="13">
        <f t="shared" si="4"/>
        <v>-2.9662666646885105E-2</v>
      </c>
      <c r="I50" s="13">
        <f t="shared" si="4"/>
        <v>-3.173684703551638E-2</v>
      </c>
      <c r="J50" s="13">
        <f t="shared" si="4"/>
        <v>-4.0303018905292531E-2</v>
      </c>
      <c r="K50" s="13">
        <f t="shared" si="4"/>
        <v>-4.8194540228735594E-2</v>
      </c>
      <c r="L50" s="13">
        <f t="shared" si="4"/>
        <v>-6.0010836938823919E-2</v>
      </c>
      <c r="M50" s="13">
        <f t="shared" si="4"/>
        <v>-6.828440329733565E-2</v>
      </c>
      <c r="N50" s="13">
        <f t="shared" si="4"/>
        <v>-7.8740157480314932E-2</v>
      </c>
      <c r="O50" s="13">
        <f t="shared" si="4"/>
        <v>-8.1821130197906489E-2</v>
      </c>
    </row>
    <row r="51" spans="2:15" x14ac:dyDescent="0.25">
      <c r="B51" s="4" t="s">
        <v>18</v>
      </c>
      <c r="C51" s="8">
        <v>500000</v>
      </c>
      <c r="D51" s="8">
        <f t="shared" ref="D51:O51" si="5">LongIM_USD-(D49-Contract_USD)*LotSize_USDUSD</f>
        <v>465811.96581196535</v>
      </c>
      <c r="E51" s="8">
        <f t="shared" si="5"/>
        <v>448717.94871794921</v>
      </c>
      <c r="F51" s="8">
        <f t="shared" si="5"/>
        <v>435611.8947716874</v>
      </c>
      <c r="G51" s="8">
        <f t="shared" si="5"/>
        <v>310142.00806618109</v>
      </c>
      <c r="H51" s="8">
        <f t="shared" si="5"/>
        <v>194305.62313435634</v>
      </c>
      <c r="I51" s="8">
        <f t="shared" si="5"/>
        <v>172229.11521161161</v>
      </c>
      <c r="J51" s="8">
        <f t="shared" si="5"/>
        <v>80044.329624547972</v>
      </c>
      <c r="K51" s="8">
        <f t="shared" si="5"/>
        <v>-6348.6422983705997</v>
      </c>
      <c r="L51" s="8">
        <f t="shared" si="5"/>
        <v>-138420.51905568957</v>
      </c>
      <c r="M51" s="8">
        <f t="shared" si="5"/>
        <v>-232888.91523329413</v>
      </c>
      <c r="N51" s="8">
        <f t="shared" si="5"/>
        <v>-354700.85470085475</v>
      </c>
      <c r="O51" s="8">
        <f t="shared" si="5"/>
        <v>-391124.08147164644</v>
      </c>
    </row>
    <row r="52" spans="2:15" ht="15.75" thickBot="1" x14ac:dyDescent="0.3">
      <c r="B52" s="17" t="s">
        <v>17</v>
      </c>
      <c r="C52" s="20">
        <v>500000</v>
      </c>
      <c r="D52" s="20">
        <f t="shared" ref="D52:O52" si="6">ShortIM_USD-(Contract_USD-D49)*LotSize_USDUSD</f>
        <v>534188.03418803471</v>
      </c>
      <c r="E52" s="20">
        <f t="shared" si="6"/>
        <v>551282.05128205079</v>
      </c>
      <c r="F52" s="20">
        <f t="shared" si="6"/>
        <v>564388.10522831266</v>
      </c>
      <c r="G52" s="20">
        <f t="shared" si="6"/>
        <v>689857.99193381891</v>
      </c>
      <c r="H52" s="20">
        <f t="shared" si="6"/>
        <v>805694.37686564366</v>
      </c>
      <c r="I52" s="20">
        <f t="shared" si="6"/>
        <v>827770.88478838839</v>
      </c>
      <c r="J52" s="20">
        <f t="shared" si="6"/>
        <v>919955.67037545203</v>
      </c>
      <c r="K52" s="20">
        <f t="shared" si="6"/>
        <v>1006348.6422983706</v>
      </c>
      <c r="L52" s="20">
        <f t="shared" si="6"/>
        <v>1138420.5190556897</v>
      </c>
      <c r="M52" s="20">
        <f t="shared" si="6"/>
        <v>1232888.915233294</v>
      </c>
      <c r="N52" s="20">
        <f t="shared" si="6"/>
        <v>1354700.8547008547</v>
      </c>
      <c r="O52" s="20">
        <f t="shared" si="6"/>
        <v>1391124.0814716464</v>
      </c>
    </row>
    <row r="53" spans="2:15" ht="15.75" thickTop="1" x14ac:dyDescent="0.25">
      <c r="B53" s="4" t="s">
        <v>22</v>
      </c>
      <c r="C53" s="8">
        <f t="shared" ref="C53:O53" si="7">C52-ShortIM_USD</f>
        <v>0</v>
      </c>
      <c r="D53" s="8">
        <f t="shared" si="7"/>
        <v>34188.034188034711</v>
      </c>
      <c r="E53" s="8">
        <f t="shared" si="7"/>
        <v>51282.051282050787</v>
      </c>
      <c r="F53" s="8">
        <f t="shared" si="7"/>
        <v>64388.105228312663</v>
      </c>
      <c r="G53" s="8">
        <f t="shared" si="7"/>
        <v>189857.99193381891</v>
      </c>
      <c r="H53" s="8">
        <f t="shared" si="7"/>
        <v>305694.37686564366</v>
      </c>
      <c r="I53" s="8">
        <f t="shared" si="7"/>
        <v>327770.88478838839</v>
      </c>
      <c r="J53" s="8">
        <f t="shared" si="7"/>
        <v>419955.67037545203</v>
      </c>
      <c r="K53" s="8">
        <f t="shared" si="7"/>
        <v>506348.6422983706</v>
      </c>
      <c r="L53" s="8">
        <f t="shared" si="7"/>
        <v>638420.51905568969</v>
      </c>
      <c r="M53" s="8">
        <f t="shared" si="7"/>
        <v>732888.91523329401</v>
      </c>
      <c r="N53" s="8">
        <f t="shared" si="7"/>
        <v>854700.85470085475</v>
      </c>
      <c r="O53" s="8">
        <f t="shared" si="7"/>
        <v>891124.08147164644</v>
      </c>
    </row>
    <row r="54" spans="2:15" x14ac:dyDescent="0.25">
      <c r="B54" s="4" t="s">
        <v>21</v>
      </c>
      <c r="C54" s="8">
        <f t="shared" ref="C54:O54" si="8">(No_Lots_USD*LotSize_USD+C53)/C49</f>
        <v>170940.17094017094</v>
      </c>
      <c r="D54" s="8">
        <f t="shared" si="8"/>
        <v>170940.17094017094</v>
      </c>
      <c r="E54" s="8">
        <f t="shared" si="8"/>
        <v>170940.17094017094</v>
      </c>
      <c r="F54" s="8">
        <f t="shared" si="8"/>
        <v>170940.17094017094</v>
      </c>
      <c r="G54" s="8">
        <f t="shared" si="8"/>
        <v>170940.17094017094</v>
      </c>
      <c r="H54" s="8">
        <f t="shared" si="8"/>
        <v>170940.17094017094</v>
      </c>
      <c r="I54" s="8">
        <f t="shared" si="8"/>
        <v>170940.17094017094</v>
      </c>
      <c r="J54" s="8">
        <f t="shared" si="8"/>
        <v>170940.17094017094</v>
      </c>
      <c r="K54" s="8">
        <f t="shared" si="8"/>
        <v>170940.17094017094</v>
      </c>
      <c r="L54" s="8">
        <f t="shared" si="8"/>
        <v>170940.17094017097</v>
      </c>
      <c r="M54" s="8">
        <f t="shared" si="8"/>
        <v>170940.17094017094</v>
      </c>
      <c r="N54" s="8">
        <f t="shared" si="8"/>
        <v>170940.17094017094</v>
      </c>
      <c r="O54" s="8">
        <f t="shared" si="8"/>
        <v>170940.17094017094</v>
      </c>
    </row>
    <row r="72" spans="2:13" ht="15.75" thickBot="1" x14ac:dyDescent="0.3">
      <c r="B72" s="15" t="s">
        <v>23</v>
      </c>
      <c r="C72" s="16"/>
    </row>
    <row r="74" spans="2:13" x14ac:dyDescent="0.25">
      <c r="B74" s="4" t="s">
        <v>7</v>
      </c>
      <c r="D74" s="9">
        <v>0.1</v>
      </c>
    </row>
    <row r="75" spans="2:13" x14ac:dyDescent="0.25">
      <c r="B75" s="4" t="s">
        <v>9</v>
      </c>
      <c r="D75" s="10">
        <v>100000000</v>
      </c>
    </row>
    <row r="76" spans="2:13" x14ac:dyDescent="0.25">
      <c r="B76" s="4" t="s">
        <v>10</v>
      </c>
      <c r="D76" s="10">
        <f>InvestedRUR/InitialPrice</f>
        <v>1709401.7094017095</v>
      </c>
    </row>
    <row r="77" spans="2:13" x14ac:dyDescent="0.25">
      <c r="D77" s="10"/>
    </row>
    <row r="78" spans="2:13" ht="15.75" thickBot="1" x14ac:dyDescent="0.3">
      <c r="B78" s="11" t="s">
        <v>8</v>
      </c>
      <c r="C78" s="12">
        <v>53.5</v>
      </c>
      <c r="D78" s="12">
        <v>54.5</v>
      </c>
      <c r="E78" s="12">
        <v>55.5</v>
      </c>
      <c r="F78" s="12">
        <v>56.5</v>
      </c>
      <c r="G78" s="12">
        <v>57.5</v>
      </c>
      <c r="H78" s="12">
        <v>58.5</v>
      </c>
      <c r="I78" s="22">
        <v>59.5</v>
      </c>
      <c r="J78" s="12">
        <v>60.5</v>
      </c>
      <c r="K78" s="22">
        <v>61.5</v>
      </c>
      <c r="L78" s="12">
        <v>62.5</v>
      </c>
      <c r="M78" s="22">
        <v>63.5</v>
      </c>
    </row>
    <row r="79" spans="2:13" x14ac:dyDescent="0.25">
      <c r="B79" s="4" t="s">
        <v>14</v>
      </c>
      <c r="C79" s="13">
        <f t="shared" ref="C79:M79" si="9">InitialPrice/C78-1</f>
        <v>9.3457943925233655E-2</v>
      </c>
      <c r="D79" s="13">
        <f t="shared" si="9"/>
        <v>7.3394495412844041E-2</v>
      </c>
      <c r="E79" s="13">
        <f t="shared" si="9"/>
        <v>5.4054054054053946E-2</v>
      </c>
      <c r="F79" s="13">
        <f t="shared" si="9"/>
        <v>3.539823008849563E-2</v>
      </c>
      <c r="G79" s="13">
        <f t="shared" si="9"/>
        <v>1.7391304347825987E-2</v>
      </c>
      <c r="H79" s="28">
        <f t="shared" si="9"/>
        <v>0</v>
      </c>
      <c r="I79" s="13">
        <f t="shared" si="9"/>
        <v>-1.6806722689075682E-2</v>
      </c>
      <c r="J79" s="13">
        <f t="shared" si="9"/>
        <v>-3.3057851239669422E-2</v>
      </c>
      <c r="K79" s="13">
        <f t="shared" si="9"/>
        <v>-4.8780487804878092E-2</v>
      </c>
      <c r="L79" s="13">
        <f t="shared" si="9"/>
        <v>-6.3999999999999946E-2</v>
      </c>
      <c r="M79" s="13">
        <f t="shared" si="9"/>
        <v>-7.8740157480314932E-2</v>
      </c>
    </row>
    <row r="80" spans="2:13" x14ac:dyDescent="0.25">
      <c r="B80" s="4" t="s">
        <v>25</v>
      </c>
      <c r="C80" s="21">
        <f>$D$74*$D$75</f>
        <v>10000000</v>
      </c>
      <c r="D80" s="21">
        <f t="shared" ref="D80:M80" si="10">$D$74*$D$75</f>
        <v>10000000</v>
      </c>
      <c r="E80" s="21">
        <f t="shared" si="10"/>
        <v>10000000</v>
      </c>
      <c r="F80" s="21">
        <f t="shared" si="10"/>
        <v>10000000</v>
      </c>
      <c r="G80" s="21">
        <f t="shared" si="10"/>
        <v>10000000</v>
      </c>
      <c r="H80" s="29">
        <f>$D$74*$D$75</f>
        <v>10000000</v>
      </c>
      <c r="I80" s="21">
        <f t="shared" si="10"/>
        <v>10000000</v>
      </c>
      <c r="J80" s="21">
        <f t="shared" si="10"/>
        <v>10000000</v>
      </c>
      <c r="K80" s="21">
        <f t="shared" si="10"/>
        <v>10000000</v>
      </c>
      <c r="L80" s="21">
        <f t="shared" si="10"/>
        <v>10000000</v>
      </c>
      <c r="M80" s="21">
        <f t="shared" si="10"/>
        <v>10000000</v>
      </c>
    </row>
    <row r="81" spans="2:13" x14ac:dyDescent="0.25">
      <c r="B81" s="4" t="s">
        <v>26</v>
      </c>
      <c r="C81" s="21">
        <f>C80/C78</f>
        <v>186915.88785046729</v>
      </c>
      <c r="D81" s="21">
        <f t="shared" ref="D81:M81" si="11">D80/D78</f>
        <v>183486.23853211009</v>
      </c>
      <c r="E81" s="21">
        <f t="shared" si="11"/>
        <v>180180.18018018018</v>
      </c>
      <c r="F81" s="21">
        <f t="shared" si="11"/>
        <v>176991.15044247787</v>
      </c>
      <c r="G81" s="21">
        <f t="shared" si="11"/>
        <v>173913.04347826086</v>
      </c>
      <c r="H81" s="29">
        <f t="shared" si="11"/>
        <v>170940.17094017094</v>
      </c>
      <c r="I81" s="21">
        <f t="shared" si="11"/>
        <v>168067.22689075631</v>
      </c>
      <c r="J81" s="21">
        <f t="shared" si="11"/>
        <v>165289.25619834711</v>
      </c>
      <c r="K81" s="21">
        <f t="shared" si="11"/>
        <v>162601.62601626015</v>
      </c>
      <c r="L81" s="21">
        <f t="shared" si="11"/>
        <v>160000</v>
      </c>
      <c r="M81" s="21">
        <f t="shared" si="11"/>
        <v>157480.31496062991</v>
      </c>
    </row>
    <row r="82" spans="2:13" x14ac:dyDescent="0.25">
      <c r="B82" s="4" t="s">
        <v>22</v>
      </c>
      <c r="C82" s="8">
        <f t="shared" ref="C82:M82" si="12">-(Contract_USD-C78)*LotSize_USDUSD</f>
        <v>-854700.85470085475</v>
      </c>
      <c r="D82" s="8">
        <f t="shared" si="12"/>
        <v>-683760.68376068375</v>
      </c>
      <c r="E82" s="8">
        <f t="shared" si="12"/>
        <v>-512820.51282051281</v>
      </c>
      <c r="F82" s="8">
        <f t="shared" si="12"/>
        <v>-341880.34188034188</v>
      </c>
      <c r="G82" s="8">
        <f t="shared" si="12"/>
        <v>-170940.17094017094</v>
      </c>
      <c r="H82" s="29">
        <f t="shared" si="12"/>
        <v>0</v>
      </c>
      <c r="I82" s="8">
        <f t="shared" si="12"/>
        <v>170940.17094017094</v>
      </c>
      <c r="J82" s="8">
        <f t="shared" si="12"/>
        <v>341880.34188034188</v>
      </c>
      <c r="K82" s="8">
        <f t="shared" si="12"/>
        <v>512820.51282051281</v>
      </c>
      <c r="L82" s="8">
        <f t="shared" si="12"/>
        <v>683760.68376068375</v>
      </c>
      <c r="M82" s="8">
        <f t="shared" si="12"/>
        <v>854700.85470085475</v>
      </c>
    </row>
    <row r="83" spans="2:13" x14ac:dyDescent="0.25">
      <c r="B83" s="4" t="s">
        <v>24</v>
      </c>
      <c r="C83" s="27">
        <f>C80+C82</f>
        <v>9145299.145299146</v>
      </c>
      <c r="D83" s="27">
        <f t="shared" ref="D83:M83" si="13">D80+D82</f>
        <v>9316239.316239316</v>
      </c>
      <c r="E83" s="27">
        <f t="shared" si="13"/>
        <v>9487179.4871794879</v>
      </c>
      <c r="F83" s="27">
        <f t="shared" si="13"/>
        <v>9658119.658119658</v>
      </c>
      <c r="G83" s="27">
        <f t="shared" si="13"/>
        <v>9829059.8290598299</v>
      </c>
      <c r="H83" s="30">
        <f t="shared" si="13"/>
        <v>10000000</v>
      </c>
      <c r="I83" s="27">
        <f t="shared" si="13"/>
        <v>10170940.17094017</v>
      </c>
      <c r="J83" s="27">
        <f t="shared" si="13"/>
        <v>10341880.341880342</v>
      </c>
      <c r="K83" s="27">
        <f t="shared" si="13"/>
        <v>10512820.512820512</v>
      </c>
      <c r="L83" s="27">
        <f t="shared" si="13"/>
        <v>10683760.683760684</v>
      </c>
      <c r="M83" s="27">
        <f t="shared" si="13"/>
        <v>10854700.854700854</v>
      </c>
    </row>
    <row r="84" spans="2:13" x14ac:dyDescent="0.25">
      <c r="B84" s="4" t="s">
        <v>11</v>
      </c>
      <c r="C84" s="8">
        <f t="shared" ref="C84:M84" si="14">C83/C78</f>
        <v>170940.17094017097</v>
      </c>
      <c r="D84" s="8">
        <f t="shared" si="14"/>
        <v>170940.17094017094</v>
      </c>
      <c r="E84" s="8">
        <f t="shared" si="14"/>
        <v>170940.17094017097</v>
      </c>
      <c r="F84" s="8">
        <f t="shared" si="14"/>
        <v>170940.17094017094</v>
      </c>
      <c r="G84" s="8">
        <f t="shared" si="14"/>
        <v>170940.17094017097</v>
      </c>
      <c r="H84" s="31">
        <f t="shared" si="14"/>
        <v>170940.17094017094</v>
      </c>
      <c r="I84" s="8">
        <f t="shared" si="14"/>
        <v>170940.17094017094</v>
      </c>
      <c r="J84" s="8">
        <f t="shared" si="14"/>
        <v>170940.17094017094</v>
      </c>
      <c r="K84" s="8">
        <f t="shared" si="14"/>
        <v>170940.17094017094</v>
      </c>
      <c r="L84" s="8">
        <f t="shared" si="14"/>
        <v>170940.17094017094</v>
      </c>
      <c r="M84" s="8">
        <f t="shared" si="14"/>
        <v>170940.17094017094</v>
      </c>
    </row>
    <row r="86" spans="2:13" x14ac:dyDescent="0.25">
      <c r="B86" s="4" t="s">
        <v>27</v>
      </c>
      <c r="C86" s="32">
        <f>C81/$H$81-1</f>
        <v>9.3457943925233655E-2</v>
      </c>
      <c r="D86" s="32">
        <f t="shared" ref="D86:M86" si="15">D81/$H$81-1</f>
        <v>7.3394495412844041E-2</v>
      </c>
      <c r="E86" s="32">
        <f t="shared" si="15"/>
        <v>5.4054054054053946E-2</v>
      </c>
      <c r="F86" s="32">
        <f t="shared" si="15"/>
        <v>3.539823008849563E-2</v>
      </c>
      <c r="G86" s="32">
        <f t="shared" si="15"/>
        <v>1.7391304347825987E-2</v>
      </c>
      <c r="H86" s="32">
        <f t="shared" si="15"/>
        <v>0</v>
      </c>
      <c r="I86" s="32">
        <f t="shared" si="15"/>
        <v>-1.6806722689075571E-2</v>
      </c>
      <c r="J86" s="32">
        <f t="shared" si="15"/>
        <v>-3.3057851239669422E-2</v>
      </c>
      <c r="K86" s="32">
        <f t="shared" si="15"/>
        <v>-4.8780487804878092E-2</v>
      </c>
      <c r="L86" s="32">
        <f t="shared" si="15"/>
        <v>-6.3999999999999946E-2</v>
      </c>
      <c r="M86" s="32">
        <f t="shared" si="15"/>
        <v>-7.8740157480315043E-2</v>
      </c>
    </row>
    <row r="87" spans="2:13" x14ac:dyDescent="0.25">
      <c r="B87" s="4" t="s">
        <v>28</v>
      </c>
      <c r="C87" s="32">
        <f t="shared" ref="C87:M87" si="16">C82/(LotSize_USD*No_Lots_USD)</f>
        <v>-8.5470085470085472E-2</v>
      </c>
      <c r="D87" s="32">
        <f t="shared" si="16"/>
        <v>-6.8376068376068369E-2</v>
      </c>
      <c r="E87" s="32">
        <f t="shared" si="16"/>
        <v>-5.128205128205128E-2</v>
      </c>
      <c r="F87" s="32">
        <f t="shared" si="16"/>
        <v>-3.4188034188034185E-2</v>
      </c>
      <c r="G87" s="32">
        <f t="shared" si="16"/>
        <v>-1.7094017094017092E-2</v>
      </c>
      <c r="H87" s="32">
        <f t="shared" si="16"/>
        <v>0</v>
      </c>
      <c r="I87" s="32">
        <f t="shared" si="16"/>
        <v>1.7094017094017092E-2</v>
      </c>
      <c r="J87" s="32">
        <f t="shared" si="16"/>
        <v>3.4188034188034185E-2</v>
      </c>
      <c r="K87" s="32">
        <f t="shared" si="16"/>
        <v>5.128205128205128E-2</v>
      </c>
      <c r="L87" s="32">
        <f t="shared" si="16"/>
        <v>6.8376068376068369E-2</v>
      </c>
      <c r="M87" s="32">
        <f t="shared" si="16"/>
        <v>8.5470085470085472E-2</v>
      </c>
    </row>
    <row r="88" spans="2:13" x14ac:dyDescent="0.25">
      <c r="B88" s="4" t="s">
        <v>12</v>
      </c>
      <c r="C88" s="9">
        <f>C84/$D$76</f>
        <v>0.1</v>
      </c>
      <c r="D88" s="9">
        <f t="shared" ref="D88:M88" si="17">D84/$D$76</f>
        <v>9.9999999999999992E-2</v>
      </c>
      <c r="E88" s="9">
        <f t="shared" si="17"/>
        <v>0.1</v>
      </c>
      <c r="F88" s="9">
        <f t="shared" si="17"/>
        <v>9.9999999999999992E-2</v>
      </c>
      <c r="G88" s="9">
        <f t="shared" si="17"/>
        <v>0.1</v>
      </c>
      <c r="H88" s="9">
        <f t="shared" si="17"/>
        <v>9.9999999999999992E-2</v>
      </c>
      <c r="I88" s="9">
        <f t="shared" si="17"/>
        <v>9.9999999999999992E-2</v>
      </c>
      <c r="J88" s="9">
        <f t="shared" si="17"/>
        <v>9.9999999999999992E-2</v>
      </c>
      <c r="K88" s="9">
        <f t="shared" si="17"/>
        <v>9.9999999999999992E-2</v>
      </c>
      <c r="L88" s="9">
        <f t="shared" si="17"/>
        <v>9.9999999999999992E-2</v>
      </c>
      <c r="M88" s="9">
        <f t="shared" si="17"/>
        <v>9.9999999999999992E-2</v>
      </c>
    </row>
  </sheetData>
  <mergeCells count="2">
    <mergeCell ref="B2:D2"/>
    <mergeCell ref="B12:D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6"/>
  <sheetViews>
    <sheetView tabSelected="1" topLeftCell="A115" zoomScale="85" zoomScaleNormal="85" workbookViewId="0">
      <selection activeCell="Q148" sqref="Q148"/>
    </sheetView>
  </sheetViews>
  <sheetFormatPr defaultRowHeight="15" x14ac:dyDescent="0.25"/>
  <cols>
    <col min="1" max="1" width="9.140625" style="4"/>
    <col min="2" max="2" width="11.140625" style="4" customWidth="1"/>
    <col min="3" max="3" width="9.140625" style="4"/>
    <col min="4" max="4" width="8.28515625" style="4" bestFit="1" customWidth="1"/>
    <col min="5" max="5" width="0" style="4" hidden="1" customWidth="1"/>
    <col min="6" max="6" width="10" style="4" bestFit="1" customWidth="1"/>
    <col min="7" max="16" width="9.28515625" style="4" bestFit="1" customWidth="1"/>
    <col min="17" max="16384" width="9.140625" style="4"/>
  </cols>
  <sheetData>
    <row r="2" spans="2:11" ht="23.25" x14ac:dyDescent="0.35">
      <c r="B2" s="33" t="s">
        <v>29</v>
      </c>
      <c r="C2" s="33"/>
      <c r="D2" s="33"/>
    </row>
    <row r="3" spans="2:11" ht="12" customHeight="1" x14ac:dyDescent="0.35">
      <c r="B3" s="37"/>
      <c r="C3" s="37"/>
      <c r="D3" s="37"/>
    </row>
    <row r="4" spans="2:11" ht="15.75" thickBot="1" x14ac:dyDescent="0.3">
      <c r="B4" s="15" t="s">
        <v>37</v>
      </c>
      <c r="C4" s="16"/>
    </row>
    <row r="5" spans="2:11" ht="15.75" thickBot="1" x14ac:dyDescent="0.3"/>
    <row r="6" spans="2:11" ht="15.75" thickBot="1" x14ac:dyDescent="0.3">
      <c r="B6" s="5" t="s">
        <v>31</v>
      </c>
      <c r="C6" s="34">
        <v>50</v>
      </c>
    </row>
    <row r="8" spans="2:11" x14ac:dyDescent="0.25">
      <c r="B8" s="4" t="s">
        <v>32</v>
      </c>
      <c r="C8" s="36" t="s">
        <v>34</v>
      </c>
      <c r="F8" s="4" t="s">
        <v>35</v>
      </c>
      <c r="G8" s="36" t="s">
        <v>36</v>
      </c>
      <c r="J8" s="4" t="s">
        <v>32</v>
      </c>
      <c r="K8" s="36" t="s">
        <v>34</v>
      </c>
    </row>
    <row r="10" spans="2:11" ht="15.75" thickBot="1" x14ac:dyDescent="0.3">
      <c r="B10" s="35" t="s">
        <v>30</v>
      </c>
      <c r="C10" s="35" t="s">
        <v>33</v>
      </c>
      <c r="F10" s="35" t="s">
        <v>30</v>
      </c>
      <c r="G10" s="35" t="s">
        <v>33</v>
      </c>
    </row>
    <row r="11" spans="2:11" x14ac:dyDescent="0.25">
      <c r="B11" s="4">
        <v>25</v>
      </c>
      <c r="C11" s="4">
        <f>IF(B11&gt;$C$6,0,$C$6-B11)</f>
        <v>25</v>
      </c>
      <c r="F11" s="4">
        <v>25</v>
      </c>
      <c r="G11" s="4">
        <f>IF(B11&lt;$C$6,0,B11-$C$6)</f>
        <v>0</v>
      </c>
    </row>
    <row r="12" spans="2:11" x14ac:dyDescent="0.25">
      <c r="B12" s="4">
        <v>27</v>
      </c>
      <c r="C12" s="4">
        <f t="shared" ref="C12:C36" si="0">IF(B12&gt;$C$6,0,$C$6-B12)</f>
        <v>23</v>
      </c>
      <c r="F12" s="4">
        <v>27</v>
      </c>
      <c r="G12" s="4">
        <f t="shared" ref="G12:G36" si="1">IF(B12&lt;$C$6,0,B12-$C$6)</f>
        <v>0</v>
      </c>
    </row>
    <row r="13" spans="2:11" x14ac:dyDescent="0.25">
      <c r="B13" s="4">
        <v>29</v>
      </c>
      <c r="C13" s="4">
        <f t="shared" si="0"/>
        <v>21</v>
      </c>
      <c r="F13" s="4">
        <v>29</v>
      </c>
      <c r="G13" s="4">
        <f t="shared" si="1"/>
        <v>0</v>
      </c>
    </row>
    <row r="14" spans="2:11" x14ac:dyDescent="0.25">
      <c r="B14" s="4">
        <v>31</v>
      </c>
      <c r="C14" s="4">
        <f t="shared" si="0"/>
        <v>19</v>
      </c>
      <c r="F14" s="4">
        <v>31</v>
      </c>
      <c r="G14" s="4">
        <f t="shared" si="1"/>
        <v>0</v>
      </c>
    </row>
    <row r="15" spans="2:11" x14ac:dyDescent="0.25">
      <c r="B15" s="4">
        <v>33</v>
      </c>
      <c r="C15" s="4">
        <f t="shared" si="0"/>
        <v>17</v>
      </c>
      <c r="F15" s="4">
        <v>33</v>
      </c>
      <c r="G15" s="4">
        <f t="shared" si="1"/>
        <v>0</v>
      </c>
    </row>
    <row r="16" spans="2:11" x14ac:dyDescent="0.25">
      <c r="B16" s="4">
        <v>35</v>
      </c>
      <c r="C16" s="4">
        <f t="shared" si="0"/>
        <v>15</v>
      </c>
      <c r="F16" s="4">
        <v>35</v>
      </c>
      <c r="G16" s="4">
        <f t="shared" si="1"/>
        <v>0</v>
      </c>
    </row>
    <row r="17" spans="2:11" x14ac:dyDescent="0.25">
      <c r="B17" s="4">
        <v>37</v>
      </c>
      <c r="C17" s="4">
        <f t="shared" si="0"/>
        <v>13</v>
      </c>
      <c r="F17" s="4">
        <v>37</v>
      </c>
      <c r="G17" s="4">
        <f t="shared" si="1"/>
        <v>0</v>
      </c>
    </row>
    <row r="18" spans="2:11" x14ac:dyDescent="0.25">
      <c r="B18" s="4">
        <v>39</v>
      </c>
      <c r="C18" s="4">
        <f t="shared" si="0"/>
        <v>11</v>
      </c>
      <c r="F18" s="4">
        <v>39</v>
      </c>
      <c r="G18" s="4">
        <f t="shared" si="1"/>
        <v>0</v>
      </c>
    </row>
    <row r="19" spans="2:11" x14ac:dyDescent="0.25">
      <c r="B19" s="4">
        <v>41</v>
      </c>
      <c r="C19" s="4">
        <f t="shared" si="0"/>
        <v>9</v>
      </c>
      <c r="F19" s="4">
        <v>41</v>
      </c>
      <c r="G19" s="4">
        <f t="shared" si="1"/>
        <v>0</v>
      </c>
    </row>
    <row r="20" spans="2:11" x14ac:dyDescent="0.25">
      <c r="B20" s="4">
        <v>43</v>
      </c>
      <c r="C20" s="4">
        <f t="shared" si="0"/>
        <v>7</v>
      </c>
      <c r="F20" s="4">
        <v>43</v>
      </c>
      <c r="G20" s="4">
        <f t="shared" si="1"/>
        <v>0</v>
      </c>
    </row>
    <row r="21" spans="2:11" x14ac:dyDescent="0.25">
      <c r="B21" s="4">
        <v>45</v>
      </c>
      <c r="C21" s="4">
        <f t="shared" si="0"/>
        <v>5</v>
      </c>
      <c r="F21" s="4">
        <v>45</v>
      </c>
      <c r="G21" s="4">
        <f t="shared" si="1"/>
        <v>0</v>
      </c>
    </row>
    <row r="22" spans="2:11" x14ac:dyDescent="0.25">
      <c r="B22" s="4">
        <v>47</v>
      </c>
      <c r="C22" s="4">
        <f t="shared" si="0"/>
        <v>3</v>
      </c>
      <c r="F22" s="4">
        <v>47</v>
      </c>
      <c r="G22" s="4">
        <f t="shared" si="1"/>
        <v>0</v>
      </c>
    </row>
    <row r="23" spans="2:11" x14ac:dyDescent="0.25">
      <c r="B23" s="4">
        <v>49</v>
      </c>
      <c r="C23" s="4">
        <f t="shared" si="0"/>
        <v>1</v>
      </c>
      <c r="F23" s="4">
        <v>49</v>
      </c>
      <c r="G23" s="4">
        <f t="shared" si="1"/>
        <v>0</v>
      </c>
      <c r="J23" s="4" t="s">
        <v>35</v>
      </c>
      <c r="K23" s="36" t="s">
        <v>36</v>
      </c>
    </row>
    <row r="24" spans="2:11" x14ac:dyDescent="0.25">
      <c r="B24" s="4">
        <v>51</v>
      </c>
      <c r="C24" s="4">
        <f t="shared" si="0"/>
        <v>0</v>
      </c>
      <c r="F24" s="4">
        <v>51</v>
      </c>
      <c r="G24" s="4">
        <f t="shared" si="1"/>
        <v>1</v>
      </c>
    </row>
    <row r="25" spans="2:11" x14ac:dyDescent="0.25">
      <c r="B25" s="4">
        <v>53</v>
      </c>
      <c r="C25" s="4">
        <f t="shared" si="0"/>
        <v>0</v>
      </c>
      <c r="F25" s="4">
        <v>53</v>
      </c>
      <c r="G25" s="4">
        <f t="shared" si="1"/>
        <v>3</v>
      </c>
    </row>
    <row r="26" spans="2:11" x14ac:dyDescent="0.25">
      <c r="B26" s="4">
        <v>55</v>
      </c>
      <c r="C26" s="4">
        <f t="shared" si="0"/>
        <v>0</v>
      </c>
      <c r="F26" s="4">
        <v>55</v>
      </c>
      <c r="G26" s="4">
        <f t="shared" si="1"/>
        <v>5</v>
      </c>
    </row>
    <row r="27" spans="2:11" x14ac:dyDescent="0.25">
      <c r="B27" s="4">
        <v>57</v>
      </c>
      <c r="C27" s="4">
        <f t="shared" si="0"/>
        <v>0</v>
      </c>
      <c r="F27" s="4">
        <v>57</v>
      </c>
      <c r="G27" s="4">
        <f t="shared" si="1"/>
        <v>7</v>
      </c>
    </row>
    <row r="28" spans="2:11" x14ac:dyDescent="0.25">
      <c r="B28" s="4">
        <v>59</v>
      </c>
      <c r="C28" s="4">
        <f t="shared" si="0"/>
        <v>0</v>
      </c>
      <c r="F28" s="4">
        <v>59</v>
      </c>
      <c r="G28" s="4">
        <f t="shared" si="1"/>
        <v>9</v>
      </c>
    </row>
    <row r="29" spans="2:11" x14ac:dyDescent="0.25">
      <c r="B29" s="4">
        <v>61</v>
      </c>
      <c r="C29" s="4">
        <f t="shared" si="0"/>
        <v>0</v>
      </c>
      <c r="F29" s="4">
        <v>61</v>
      </c>
      <c r="G29" s="4">
        <f t="shared" si="1"/>
        <v>11</v>
      </c>
    </row>
    <row r="30" spans="2:11" x14ac:dyDescent="0.25">
      <c r="B30" s="4">
        <v>63</v>
      </c>
      <c r="C30" s="4">
        <f t="shared" si="0"/>
        <v>0</v>
      </c>
      <c r="F30" s="4">
        <v>63</v>
      </c>
      <c r="G30" s="4">
        <f t="shared" si="1"/>
        <v>13</v>
      </c>
    </row>
    <row r="31" spans="2:11" x14ac:dyDescent="0.25">
      <c r="B31" s="4">
        <v>65</v>
      </c>
      <c r="C31" s="4">
        <f t="shared" si="0"/>
        <v>0</v>
      </c>
      <c r="F31" s="4">
        <v>65</v>
      </c>
      <c r="G31" s="4">
        <f t="shared" si="1"/>
        <v>15</v>
      </c>
    </row>
    <row r="32" spans="2:11" x14ac:dyDescent="0.25">
      <c r="B32" s="4">
        <v>67</v>
      </c>
      <c r="C32" s="4">
        <f t="shared" si="0"/>
        <v>0</v>
      </c>
      <c r="F32" s="4">
        <v>67</v>
      </c>
      <c r="G32" s="4">
        <f t="shared" si="1"/>
        <v>17</v>
      </c>
    </row>
    <row r="33" spans="2:10" x14ac:dyDescent="0.25">
      <c r="B33" s="4">
        <v>69</v>
      </c>
      <c r="C33" s="4">
        <f t="shared" si="0"/>
        <v>0</v>
      </c>
      <c r="F33" s="4">
        <v>69</v>
      </c>
      <c r="G33" s="4">
        <f t="shared" si="1"/>
        <v>19</v>
      </c>
    </row>
    <row r="34" spans="2:10" x14ac:dyDescent="0.25">
      <c r="B34" s="4">
        <v>71</v>
      </c>
      <c r="C34" s="4">
        <f t="shared" si="0"/>
        <v>0</v>
      </c>
      <c r="F34" s="4">
        <v>71</v>
      </c>
      <c r="G34" s="4">
        <f t="shared" si="1"/>
        <v>21</v>
      </c>
    </row>
    <row r="35" spans="2:10" x14ac:dyDescent="0.25">
      <c r="B35" s="4">
        <v>73</v>
      </c>
      <c r="C35" s="4">
        <f t="shared" si="0"/>
        <v>0</v>
      </c>
      <c r="F35" s="4">
        <v>73</v>
      </c>
      <c r="G35" s="4">
        <f t="shared" si="1"/>
        <v>23</v>
      </c>
    </row>
    <row r="36" spans="2:10" x14ac:dyDescent="0.25">
      <c r="B36" s="4">
        <v>75</v>
      </c>
      <c r="C36" s="4">
        <f t="shared" si="0"/>
        <v>0</v>
      </c>
      <c r="F36" s="4">
        <v>75</v>
      </c>
      <c r="G36" s="4">
        <f t="shared" si="1"/>
        <v>25</v>
      </c>
    </row>
    <row r="40" spans="2:10" ht="15.75" thickBot="1" x14ac:dyDescent="0.3">
      <c r="B40" s="15" t="s">
        <v>38</v>
      </c>
      <c r="C40" s="16"/>
    </row>
    <row r="41" spans="2:10" ht="15.75" thickBot="1" x14ac:dyDescent="0.3"/>
    <row r="42" spans="2:10" x14ac:dyDescent="0.25">
      <c r="B42" s="39" t="s">
        <v>31</v>
      </c>
      <c r="C42" s="40">
        <v>50</v>
      </c>
    </row>
    <row r="43" spans="2:10" ht="15.75" thickBot="1" x14ac:dyDescent="0.3">
      <c r="B43" s="41" t="s">
        <v>39</v>
      </c>
      <c r="C43" s="42">
        <v>3</v>
      </c>
    </row>
    <row r="45" spans="2:10" x14ac:dyDescent="0.25">
      <c r="B45" s="4" t="s">
        <v>32</v>
      </c>
      <c r="C45" s="36" t="s">
        <v>34</v>
      </c>
      <c r="F45" s="4" t="s">
        <v>35</v>
      </c>
      <c r="G45" s="36" t="s">
        <v>36</v>
      </c>
      <c r="I45" s="4" t="s">
        <v>32</v>
      </c>
      <c r="J45" s="36" t="s">
        <v>34</v>
      </c>
    </row>
    <row r="47" spans="2:10" ht="15.75" thickBot="1" x14ac:dyDescent="0.3">
      <c r="B47" s="35" t="s">
        <v>30</v>
      </c>
      <c r="C47" s="35" t="s">
        <v>33</v>
      </c>
      <c r="F47" s="35" t="s">
        <v>30</v>
      </c>
      <c r="G47" s="35" t="s">
        <v>33</v>
      </c>
    </row>
    <row r="48" spans="2:10" x14ac:dyDescent="0.25">
      <c r="B48" s="4">
        <v>25</v>
      </c>
      <c r="C48" s="4">
        <f>IF(B48&gt;$C$6,-$C$43,$C$6-B48-$C$43)</f>
        <v>22</v>
      </c>
      <c r="F48" s="4">
        <v>25</v>
      </c>
      <c r="G48" s="4">
        <f>IF(B48&lt;$C$6,-$C$43,B48-$C$6-$C$43)</f>
        <v>-3</v>
      </c>
    </row>
    <row r="49" spans="2:10" x14ac:dyDescent="0.25">
      <c r="B49" s="4">
        <v>27</v>
      </c>
      <c r="C49" s="4">
        <f t="shared" ref="C49:C73" si="2">IF(B49&gt;$C$6,-$C$43,$C$6-B49-$C$43)</f>
        <v>20</v>
      </c>
      <c r="F49" s="4">
        <v>27</v>
      </c>
      <c r="G49" s="4">
        <f t="shared" ref="G49:G73" si="3">IF(B49&lt;$C$6,-$C$43,B49-$C$6-$C$43)</f>
        <v>-3</v>
      </c>
    </row>
    <row r="50" spans="2:10" x14ac:dyDescent="0.25">
      <c r="B50" s="4">
        <v>29</v>
      </c>
      <c r="C50" s="4">
        <f t="shared" si="2"/>
        <v>18</v>
      </c>
      <c r="F50" s="4">
        <v>29</v>
      </c>
      <c r="G50" s="4">
        <f t="shared" si="3"/>
        <v>-3</v>
      </c>
    </row>
    <row r="51" spans="2:10" x14ac:dyDescent="0.25">
      <c r="B51" s="4">
        <v>31</v>
      </c>
      <c r="C51" s="4">
        <f t="shared" si="2"/>
        <v>16</v>
      </c>
      <c r="F51" s="4">
        <v>31</v>
      </c>
      <c r="G51" s="4">
        <f t="shared" si="3"/>
        <v>-3</v>
      </c>
    </row>
    <row r="52" spans="2:10" x14ac:dyDescent="0.25">
      <c r="B52" s="4">
        <v>33</v>
      </c>
      <c r="C52" s="4">
        <f t="shared" si="2"/>
        <v>14</v>
      </c>
      <c r="F52" s="4">
        <v>33</v>
      </c>
      <c r="G52" s="4">
        <f t="shared" si="3"/>
        <v>-3</v>
      </c>
    </row>
    <row r="53" spans="2:10" x14ac:dyDescent="0.25">
      <c r="B53" s="4">
        <v>35</v>
      </c>
      <c r="C53" s="4">
        <f t="shared" si="2"/>
        <v>12</v>
      </c>
      <c r="F53" s="4">
        <v>35</v>
      </c>
      <c r="G53" s="4">
        <f t="shared" si="3"/>
        <v>-3</v>
      </c>
    </row>
    <row r="54" spans="2:10" x14ac:dyDescent="0.25">
      <c r="B54" s="4">
        <v>37</v>
      </c>
      <c r="C54" s="4">
        <f t="shared" si="2"/>
        <v>10</v>
      </c>
      <c r="F54" s="4">
        <v>37</v>
      </c>
      <c r="G54" s="4">
        <f t="shared" si="3"/>
        <v>-3</v>
      </c>
    </row>
    <row r="55" spans="2:10" x14ac:dyDescent="0.25">
      <c r="B55" s="4">
        <v>39</v>
      </c>
      <c r="C55" s="4">
        <f t="shared" si="2"/>
        <v>8</v>
      </c>
      <c r="F55" s="4">
        <v>39</v>
      </c>
      <c r="G55" s="4">
        <f t="shared" si="3"/>
        <v>-3</v>
      </c>
    </row>
    <row r="56" spans="2:10" x14ac:dyDescent="0.25">
      <c r="B56" s="4">
        <v>41</v>
      </c>
      <c r="C56" s="4">
        <f t="shared" si="2"/>
        <v>6</v>
      </c>
      <c r="F56" s="4">
        <v>41</v>
      </c>
      <c r="G56" s="4">
        <f t="shared" si="3"/>
        <v>-3</v>
      </c>
    </row>
    <row r="57" spans="2:10" x14ac:dyDescent="0.25">
      <c r="B57" s="4">
        <v>43</v>
      </c>
      <c r="C57" s="4">
        <f t="shared" si="2"/>
        <v>4</v>
      </c>
      <c r="F57" s="4">
        <v>43</v>
      </c>
      <c r="G57" s="4">
        <f t="shared" si="3"/>
        <v>-3</v>
      </c>
    </row>
    <row r="58" spans="2:10" x14ac:dyDescent="0.25">
      <c r="B58" s="4">
        <v>45</v>
      </c>
      <c r="C58" s="4">
        <f t="shared" si="2"/>
        <v>2</v>
      </c>
      <c r="F58" s="4">
        <v>45</v>
      </c>
      <c r="G58" s="4">
        <f t="shared" si="3"/>
        <v>-3</v>
      </c>
    </row>
    <row r="59" spans="2:10" x14ac:dyDescent="0.25">
      <c r="B59" s="4">
        <v>47</v>
      </c>
      <c r="C59" s="4">
        <f t="shared" si="2"/>
        <v>0</v>
      </c>
      <c r="F59" s="4">
        <v>47</v>
      </c>
      <c r="G59" s="4">
        <f t="shared" si="3"/>
        <v>-3</v>
      </c>
    </row>
    <row r="60" spans="2:10" x14ac:dyDescent="0.25">
      <c r="B60" s="4">
        <v>49</v>
      </c>
      <c r="C60" s="4">
        <f t="shared" si="2"/>
        <v>-2</v>
      </c>
      <c r="F60" s="4">
        <v>49</v>
      </c>
      <c r="G60" s="4">
        <f t="shared" si="3"/>
        <v>-3</v>
      </c>
      <c r="I60" s="4" t="s">
        <v>35</v>
      </c>
      <c r="J60" s="36" t="s">
        <v>36</v>
      </c>
    </row>
    <row r="61" spans="2:10" x14ac:dyDescent="0.25">
      <c r="B61" s="4">
        <v>51</v>
      </c>
      <c r="C61" s="4">
        <f t="shared" si="2"/>
        <v>-3</v>
      </c>
      <c r="F61" s="4">
        <v>51</v>
      </c>
      <c r="G61" s="4">
        <f t="shared" si="3"/>
        <v>-2</v>
      </c>
    </row>
    <row r="62" spans="2:10" x14ac:dyDescent="0.25">
      <c r="B62" s="4">
        <v>53</v>
      </c>
      <c r="C62" s="4">
        <f t="shared" si="2"/>
        <v>-3</v>
      </c>
      <c r="F62" s="4">
        <v>53</v>
      </c>
      <c r="G62" s="4">
        <f t="shared" si="3"/>
        <v>0</v>
      </c>
    </row>
    <row r="63" spans="2:10" x14ac:dyDescent="0.25">
      <c r="B63" s="4">
        <v>55</v>
      </c>
      <c r="C63" s="4">
        <f t="shared" si="2"/>
        <v>-3</v>
      </c>
      <c r="F63" s="4">
        <v>55</v>
      </c>
      <c r="G63" s="4">
        <f t="shared" si="3"/>
        <v>2</v>
      </c>
    </row>
    <row r="64" spans="2:10" x14ac:dyDescent="0.25">
      <c r="B64" s="4">
        <v>57</v>
      </c>
      <c r="C64" s="4">
        <f t="shared" si="2"/>
        <v>-3</v>
      </c>
      <c r="F64" s="4">
        <v>57</v>
      </c>
      <c r="G64" s="4">
        <f t="shared" si="3"/>
        <v>4</v>
      </c>
    </row>
    <row r="65" spans="2:7" x14ac:dyDescent="0.25">
      <c r="B65" s="4">
        <v>59</v>
      </c>
      <c r="C65" s="4">
        <f t="shared" si="2"/>
        <v>-3</v>
      </c>
      <c r="F65" s="4">
        <v>59</v>
      </c>
      <c r="G65" s="4">
        <f t="shared" si="3"/>
        <v>6</v>
      </c>
    </row>
    <row r="66" spans="2:7" x14ac:dyDescent="0.25">
      <c r="B66" s="4">
        <v>61</v>
      </c>
      <c r="C66" s="4">
        <f t="shared" si="2"/>
        <v>-3</v>
      </c>
      <c r="F66" s="4">
        <v>61</v>
      </c>
      <c r="G66" s="4">
        <f t="shared" si="3"/>
        <v>8</v>
      </c>
    </row>
    <row r="67" spans="2:7" x14ac:dyDescent="0.25">
      <c r="B67" s="4">
        <v>63</v>
      </c>
      <c r="C67" s="4">
        <f t="shared" si="2"/>
        <v>-3</v>
      </c>
      <c r="F67" s="4">
        <v>63</v>
      </c>
      <c r="G67" s="4">
        <f t="shared" si="3"/>
        <v>10</v>
      </c>
    </row>
    <row r="68" spans="2:7" x14ac:dyDescent="0.25">
      <c r="B68" s="4">
        <v>65</v>
      </c>
      <c r="C68" s="4">
        <f t="shared" si="2"/>
        <v>-3</v>
      </c>
      <c r="F68" s="4">
        <v>65</v>
      </c>
      <c r="G68" s="4">
        <f t="shared" si="3"/>
        <v>12</v>
      </c>
    </row>
    <row r="69" spans="2:7" x14ac:dyDescent="0.25">
      <c r="B69" s="4">
        <v>67</v>
      </c>
      <c r="C69" s="4">
        <f t="shared" si="2"/>
        <v>-3</v>
      </c>
      <c r="F69" s="4">
        <v>67</v>
      </c>
      <c r="G69" s="4">
        <f t="shared" si="3"/>
        <v>14</v>
      </c>
    </row>
    <row r="70" spans="2:7" x14ac:dyDescent="0.25">
      <c r="B70" s="4">
        <v>69</v>
      </c>
      <c r="C70" s="4">
        <f t="shared" si="2"/>
        <v>-3</v>
      </c>
      <c r="F70" s="4">
        <v>69</v>
      </c>
      <c r="G70" s="4">
        <f t="shared" si="3"/>
        <v>16</v>
      </c>
    </row>
    <row r="71" spans="2:7" x14ac:dyDescent="0.25">
      <c r="B71" s="4">
        <v>71</v>
      </c>
      <c r="C71" s="4">
        <f t="shared" si="2"/>
        <v>-3</v>
      </c>
      <c r="F71" s="4">
        <v>71</v>
      </c>
      <c r="G71" s="4">
        <f t="shared" si="3"/>
        <v>18</v>
      </c>
    </row>
    <row r="72" spans="2:7" x14ac:dyDescent="0.25">
      <c r="B72" s="4">
        <v>73</v>
      </c>
      <c r="C72" s="4">
        <f t="shared" si="2"/>
        <v>-3</v>
      </c>
      <c r="F72" s="4">
        <v>73</v>
      </c>
      <c r="G72" s="4">
        <f t="shared" si="3"/>
        <v>20</v>
      </c>
    </row>
    <row r="73" spans="2:7" x14ac:dyDescent="0.25">
      <c r="B73" s="4">
        <v>75</v>
      </c>
      <c r="C73" s="4">
        <f t="shared" si="2"/>
        <v>-3</v>
      </c>
      <c r="F73" s="4">
        <v>75</v>
      </c>
      <c r="G73" s="4">
        <f t="shared" si="3"/>
        <v>22</v>
      </c>
    </row>
    <row r="76" spans="2:7" ht="23.25" x14ac:dyDescent="0.35">
      <c r="B76" s="33" t="s">
        <v>40</v>
      </c>
      <c r="C76" s="33"/>
      <c r="D76" s="33"/>
    </row>
    <row r="77" spans="2:7" ht="15.75" thickBot="1" x14ac:dyDescent="0.3"/>
    <row r="78" spans="2:7" x14ac:dyDescent="0.25">
      <c r="B78" s="39" t="s">
        <v>31</v>
      </c>
      <c r="C78" s="40">
        <v>50</v>
      </c>
    </row>
    <row r="79" spans="2:7" ht="15.75" thickBot="1" x14ac:dyDescent="0.3">
      <c r="B79" s="41" t="s">
        <v>39</v>
      </c>
      <c r="C79" s="42">
        <v>3</v>
      </c>
    </row>
    <row r="80" spans="2:7" x14ac:dyDescent="0.25">
      <c r="B80" s="38"/>
      <c r="C80" s="43"/>
    </row>
    <row r="81" spans="2:7" x14ac:dyDescent="0.25">
      <c r="B81" s="4" t="s">
        <v>32</v>
      </c>
      <c r="C81" s="44" t="s">
        <v>34</v>
      </c>
      <c r="F81" s="4" t="s">
        <v>41</v>
      </c>
      <c r="G81" s="44" t="s">
        <v>36</v>
      </c>
    </row>
    <row r="83" spans="2:7" ht="15.75" thickBot="1" x14ac:dyDescent="0.3">
      <c r="B83" s="35" t="s">
        <v>30</v>
      </c>
      <c r="C83" s="35" t="s">
        <v>33</v>
      </c>
      <c r="F83" s="35" t="s">
        <v>30</v>
      </c>
      <c r="G83" s="35" t="s">
        <v>33</v>
      </c>
    </row>
    <row r="84" spans="2:7" x14ac:dyDescent="0.25">
      <c r="B84" s="4">
        <v>25</v>
      </c>
      <c r="C84" s="4">
        <f>IF(B84&gt;$C$6,-$C$79,$C$6-B84-$C$79)</f>
        <v>22</v>
      </c>
      <c r="F84" s="4">
        <v>25</v>
      </c>
      <c r="G84" s="4">
        <f>IF(F84&gt;$C$6,$C$79,F84-$C$6+$C$79)</f>
        <v>-22</v>
      </c>
    </row>
    <row r="85" spans="2:7" x14ac:dyDescent="0.25">
      <c r="B85" s="4">
        <v>27</v>
      </c>
      <c r="C85" s="4">
        <f t="shared" ref="C85:C109" si="4">IF(B85&gt;$C$6,-$C$79,$C$6-B85-$C$79)</f>
        <v>20</v>
      </c>
      <c r="F85" s="4">
        <v>27</v>
      </c>
      <c r="G85" s="4">
        <f t="shared" ref="G85:G109" si="5">IF(F85&gt;$C$6,$C$79,F85-$C$6+$C$79)</f>
        <v>-20</v>
      </c>
    </row>
    <row r="86" spans="2:7" x14ac:dyDescent="0.25">
      <c r="B86" s="4">
        <v>29</v>
      </c>
      <c r="C86" s="4">
        <f t="shared" si="4"/>
        <v>18</v>
      </c>
      <c r="F86" s="4">
        <v>29</v>
      </c>
      <c r="G86" s="4">
        <f t="shared" si="5"/>
        <v>-18</v>
      </c>
    </row>
    <row r="87" spans="2:7" x14ac:dyDescent="0.25">
      <c r="B87" s="4">
        <v>31</v>
      </c>
      <c r="C87" s="4">
        <f t="shared" si="4"/>
        <v>16</v>
      </c>
      <c r="F87" s="4">
        <v>31</v>
      </c>
      <c r="G87" s="4">
        <f t="shared" si="5"/>
        <v>-16</v>
      </c>
    </row>
    <row r="88" spans="2:7" x14ac:dyDescent="0.25">
      <c r="B88" s="4">
        <v>33</v>
      </c>
      <c r="C88" s="4">
        <f t="shared" si="4"/>
        <v>14</v>
      </c>
      <c r="F88" s="4">
        <v>33</v>
      </c>
      <c r="G88" s="4">
        <f t="shared" si="5"/>
        <v>-14</v>
      </c>
    </row>
    <row r="89" spans="2:7" x14ac:dyDescent="0.25">
      <c r="B89" s="4">
        <v>35</v>
      </c>
      <c r="C89" s="4">
        <f t="shared" si="4"/>
        <v>12</v>
      </c>
      <c r="F89" s="4">
        <v>35</v>
      </c>
      <c r="G89" s="4">
        <f t="shared" si="5"/>
        <v>-12</v>
      </c>
    </row>
    <row r="90" spans="2:7" x14ac:dyDescent="0.25">
      <c r="B90" s="4">
        <v>37</v>
      </c>
      <c r="C90" s="4">
        <f t="shared" si="4"/>
        <v>10</v>
      </c>
      <c r="F90" s="4">
        <v>37</v>
      </c>
      <c r="G90" s="4">
        <f t="shared" si="5"/>
        <v>-10</v>
      </c>
    </row>
    <row r="91" spans="2:7" x14ac:dyDescent="0.25">
      <c r="B91" s="4">
        <v>39</v>
      </c>
      <c r="C91" s="4">
        <f t="shared" si="4"/>
        <v>8</v>
      </c>
      <c r="F91" s="4">
        <v>39</v>
      </c>
      <c r="G91" s="4">
        <f t="shared" si="5"/>
        <v>-8</v>
      </c>
    </row>
    <row r="92" spans="2:7" x14ac:dyDescent="0.25">
      <c r="B92" s="4">
        <v>41</v>
      </c>
      <c r="C92" s="4">
        <f t="shared" si="4"/>
        <v>6</v>
      </c>
      <c r="F92" s="4">
        <v>41</v>
      </c>
      <c r="G92" s="4">
        <f t="shared" si="5"/>
        <v>-6</v>
      </c>
    </row>
    <row r="93" spans="2:7" x14ac:dyDescent="0.25">
      <c r="B93" s="4">
        <v>43</v>
      </c>
      <c r="C93" s="4">
        <f t="shared" si="4"/>
        <v>4</v>
      </c>
      <c r="F93" s="4">
        <v>43</v>
      </c>
      <c r="G93" s="4">
        <f t="shared" si="5"/>
        <v>-4</v>
      </c>
    </row>
    <row r="94" spans="2:7" x14ac:dyDescent="0.25">
      <c r="B94" s="4">
        <v>45</v>
      </c>
      <c r="C94" s="4">
        <f t="shared" si="4"/>
        <v>2</v>
      </c>
      <c r="F94" s="4">
        <v>45</v>
      </c>
      <c r="G94" s="4">
        <f t="shared" si="5"/>
        <v>-2</v>
      </c>
    </row>
    <row r="95" spans="2:7" x14ac:dyDescent="0.25">
      <c r="B95" s="4">
        <v>47</v>
      </c>
      <c r="C95" s="4">
        <f t="shared" si="4"/>
        <v>0</v>
      </c>
      <c r="F95" s="4">
        <v>47</v>
      </c>
      <c r="G95" s="4">
        <f t="shared" si="5"/>
        <v>0</v>
      </c>
    </row>
    <row r="96" spans="2:7" x14ac:dyDescent="0.25">
      <c r="B96" s="4">
        <v>49</v>
      </c>
      <c r="C96" s="4">
        <f t="shared" si="4"/>
        <v>-2</v>
      </c>
      <c r="F96" s="4">
        <v>49</v>
      </c>
      <c r="G96" s="4">
        <f t="shared" si="5"/>
        <v>2</v>
      </c>
    </row>
    <row r="97" spans="2:7" x14ac:dyDescent="0.25">
      <c r="B97" s="4">
        <v>51</v>
      </c>
      <c r="C97" s="4">
        <f t="shared" si="4"/>
        <v>-3</v>
      </c>
      <c r="F97" s="4">
        <v>51</v>
      </c>
      <c r="G97" s="4">
        <f t="shared" si="5"/>
        <v>3</v>
      </c>
    </row>
    <row r="98" spans="2:7" x14ac:dyDescent="0.25">
      <c r="B98" s="4">
        <v>53</v>
      </c>
      <c r="C98" s="4">
        <f t="shared" si="4"/>
        <v>-3</v>
      </c>
      <c r="F98" s="4">
        <v>53</v>
      </c>
      <c r="G98" s="4">
        <f t="shared" si="5"/>
        <v>3</v>
      </c>
    </row>
    <row r="99" spans="2:7" x14ac:dyDescent="0.25">
      <c r="B99" s="4">
        <v>55</v>
      </c>
      <c r="C99" s="4">
        <f t="shared" si="4"/>
        <v>-3</v>
      </c>
      <c r="F99" s="4">
        <v>55</v>
      </c>
      <c r="G99" s="4">
        <f t="shared" si="5"/>
        <v>3</v>
      </c>
    </row>
    <row r="100" spans="2:7" x14ac:dyDescent="0.25">
      <c r="B100" s="4">
        <v>57</v>
      </c>
      <c r="C100" s="4">
        <f t="shared" si="4"/>
        <v>-3</v>
      </c>
      <c r="F100" s="4">
        <v>57</v>
      </c>
      <c r="G100" s="4">
        <f t="shared" si="5"/>
        <v>3</v>
      </c>
    </row>
    <row r="101" spans="2:7" x14ac:dyDescent="0.25">
      <c r="B101" s="4">
        <v>59</v>
      </c>
      <c r="C101" s="4">
        <f t="shared" si="4"/>
        <v>-3</v>
      </c>
      <c r="F101" s="4">
        <v>59</v>
      </c>
      <c r="G101" s="4">
        <f t="shared" si="5"/>
        <v>3</v>
      </c>
    </row>
    <row r="102" spans="2:7" x14ac:dyDescent="0.25">
      <c r="B102" s="4">
        <v>61</v>
      </c>
      <c r="C102" s="4">
        <f t="shared" si="4"/>
        <v>-3</v>
      </c>
      <c r="F102" s="4">
        <v>61</v>
      </c>
      <c r="G102" s="4">
        <f t="shared" si="5"/>
        <v>3</v>
      </c>
    </row>
    <row r="103" spans="2:7" x14ac:dyDescent="0.25">
      <c r="B103" s="4">
        <v>63</v>
      </c>
      <c r="C103" s="4">
        <f t="shared" si="4"/>
        <v>-3</v>
      </c>
      <c r="F103" s="4">
        <v>63</v>
      </c>
      <c r="G103" s="4">
        <f t="shared" si="5"/>
        <v>3</v>
      </c>
    </row>
    <row r="104" spans="2:7" x14ac:dyDescent="0.25">
      <c r="B104" s="4">
        <v>65</v>
      </c>
      <c r="C104" s="4">
        <f t="shared" si="4"/>
        <v>-3</v>
      </c>
      <c r="F104" s="4">
        <v>65</v>
      </c>
      <c r="G104" s="4">
        <f t="shared" si="5"/>
        <v>3</v>
      </c>
    </row>
    <row r="105" spans="2:7" x14ac:dyDescent="0.25">
      <c r="B105" s="4">
        <v>67</v>
      </c>
      <c r="C105" s="4">
        <f t="shared" si="4"/>
        <v>-3</v>
      </c>
      <c r="F105" s="4">
        <v>67</v>
      </c>
      <c r="G105" s="4">
        <f t="shared" si="5"/>
        <v>3</v>
      </c>
    </row>
    <row r="106" spans="2:7" x14ac:dyDescent="0.25">
      <c r="B106" s="4">
        <v>69</v>
      </c>
      <c r="C106" s="4">
        <f t="shared" si="4"/>
        <v>-3</v>
      </c>
      <c r="F106" s="4">
        <v>69</v>
      </c>
      <c r="G106" s="4">
        <f t="shared" si="5"/>
        <v>3</v>
      </c>
    </row>
    <row r="107" spans="2:7" x14ac:dyDescent="0.25">
      <c r="B107" s="4">
        <v>71</v>
      </c>
      <c r="C107" s="4">
        <f t="shared" si="4"/>
        <v>-3</v>
      </c>
      <c r="F107" s="4">
        <v>71</v>
      </c>
      <c r="G107" s="4">
        <f t="shared" si="5"/>
        <v>3</v>
      </c>
    </row>
    <row r="108" spans="2:7" x14ac:dyDescent="0.25">
      <c r="B108" s="4">
        <v>73</v>
      </c>
      <c r="C108" s="4">
        <f t="shared" si="4"/>
        <v>-3</v>
      </c>
      <c r="F108" s="4">
        <v>73</v>
      </c>
      <c r="G108" s="4">
        <f t="shared" si="5"/>
        <v>3</v>
      </c>
    </row>
    <row r="109" spans="2:7" x14ac:dyDescent="0.25">
      <c r="B109" s="4">
        <v>75</v>
      </c>
      <c r="C109" s="4">
        <f t="shared" si="4"/>
        <v>-3</v>
      </c>
      <c r="F109" s="4">
        <v>75</v>
      </c>
      <c r="G109" s="4">
        <f t="shared" si="5"/>
        <v>3</v>
      </c>
    </row>
    <row r="112" spans="2:7" x14ac:dyDescent="0.25">
      <c r="B112" s="4" t="s">
        <v>35</v>
      </c>
      <c r="C112" s="44" t="s">
        <v>36</v>
      </c>
      <c r="F112" s="4" t="s">
        <v>42</v>
      </c>
      <c r="G112" s="44" t="s">
        <v>34</v>
      </c>
    </row>
    <row r="114" spans="2:7" ht="15.75" thickBot="1" x14ac:dyDescent="0.3">
      <c r="B114" s="35" t="s">
        <v>30</v>
      </c>
      <c r="C114" s="35" t="s">
        <v>33</v>
      </c>
      <c r="F114" s="35" t="s">
        <v>30</v>
      </c>
      <c r="G114" s="35" t="s">
        <v>33</v>
      </c>
    </row>
    <row r="115" spans="2:7" x14ac:dyDescent="0.25">
      <c r="B115" s="4">
        <v>25</v>
      </c>
      <c r="C115" s="4">
        <f>IF(B115&gt;$C$6,B115-$C$6-$C$79,-$C$79)</f>
        <v>-3</v>
      </c>
      <c r="F115" s="4">
        <v>25</v>
      </c>
      <c r="G115" s="4">
        <f>IF(F115&gt;$C$6,$C$6-F115+$C$79,$C$79)</f>
        <v>3</v>
      </c>
    </row>
    <row r="116" spans="2:7" x14ac:dyDescent="0.25">
      <c r="B116" s="4">
        <v>27</v>
      </c>
      <c r="C116" s="4">
        <f t="shared" ref="C116:C140" si="6">IF(B116&gt;$C$6,B116-$C$6-$C$79,-$C$79)</f>
        <v>-3</v>
      </c>
      <c r="F116" s="4">
        <v>27</v>
      </c>
      <c r="G116" s="4">
        <f t="shared" ref="G116:G140" si="7">IF(F116&gt;$C$6,$C$6-F116+$C$79,$C$79)</f>
        <v>3</v>
      </c>
    </row>
    <row r="117" spans="2:7" x14ac:dyDescent="0.25">
      <c r="B117" s="4">
        <v>29</v>
      </c>
      <c r="C117" s="4">
        <f t="shared" si="6"/>
        <v>-3</v>
      </c>
      <c r="F117" s="4">
        <v>29</v>
      </c>
      <c r="G117" s="4">
        <f t="shared" si="7"/>
        <v>3</v>
      </c>
    </row>
    <row r="118" spans="2:7" x14ac:dyDescent="0.25">
      <c r="B118" s="4">
        <v>31</v>
      </c>
      <c r="C118" s="4">
        <f t="shared" si="6"/>
        <v>-3</v>
      </c>
      <c r="F118" s="4">
        <v>31</v>
      </c>
      <c r="G118" s="4">
        <f t="shared" si="7"/>
        <v>3</v>
      </c>
    </row>
    <row r="119" spans="2:7" x14ac:dyDescent="0.25">
      <c r="B119" s="4">
        <v>33</v>
      </c>
      <c r="C119" s="4">
        <f t="shared" si="6"/>
        <v>-3</v>
      </c>
      <c r="F119" s="4">
        <v>33</v>
      </c>
      <c r="G119" s="4">
        <f t="shared" si="7"/>
        <v>3</v>
      </c>
    </row>
    <row r="120" spans="2:7" x14ac:dyDescent="0.25">
      <c r="B120" s="4">
        <v>35</v>
      </c>
      <c r="C120" s="4">
        <f t="shared" si="6"/>
        <v>-3</v>
      </c>
      <c r="F120" s="4">
        <v>35</v>
      </c>
      <c r="G120" s="4">
        <f t="shared" si="7"/>
        <v>3</v>
      </c>
    </row>
    <row r="121" spans="2:7" x14ac:dyDescent="0.25">
      <c r="B121" s="4">
        <v>37</v>
      </c>
      <c r="C121" s="4">
        <f t="shared" si="6"/>
        <v>-3</v>
      </c>
      <c r="F121" s="4">
        <v>37</v>
      </c>
      <c r="G121" s="4">
        <f t="shared" si="7"/>
        <v>3</v>
      </c>
    </row>
    <row r="122" spans="2:7" x14ac:dyDescent="0.25">
      <c r="B122" s="4">
        <v>39</v>
      </c>
      <c r="C122" s="4">
        <f t="shared" si="6"/>
        <v>-3</v>
      </c>
      <c r="F122" s="4">
        <v>39</v>
      </c>
      <c r="G122" s="4">
        <f t="shared" si="7"/>
        <v>3</v>
      </c>
    </row>
    <row r="123" spans="2:7" x14ac:dyDescent="0.25">
      <c r="B123" s="4">
        <v>41</v>
      </c>
      <c r="C123" s="4">
        <f t="shared" si="6"/>
        <v>-3</v>
      </c>
      <c r="F123" s="4">
        <v>41</v>
      </c>
      <c r="G123" s="4">
        <f t="shared" si="7"/>
        <v>3</v>
      </c>
    </row>
    <row r="124" spans="2:7" x14ac:dyDescent="0.25">
      <c r="B124" s="4">
        <v>43</v>
      </c>
      <c r="C124" s="4">
        <f t="shared" si="6"/>
        <v>-3</v>
      </c>
      <c r="F124" s="4">
        <v>43</v>
      </c>
      <c r="G124" s="4">
        <f t="shared" si="7"/>
        <v>3</v>
      </c>
    </row>
    <row r="125" spans="2:7" x14ac:dyDescent="0.25">
      <c r="B125" s="4">
        <v>45</v>
      </c>
      <c r="C125" s="4">
        <f t="shared" si="6"/>
        <v>-3</v>
      </c>
      <c r="F125" s="4">
        <v>45</v>
      </c>
      <c r="G125" s="4">
        <f t="shared" si="7"/>
        <v>3</v>
      </c>
    </row>
    <row r="126" spans="2:7" x14ac:dyDescent="0.25">
      <c r="B126" s="4">
        <v>47</v>
      </c>
      <c r="C126" s="4">
        <f t="shared" si="6"/>
        <v>-3</v>
      </c>
      <c r="F126" s="4">
        <v>47</v>
      </c>
      <c r="G126" s="4">
        <f t="shared" si="7"/>
        <v>3</v>
      </c>
    </row>
    <row r="127" spans="2:7" x14ac:dyDescent="0.25">
      <c r="B127" s="4">
        <v>49</v>
      </c>
      <c r="C127" s="4">
        <f t="shared" si="6"/>
        <v>-3</v>
      </c>
      <c r="F127" s="4">
        <v>49</v>
      </c>
      <c r="G127" s="4">
        <f t="shared" si="7"/>
        <v>3</v>
      </c>
    </row>
    <row r="128" spans="2:7" x14ac:dyDescent="0.25">
      <c r="B128" s="4">
        <v>51</v>
      </c>
      <c r="C128" s="4">
        <f t="shared" si="6"/>
        <v>-2</v>
      </c>
      <c r="F128" s="4">
        <v>51</v>
      </c>
      <c r="G128" s="4">
        <f t="shared" si="7"/>
        <v>2</v>
      </c>
    </row>
    <row r="129" spans="2:7" x14ac:dyDescent="0.25">
      <c r="B129" s="4">
        <v>53</v>
      </c>
      <c r="C129" s="4">
        <f t="shared" si="6"/>
        <v>0</v>
      </c>
      <c r="F129" s="4">
        <v>53</v>
      </c>
      <c r="G129" s="4">
        <f t="shared" si="7"/>
        <v>0</v>
      </c>
    </row>
    <row r="130" spans="2:7" x14ac:dyDescent="0.25">
      <c r="B130" s="4">
        <v>55</v>
      </c>
      <c r="C130" s="4">
        <f t="shared" si="6"/>
        <v>2</v>
      </c>
      <c r="F130" s="4">
        <v>55</v>
      </c>
      <c r="G130" s="4">
        <f t="shared" si="7"/>
        <v>-2</v>
      </c>
    </row>
    <row r="131" spans="2:7" x14ac:dyDescent="0.25">
      <c r="B131" s="4">
        <v>57</v>
      </c>
      <c r="C131" s="4">
        <f t="shared" si="6"/>
        <v>4</v>
      </c>
      <c r="F131" s="4">
        <v>57</v>
      </c>
      <c r="G131" s="4">
        <f t="shared" si="7"/>
        <v>-4</v>
      </c>
    </row>
    <row r="132" spans="2:7" x14ac:dyDescent="0.25">
      <c r="B132" s="4">
        <v>59</v>
      </c>
      <c r="C132" s="4">
        <f t="shared" si="6"/>
        <v>6</v>
      </c>
      <c r="F132" s="4">
        <v>59</v>
      </c>
      <c r="G132" s="4">
        <f t="shared" si="7"/>
        <v>-6</v>
      </c>
    </row>
    <row r="133" spans="2:7" x14ac:dyDescent="0.25">
      <c r="B133" s="4">
        <v>61</v>
      </c>
      <c r="C133" s="4">
        <f t="shared" si="6"/>
        <v>8</v>
      </c>
      <c r="F133" s="4">
        <v>61</v>
      </c>
      <c r="G133" s="4">
        <f t="shared" si="7"/>
        <v>-8</v>
      </c>
    </row>
    <row r="134" spans="2:7" x14ac:dyDescent="0.25">
      <c r="B134" s="4">
        <v>63</v>
      </c>
      <c r="C134" s="4">
        <f t="shared" si="6"/>
        <v>10</v>
      </c>
      <c r="F134" s="4">
        <v>63</v>
      </c>
      <c r="G134" s="4">
        <f t="shared" si="7"/>
        <v>-10</v>
      </c>
    </row>
    <row r="135" spans="2:7" x14ac:dyDescent="0.25">
      <c r="B135" s="4">
        <v>65</v>
      </c>
      <c r="C135" s="4">
        <f t="shared" si="6"/>
        <v>12</v>
      </c>
      <c r="F135" s="4">
        <v>65</v>
      </c>
      <c r="G135" s="4">
        <f t="shared" si="7"/>
        <v>-12</v>
      </c>
    </row>
    <row r="136" spans="2:7" x14ac:dyDescent="0.25">
      <c r="B136" s="4">
        <v>67</v>
      </c>
      <c r="C136" s="4">
        <f t="shared" si="6"/>
        <v>14</v>
      </c>
      <c r="F136" s="4">
        <v>67</v>
      </c>
      <c r="G136" s="4">
        <f t="shared" si="7"/>
        <v>-14</v>
      </c>
    </row>
    <row r="137" spans="2:7" x14ac:dyDescent="0.25">
      <c r="B137" s="4">
        <v>69</v>
      </c>
      <c r="C137" s="4">
        <f t="shared" si="6"/>
        <v>16</v>
      </c>
      <c r="F137" s="4">
        <v>69</v>
      </c>
      <c r="G137" s="4">
        <f t="shared" si="7"/>
        <v>-16</v>
      </c>
    </row>
    <row r="138" spans="2:7" x14ac:dyDescent="0.25">
      <c r="B138" s="4">
        <v>71</v>
      </c>
      <c r="C138" s="4">
        <f t="shared" si="6"/>
        <v>18</v>
      </c>
      <c r="F138" s="4">
        <v>71</v>
      </c>
      <c r="G138" s="4">
        <f t="shared" si="7"/>
        <v>-18</v>
      </c>
    </row>
    <row r="139" spans="2:7" x14ac:dyDescent="0.25">
      <c r="B139" s="4">
        <v>73</v>
      </c>
      <c r="C139" s="4">
        <f t="shared" si="6"/>
        <v>20</v>
      </c>
      <c r="F139" s="4">
        <v>73</v>
      </c>
      <c r="G139" s="4">
        <f t="shared" si="7"/>
        <v>-20</v>
      </c>
    </row>
    <row r="140" spans="2:7" x14ac:dyDescent="0.25">
      <c r="B140" s="4">
        <v>75</v>
      </c>
      <c r="C140" s="4">
        <f t="shared" si="6"/>
        <v>22</v>
      </c>
      <c r="F140" s="4">
        <v>75</v>
      </c>
      <c r="G140" s="4">
        <f t="shared" si="7"/>
        <v>-22</v>
      </c>
    </row>
    <row r="144" spans="2:7" ht="23.25" x14ac:dyDescent="0.35">
      <c r="B144" s="33" t="s">
        <v>43</v>
      </c>
      <c r="C144" s="33"/>
      <c r="D144" s="33"/>
      <c r="E144" s="33"/>
      <c r="F144" s="33"/>
    </row>
    <row r="147" spans="2:16" x14ac:dyDescent="0.25">
      <c r="B147" s="4" t="s">
        <v>44</v>
      </c>
      <c r="D147" s="4">
        <v>154.94999999999999</v>
      </c>
    </row>
    <row r="148" spans="2:16" x14ac:dyDescent="0.25">
      <c r="B148" s="4" t="s">
        <v>39</v>
      </c>
      <c r="D148" s="4">
        <v>4.95</v>
      </c>
    </row>
    <row r="149" spans="2:16" x14ac:dyDescent="0.25">
      <c r="B149" s="4" t="s">
        <v>45</v>
      </c>
      <c r="D149" s="4">
        <v>100</v>
      </c>
    </row>
    <row r="150" spans="2:16" x14ac:dyDescent="0.25">
      <c r="B150" s="4" t="s">
        <v>47</v>
      </c>
      <c r="D150" s="4">
        <v>152.5</v>
      </c>
    </row>
    <row r="151" spans="2:16" x14ac:dyDescent="0.25">
      <c r="B151" s="4" t="s">
        <v>49</v>
      </c>
      <c r="D151" s="4">
        <v>147.1</v>
      </c>
    </row>
    <row r="152" spans="2:16" ht="15.75" thickBot="1" x14ac:dyDescent="0.3"/>
    <row r="153" spans="2:16" ht="15.75" thickBot="1" x14ac:dyDescent="0.3">
      <c r="B153" s="7" t="s">
        <v>46</v>
      </c>
      <c r="C153" s="7"/>
      <c r="D153" s="7">
        <v>130</v>
      </c>
      <c r="E153" s="7"/>
      <c r="F153" s="7">
        <v>135</v>
      </c>
      <c r="G153" s="7">
        <v>140</v>
      </c>
      <c r="H153" s="7">
        <v>145</v>
      </c>
      <c r="I153" s="7">
        <v>150</v>
      </c>
      <c r="J153" s="45">
        <v>152.5</v>
      </c>
      <c r="K153" s="7">
        <v>155</v>
      </c>
      <c r="L153" s="7">
        <v>160</v>
      </c>
      <c r="M153" s="7">
        <v>165</v>
      </c>
      <c r="N153" s="7">
        <v>170</v>
      </c>
      <c r="O153" s="7">
        <v>175</v>
      </c>
      <c r="P153" s="7">
        <v>180</v>
      </c>
    </row>
    <row r="154" spans="2:16" x14ac:dyDescent="0.25">
      <c r="B154" s="4" t="s">
        <v>48</v>
      </c>
      <c r="D154" s="4">
        <f>$D$148</f>
        <v>4.95</v>
      </c>
      <c r="E154" s="4">
        <f t="shared" ref="E154:J154" si="8">$D$148</f>
        <v>4.95</v>
      </c>
      <c r="F154" s="4">
        <f t="shared" si="8"/>
        <v>4.95</v>
      </c>
      <c r="G154" s="4">
        <f t="shared" si="8"/>
        <v>4.95</v>
      </c>
      <c r="H154" s="4">
        <f t="shared" si="8"/>
        <v>4.95</v>
      </c>
      <c r="I154" s="4">
        <f t="shared" si="8"/>
        <v>4.95</v>
      </c>
      <c r="J154" s="48">
        <f t="shared" si="8"/>
        <v>4.95</v>
      </c>
      <c r="K154" s="4">
        <f>$D$148</f>
        <v>4.95</v>
      </c>
      <c r="L154" s="4">
        <f t="shared" ref="L154:P154" si="9">$D$148</f>
        <v>4.95</v>
      </c>
      <c r="M154" s="4">
        <f t="shared" si="9"/>
        <v>4.95</v>
      </c>
      <c r="N154" s="4">
        <f t="shared" si="9"/>
        <v>4.95</v>
      </c>
      <c r="O154" s="4">
        <f t="shared" si="9"/>
        <v>4.95</v>
      </c>
      <c r="P154" s="4">
        <f t="shared" si="9"/>
        <v>4.95</v>
      </c>
    </row>
    <row r="155" spans="2:16" x14ac:dyDescent="0.25">
      <c r="B155" s="4" t="s">
        <v>50</v>
      </c>
      <c r="D155" s="46">
        <f>D153/$D$151-1</f>
        <v>-0.11624745071380005</v>
      </c>
      <c r="E155" s="46">
        <f t="shared" ref="E155:P155" si="10">E153/$D$151-1</f>
        <v>-1</v>
      </c>
      <c r="F155" s="46">
        <f t="shared" si="10"/>
        <v>-8.2256968048946222E-2</v>
      </c>
      <c r="G155" s="46">
        <f t="shared" si="10"/>
        <v>-4.8266485384092395E-2</v>
      </c>
      <c r="H155" s="46">
        <f t="shared" si="10"/>
        <v>-1.4276002719238567E-2</v>
      </c>
      <c r="I155" s="46">
        <f t="shared" si="10"/>
        <v>1.971447994561526E-2</v>
      </c>
      <c r="J155" s="49">
        <f t="shared" si="10"/>
        <v>3.6709721278042284E-2</v>
      </c>
      <c r="K155" s="46">
        <f t="shared" si="10"/>
        <v>5.3704962610469087E-2</v>
      </c>
      <c r="L155" s="46">
        <f t="shared" si="10"/>
        <v>8.7695445275322914E-2</v>
      </c>
      <c r="M155" s="46">
        <f t="shared" si="10"/>
        <v>0.12168592794017674</v>
      </c>
      <c r="N155" s="46">
        <f t="shared" si="10"/>
        <v>0.15567641060503057</v>
      </c>
      <c r="O155" s="46">
        <f t="shared" si="10"/>
        <v>0.1896668932698844</v>
      </c>
      <c r="P155" s="46">
        <f t="shared" si="10"/>
        <v>0.22365737593473822</v>
      </c>
    </row>
    <row r="156" spans="2:16" ht="15.75" thickBot="1" x14ac:dyDescent="0.3">
      <c r="B156" s="4" t="s">
        <v>51</v>
      </c>
      <c r="D156" s="46">
        <f>IF(D153&lt;StrikePrice,((D153+PremiumPr)/PurchasePrice)-1,(PremiumPr+StrikePrice)/PurchasePrice-1)</f>
        <v>-8.2596872875594918E-2</v>
      </c>
      <c r="E156" s="46">
        <f>IF(E153&lt;StrikePrice,((E153+PremiumPr)/PurchasePrice)-1,(PremiumPr+StrikePrice)/PurchasePrice-1)</f>
        <v>-0.96634942216179465</v>
      </c>
      <c r="F156" s="46">
        <f>IF(F153&lt;StrikePrice,((F153+PremiumPr)/PurchasePrice)-1,(PremiumPr+StrikePrice)/PurchasePrice-1)</f>
        <v>-4.860639021074098E-2</v>
      </c>
      <c r="G156" s="46">
        <f>IF(G153&lt;StrikePrice,((G153+PremiumPr)/PurchasePrice)-1,(PremiumPr+StrikePrice)/PurchasePrice-1)</f>
        <v>-1.4615907545887152E-2</v>
      </c>
      <c r="H156" s="46">
        <f>IF(H153&lt;StrikePrice,((H153+PremiumPr)/PurchasePrice)-1,(PremiumPr+StrikePrice)/PurchasePrice-1)</f>
        <v>1.9374575118966675E-2</v>
      </c>
      <c r="I156" s="46">
        <f>IF(I153&lt;StrikePrice,((I153+PremiumPr)/PurchasePrice)-1,(PremiumPr+StrikePrice)/PurchasePrice-1)</f>
        <v>5.3365057783820502E-2</v>
      </c>
      <c r="J156" s="47">
        <f>IF(J153&lt;StrikePrice,((J153+PremiumPr)/PurchasePrice)-1,(PremiumPr+StrikePrice)/PurchasePrice-1)</f>
        <v>7.0360299116247305E-2</v>
      </c>
      <c r="K156" s="46">
        <f>IF(K153&lt;StrikePrice,((K153+PremiumPr)/PurchasePrice)-1,(PremiumPr+StrikePrice)/PurchasePrice-1)</f>
        <v>7.0360299116247305E-2</v>
      </c>
      <c r="L156" s="46">
        <f>IF(L153&lt;StrikePrice,((L153+PremiumPr)/PurchasePrice)-1,(PremiumPr+StrikePrice)/PurchasePrice-1)</f>
        <v>7.0360299116247305E-2</v>
      </c>
      <c r="M156" s="46">
        <f>IF(M153&lt;StrikePrice,((M153+PremiumPr)/PurchasePrice)-1,(PremiumPr+StrikePrice)/PurchasePrice-1)</f>
        <v>7.0360299116247305E-2</v>
      </c>
      <c r="N156" s="46">
        <f>IF(N153&lt;StrikePrice,((N153+PremiumPr)/PurchasePrice)-1,(PremiumPr+StrikePrice)/PurchasePrice-1)</f>
        <v>7.0360299116247305E-2</v>
      </c>
      <c r="O156" s="46">
        <f>IF(O153&lt;StrikePrice,((O153+PremiumPr)/PurchasePrice)-1,(PremiumPr+StrikePrice)/PurchasePrice-1)</f>
        <v>7.0360299116247305E-2</v>
      </c>
      <c r="P156" s="46">
        <f>IF(P153&lt;StrikePrice,((P153+PremiumPr)/PurchasePrice)-1,(PremiumPr+StrikePrice)/PurchasePrice-1)</f>
        <v>7.0360299116247305E-2</v>
      </c>
    </row>
  </sheetData>
  <mergeCells count="3">
    <mergeCell ref="B2:D2"/>
    <mergeCell ref="B76:D76"/>
    <mergeCell ref="B144:F1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Futures</vt:lpstr>
      <vt:lpstr>Options</vt:lpstr>
      <vt:lpstr>Contract</vt:lpstr>
      <vt:lpstr>Contract_USD</vt:lpstr>
      <vt:lpstr>InitialPrice</vt:lpstr>
      <vt:lpstr>Interest</vt:lpstr>
      <vt:lpstr>InvestedRUR</vt:lpstr>
      <vt:lpstr>InvestedUSD</vt:lpstr>
      <vt:lpstr>Long_IM</vt:lpstr>
      <vt:lpstr>LongIM</vt:lpstr>
      <vt:lpstr>LongIM_USD</vt:lpstr>
      <vt:lpstr>LotSize</vt:lpstr>
      <vt:lpstr>LotSize_USD</vt:lpstr>
      <vt:lpstr>LotSize_USDRUB</vt:lpstr>
      <vt:lpstr>LotSize_USDUSD</vt:lpstr>
      <vt:lpstr>No_Lots_USD</vt:lpstr>
      <vt:lpstr>PremiumPr</vt:lpstr>
      <vt:lpstr>PurchasePrice</vt:lpstr>
      <vt:lpstr>ShortIM</vt:lpstr>
      <vt:lpstr>ShortIM_USD</vt:lpstr>
      <vt:lpstr>StrikePrice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argon</dc:creator>
  <cp:lastModifiedBy>argon</cp:lastModifiedBy>
  <dcterms:created xsi:type="dcterms:W3CDTF">2017-11-29T01:47:34Z</dcterms:created>
  <dcterms:modified xsi:type="dcterms:W3CDTF">2017-12-02T16:03:12Z</dcterms:modified>
</cp:coreProperties>
</file>